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d9aee849233a29e/Documents/FinCom/FY2025/Town Meeting Documents/"/>
    </mc:Choice>
  </mc:AlternateContent>
  <xr:revisionPtr revIDLastSave="0" documentId="8_{FC04CBB0-95B6-4545-93CE-EC16E18A8498}" xr6:coauthVersionLast="47" xr6:coauthVersionMax="47" xr10:uidLastSave="{00000000-0000-0000-0000-000000000000}"/>
  <bookViews>
    <workbookView xWindow="69720" yWindow="2295" windowWidth="29040" windowHeight="15720" firstSheet="1" activeTab="1" xr2:uid="{00000000-000D-0000-FFFF-FFFF00000000}"/>
  </bookViews>
  <sheets>
    <sheet name="Model Assumptions" sheetId="34" r:id="rId1"/>
    <sheet name="RECAP SUMMARY" sheetId="10" r:id="rId2"/>
    <sheet name="LEVY LIMIT" sheetId="13" r:id="rId3"/>
    <sheet name="DE 1" sheetId="12" r:id="rId4"/>
    <sheet name="BUDGET" sheetId="1" r:id="rId5"/>
    <sheet name="PROJECTED SCH. B" sheetId="11" r:id="rId6"/>
    <sheet name="PROJECTED SCH. A2 WATER" sheetId="9" r:id="rId7"/>
    <sheet name="LONG-TERM DEBT" sheetId="3" r:id="rId8"/>
    <sheet name="SCH. A LOCAL RECEIPTS" sheetId="15" r:id="rId9"/>
    <sheet name="STATE RECEIPTS" sheetId="14" r:id="rId10"/>
    <sheet name="Masco Calculation" sheetId="33" r:id="rId11"/>
    <sheet name="Vote track budget" sheetId="29" r:id="rId12"/>
    <sheet name="Vote track warrant" sheetId="30" r:id="rId13"/>
    <sheet name="Track budget template" sheetId="31" r:id="rId14"/>
    <sheet name="Track warrant template" sheetId="32" r:id="rId15"/>
    <sheet name="PROJECTED SCH. A2 SOLID WASTE" sheetId="17" state="hidden" r:id="rId16"/>
    <sheet name="PROJECTED SCH. A3" sheetId="8" state="hidden" r:id="rId17"/>
    <sheet name="PROJECTED SCH. B1" sheetId="7" state="hidden" r:id="rId18"/>
    <sheet name="SCH. B" sheetId="6" state="hidden" r:id="rId19"/>
    <sheet name="SCH. A2 WATER" sheetId="4" state="hidden" r:id="rId20"/>
    <sheet name="SCH. A2 SOLID WASTE" sheetId="16" state="hidden" r:id="rId21"/>
    <sheet name="SCH. A3" sheetId="2" state="hidden" r:id="rId22"/>
    <sheet name="SCH. B1" sheetId="5" state="hidden" r:id="rId23"/>
    <sheet name="Assumptions" sheetId="28" state="hidden" r:id="rId24"/>
  </sheets>
  <externalReferences>
    <externalReference r:id="rId25"/>
    <externalReference r:id="rId26"/>
  </externalReferences>
  <definedNames>
    <definedName name="_xlnm._FilterDatabase" localSheetId="4" hidden="1">BUDGET!$A$11:$BC$456</definedName>
    <definedName name="_xlnm._FilterDatabase" localSheetId="7" hidden="1">'LONG-TERM DEBT'!$A$5:$BD$130</definedName>
    <definedName name="_xlnm._FilterDatabase" localSheetId="13" hidden="1">'Track budget template'!$B$10:$J$435</definedName>
    <definedName name="_xlnm._FilterDatabase" localSheetId="11" hidden="1">'Vote track budget'!$A$10:$N$441</definedName>
    <definedName name="_xlnm._FilterDatabase" localSheetId="12" hidden="1">'Vote track warrant'!$B$9:$N$56</definedName>
    <definedName name="_Print_Area" localSheetId="4">BUDGET!$A$9:$AW$456</definedName>
    <definedName name="_Print_Area" localSheetId="6">'PROJECTED SCH. A2 WATER'!$A$4:$I$49</definedName>
    <definedName name="_Print_Area" localSheetId="5">'PROJECTED SCH. B'!$A$4:$J$88</definedName>
    <definedName name="_Print_Area" localSheetId="1">'RECAP SUMMARY'!$A$2:$AJ$68</definedName>
    <definedName name="_Print_Area" localSheetId="19">'SCH. A2 WATER'!$F$4:$I$46</definedName>
    <definedName name="_Print_Titles" localSheetId="4">BUDGET!$9:$11</definedName>
    <definedName name="_Print_Titles" localSheetId="7">'LONG-TERM DEBT'!$B:$E</definedName>
    <definedName name="Omnibus">#REF!</definedName>
    <definedName name="_xlnm.Print_Area" localSheetId="23">Assumptions!$A$1:$F$24</definedName>
    <definedName name="_xlnm.Print_Area" localSheetId="4">BUDGET!$A$1:$AW$452</definedName>
    <definedName name="_xlnm.Print_Area" localSheetId="3">'DE 1'!$B$566:$J$610</definedName>
    <definedName name="_xlnm.Print_Area" localSheetId="2">'LEVY LIMIT'!$B$1:$AP$31</definedName>
    <definedName name="_xlnm.Print_Area" localSheetId="7">'LONG-TERM DEBT'!$B$1:$BC$156</definedName>
    <definedName name="_xlnm.Print_Area" localSheetId="6">'PROJECTED SCH. A2 WATER'!$A$1:$J$49</definedName>
    <definedName name="_xlnm.Print_Area" localSheetId="5">'PROJECTED SCH. B'!$A$4:$I$84</definedName>
    <definedName name="_xlnm.Print_Area" localSheetId="1">'RECAP SUMMARY'!$A$5:$AD$67</definedName>
    <definedName name="_xlnm.Print_Area" localSheetId="8">'SCH. A LOCAL RECEIPTS'!$A$1:$AW$34</definedName>
    <definedName name="_xlnm.Print_Area" localSheetId="9">'STATE RECEIPTS'!$A$1:$AS$35</definedName>
    <definedName name="_xlnm.Print_Area" localSheetId="13">'Track budget template'!$B$7:$I$433</definedName>
    <definedName name="_xlnm.Print_Area" localSheetId="14">'Track warrant template'!$B$4:$N$55</definedName>
    <definedName name="_xlnm.Print_Area" localSheetId="11">'Vote track budget'!$D$7:$N$438</definedName>
    <definedName name="_xlnm.Print_Area" localSheetId="12">'Vote track warrant'!$B$4:$M$59</definedName>
    <definedName name="_xlnm.Print_Titles" localSheetId="4">BUDGET!$A:$A,BUDGET!$9:$11</definedName>
    <definedName name="_xlnm.Print_Titles" localSheetId="2">'LEVY LIMIT'!$A:$G,'LEVY LIMIT'!$1:$4</definedName>
    <definedName name="_xlnm.Print_Titles" localSheetId="7">'LONG-TERM DEBT'!$A:$B,'LONG-TERM DEBT'!$4:$5</definedName>
    <definedName name="_xlnm.Print_Titles" localSheetId="5">'PROJECTED SCH. B'!$A:$B,'PROJECTED SCH. B'!$1:$9</definedName>
    <definedName name="_xlnm.Print_Titles" localSheetId="1">'RECAP SUMMARY'!$A:$A,'RECAP SUMMARY'!$2:$7</definedName>
    <definedName name="_xlnm.Print_Titles" localSheetId="8">'SCH. A LOCAL RECEIPTS'!$A:$A,'SCH. A LOCAL RECEIPTS'!$1:$5</definedName>
    <definedName name="_xlnm.Print_Titles" localSheetId="9">'STATE RECEIPTS'!$A:$A,'STATE RECEIPTS'!$1:$2</definedName>
    <definedName name="_xlnm.Print_Titles" localSheetId="13">'Track budget template'!$7:$11</definedName>
    <definedName name="_xlnm.Print_Titles" localSheetId="14">'Track warrant template'!$4:$9</definedName>
    <definedName name="_xlnm.Print_Titles" localSheetId="11">'Vote track budget'!$7:$11</definedName>
    <definedName name="_xlnm.Print_Titles" localSheetId="12">'Vote track warrant'!$4:$9</definedName>
    <definedName name="xxxx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34" l="1"/>
  <c r="M43" i="34" l="1"/>
  <c r="M45" i="34" s="1"/>
  <c r="M47" i="34" s="1"/>
  <c r="M44" i="34"/>
  <c r="M42" i="34"/>
  <c r="J72" i="11" l="1"/>
  <c r="A29" i="11" l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28" i="11"/>
  <c r="C28" i="11"/>
  <c r="K30" i="34"/>
  <c r="I49" i="34"/>
  <c r="G15" i="34"/>
  <c r="N11" i="32"/>
  <c r="N12" i="32"/>
  <c r="N13" i="32"/>
  <c r="N14" i="32"/>
  <c r="N15" i="32"/>
  <c r="N16" i="32"/>
  <c r="N17" i="32"/>
  <c r="N18" i="32"/>
  <c r="N19" i="32"/>
  <c r="N20" i="32"/>
  <c r="N21" i="32"/>
  <c r="N22" i="32"/>
  <c r="N23" i="32"/>
  <c r="N24" i="32"/>
  <c r="N25" i="32"/>
  <c r="N26" i="32"/>
  <c r="N27" i="32"/>
  <c r="N28" i="32"/>
  <c r="N29" i="32"/>
  <c r="N30" i="32"/>
  <c r="N31" i="32"/>
  <c r="N32" i="32"/>
  <c r="N33" i="32"/>
  <c r="N34" i="32"/>
  <c r="N35" i="32"/>
  <c r="N36" i="32"/>
  <c r="N37" i="32"/>
  <c r="N38" i="32"/>
  <c r="N39" i="32"/>
  <c r="N40" i="32"/>
  <c r="N41" i="32"/>
  <c r="N42" i="32"/>
  <c r="N43" i="32"/>
  <c r="N44" i="32"/>
  <c r="N45" i="32"/>
  <c r="N46" i="32"/>
  <c r="N47" i="32"/>
  <c r="N48" i="32"/>
  <c r="N49" i="32"/>
  <c r="N50" i="32"/>
  <c r="N51" i="32"/>
  <c r="N52" i="32"/>
  <c r="N53" i="32"/>
  <c r="N54" i="32"/>
  <c r="N55" i="32"/>
  <c r="N56" i="32"/>
  <c r="R11" i="32"/>
  <c r="J26" i="34" l="1"/>
  <c r="J30" i="34"/>
  <c r="AB65" i="10"/>
  <c r="N39" i="33" l="1"/>
  <c r="N38" i="33"/>
  <c r="N40" i="33"/>
  <c r="N5" i="33" l="1"/>
  <c r="P5" i="33" s="1"/>
  <c r="O5" i="33"/>
  <c r="Q5" i="33" s="1"/>
  <c r="O4" i="33"/>
  <c r="Q4" i="33" s="1"/>
  <c r="N4" i="33"/>
  <c r="P4" i="33" s="1"/>
  <c r="O6" i="33"/>
  <c r="Q6" i="33" s="1"/>
  <c r="F27" i="11"/>
  <c r="E27" i="11"/>
  <c r="J58" i="11" s="1"/>
  <c r="G16" i="34" l="1"/>
  <c r="G19" i="34" s="1"/>
  <c r="AT396" i="1"/>
  <c r="N6" i="33" l="1"/>
  <c r="P6" i="33" s="1"/>
  <c r="I16" i="34" l="1"/>
  <c r="L16" i="34" l="1"/>
  <c r="M20" i="34"/>
  <c r="I443" i="29"/>
  <c r="K131" i="29" l="1"/>
  <c r="BA433" i="1" l="1"/>
  <c r="AT183" i="1" l="1"/>
  <c r="BB183" i="1" l="1"/>
  <c r="BA183" i="1"/>
  <c r="F13" i="32"/>
  <c r="G13" i="32"/>
  <c r="H13" i="32"/>
  <c r="E14" i="32"/>
  <c r="F14" i="32"/>
  <c r="G14" i="32"/>
  <c r="H14" i="32"/>
  <c r="E15" i="32"/>
  <c r="F15" i="32"/>
  <c r="G15" i="32"/>
  <c r="H15" i="32"/>
  <c r="E16" i="32"/>
  <c r="F16" i="32"/>
  <c r="G16" i="32"/>
  <c r="H16" i="32"/>
  <c r="E17" i="32"/>
  <c r="F17" i="32"/>
  <c r="G17" i="32"/>
  <c r="H17" i="32"/>
  <c r="E18" i="32"/>
  <c r="F18" i="32"/>
  <c r="G18" i="32"/>
  <c r="H18" i="32"/>
  <c r="E19" i="32"/>
  <c r="F19" i="32"/>
  <c r="G19" i="32"/>
  <c r="H19" i="32"/>
  <c r="E20" i="32"/>
  <c r="F20" i="32"/>
  <c r="G20" i="32"/>
  <c r="H20" i="32"/>
  <c r="E21" i="32"/>
  <c r="F21" i="32"/>
  <c r="G21" i="32"/>
  <c r="H21" i="32"/>
  <c r="E22" i="32"/>
  <c r="F22" i="32"/>
  <c r="G22" i="32"/>
  <c r="H22" i="32"/>
  <c r="E23" i="32"/>
  <c r="F23" i="32"/>
  <c r="G23" i="32"/>
  <c r="H23" i="32"/>
  <c r="E24" i="32"/>
  <c r="F24" i="32"/>
  <c r="G24" i="32"/>
  <c r="H24" i="32"/>
  <c r="E25" i="32"/>
  <c r="F25" i="32"/>
  <c r="G25" i="32"/>
  <c r="H25" i="32"/>
  <c r="E26" i="32"/>
  <c r="F26" i="32"/>
  <c r="G26" i="32"/>
  <c r="H26" i="32"/>
  <c r="E27" i="32"/>
  <c r="F27" i="32"/>
  <c r="G27" i="32"/>
  <c r="H27" i="32"/>
  <c r="E28" i="32"/>
  <c r="F28" i="32"/>
  <c r="G28" i="32"/>
  <c r="H28" i="32"/>
  <c r="E29" i="32"/>
  <c r="F29" i="32"/>
  <c r="G29" i="32"/>
  <c r="H29" i="32"/>
  <c r="E30" i="32"/>
  <c r="F30" i="32"/>
  <c r="G30" i="32"/>
  <c r="H30" i="32"/>
  <c r="E31" i="32"/>
  <c r="F31" i="32"/>
  <c r="G31" i="32"/>
  <c r="H31" i="32"/>
  <c r="E32" i="32"/>
  <c r="F32" i="32"/>
  <c r="G32" i="32"/>
  <c r="H32" i="32"/>
  <c r="E33" i="32"/>
  <c r="F33" i="32"/>
  <c r="G33" i="32"/>
  <c r="H33" i="32"/>
  <c r="E34" i="32"/>
  <c r="F34" i="32"/>
  <c r="G34" i="32"/>
  <c r="H34" i="32"/>
  <c r="E35" i="32"/>
  <c r="F35" i="32"/>
  <c r="G35" i="32"/>
  <c r="H35" i="32"/>
  <c r="E36" i="32"/>
  <c r="F36" i="32"/>
  <c r="G36" i="32"/>
  <c r="H36" i="32"/>
  <c r="E37" i="32"/>
  <c r="F37" i="32"/>
  <c r="G37" i="32"/>
  <c r="H37" i="32"/>
  <c r="E38" i="32"/>
  <c r="F38" i="32"/>
  <c r="G38" i="32"/>
  <c r="H38" i="32"/>
  <c r="E39" i="32"/>
  <c r="F39" i="32"/>
  <c r="G39" i="32"/>
  <c r="H39" i="32"/>
  <c r="D40" i="32"/>
  <c r="E40" i="32"/>
  <c r="F40" i="32"/>
  <c r="G40" i="32"/>
  <c r="H40" i="32"/>
  <c r="D41" i="32"/>
  <c r="E41" i="32"/>
  <c r="F41" i="32"/>
  <c r="G41" i="32"/>
  <c r="H41" i="32"/>
  <c r="D42" i="32"/>
  <c r="E42" i="32"/>
  <c r="F42" i="32"/>
  <c r="G42" i="32"/>
  <c r="H42" i="32"/>
  <c r="D43" i="32"/>
  <c r="E43" i="32"/>
  <c r="F43" i="32"/>
  <c r="G43" i="32"/>
  <c r="H43" i="32"/>
  <c r="D44" i="32"/>
  <c r="E44" i="32"/>
  <c r="F44" i="32"/>
  <c r="G44" i="32"/>
  <c r="H44" i="32"/>
  <c r="D45" i="32"/>
  <c r="E45" i="32"/>
  <c r="F45" i="32"/>
  <c r="G45" i="32"/>
  <c r="H45" i="32"/>
  <c r="D46" i="32"/>
  <c r="E46" i="32"/>
  <c r="F46" i="32"/>
  <c r="G46" i="32"/>
  <c r="H46" i="32"/>
  <c r="D47" i="32"/>
  <c r="E47" i="32"/>
  <c r="F47" i="32"/>
  <c r="G47" i="32"/>
  <c r="H47" i="32"/>
  <c r="D48" i="32"/>
  <c r="E48" i="32"/>
  <c r="F48" i="32"/>
  <c r="G48" i="32"/>
  <c r="H48" i="32"/>
  <c r="E49" i="32"/>
  <c r="F49" i="32"/>
  <c r="G49" i="32"/>
  <c r="H49" i="32"/>
  <c r="D50" i="32"/>
  <c r="E50" i="32"/>
  <c r="F50" i="32"/>
  <c r="G50" i="32"/>
  <c r="H50" i="32"/>
  <c r="D51" i="32"/>
  <c r="E51" i="32"/>
  <c r="F51" i="32"/>
  <c r="G51" i="32"/>
  <c r="H51" i="32"/>
  <c r="E52" i="32"/>
  <c r="F52" i="32"/>
  <c r="G52" i="32"/>
  <c r="H52" i="32"/>
  <c r="E53" i="32"/>
  <c r="F53" i="32"/>
  <c r="G53" i="32"/>
  <c r="H53" i="32"/>
  <c r="E54" i="32"/>
  <c r="F54" i="32"/>
  <c r="G54" i="32"/>
  <c r="H54" i="32"/>
  <c r="E55" i="32"/>
  <c r="F55" i="32"/>
  <c r="G55" i="32"/>
  <c r="H55" i="32"/>
  <c r="E56" i="32"/>
  <c r="F56" i="32"/>
  <c r="G56" i="32"/>
  <c r="H56" i="32"/>
  <c r="E12" i="32"/>
  <c r="F12" i="32"/>
  <c r="G12" i="32"/>
  <c r="F11" i="32"/>
  <c r="G11" i="32"/>
  <c r="H11" i="32"/>
  <c r="E10" i="32"/>
  <c r="F10" i="32"/>
  <c r="G10" i="32"/>
  <c r="H10" i="32"/>
  <c r="B57" i="32"/>
  <c r="C57" i="32"/>
  <c r="B58" i="32"/>
  <c r="C58" i="32"/>
  <c r="B59" i="32"/>
  <c r="C59" i="32"/>
  <c r="B60" i="32"/>
  <c r="C60" i="32"/>
  <c r="B61" i="32"/>
  <c r="C61" i="32"/>
  <c r="B62" i="32"/>
  <c r="C62" i="32"/>
  <c r="B63" i="32"/>
  <c r="C63" i="32"/>
  <c r="B64" i="32"/>
  <c r="C64" i="32"/>
  <c r="B65" i="32"/>
  <c r="C65" i="32"/>
  <c r="B66" i="32"/>
  <c r="C66" i="32"/>
  <c r="B67" i="32"/>
  <c r="C67" i="32"/>
  <c r="B68" i="32"/>
  <c r="C68" i="32"/>
  <c r="B69" i="32"/>
  <c r="C69" i="32"/>
  <c r="B70" i="32"/>
  <c r="C70" i="32"/>
  <c r="B71" i="32"/>
  <c r="C71" i="32"/>
  <c r="B72" i="32"/>
  <c r="C72" i="32"/>
  <c r="B73" i="32"/>
  <c r="C73" i="32"/>
  <c r="B74" i="32"/>
  <c r="C74" i="32"/>
  <c r="B75" i="32"/>
  <c r="C75" i="32"/>
  <c r="B76" i="32"/>
  <c r="C76" i="32"/>
  <c r="B77" i="32"/>
  <c r="C77" i="32"/>
  <c r="B78" i="32"/>
  <c r="C78" i="32"/>
  <c r="B79" i="32"/>
  <c r="C79" i="32"/>
  <c r="B80" i="32"/>
  <c r="C80" i="32"/>
  <c r="B81" i="32"/>
  <c r="C81" i="32"/>
  <c r="B12" i="32"/>
  <c r="C12" i="32"/>
  <c r="B13" i="32"/>
  <c r="C13" i="32"/>
  <c r="B14" i="32"/>
  <c r="C14" i="32"/>
  <c r="B15" i="32"/>
  <c r="C15" i="32"/>
  <c r="B16" i="32"/>
  <c r="C16" i="32"/>
  <c r="B17" i="32"/>
  <c r="C17" i="32"/>
  <c r="B18" i="32"/>
  <c r="C18" i="32"/>
  <c r="B19" i="32"/>
  <c r="C19" i="32"/>
  <c r="B20" i="32"/>
  <c r="C20" i="32"/>
  <c r="B21" i="32"/>
  <c r="C21" i="32"/>
  <c r="B22" i="32"/>
  <c r="C22" i="32"/>
  <c r="B23" i="32"/>
  <c r="C23" i="32"/>
  <c r="B24" i="32"/>
  <c r="C24" i="32"/>
  <c r="B25" i="32"/>
  <c r="C25" i="32"/>
  <c r="B26" i="32"/>
  <c r="C26" i="32"/>
  <c r="B27" i="32"/>
  <c r="C27" i="32"/>
  <c r="B28" i="32"/>
  <c r="C28" i="32"/>
  <c r="B29" i="32"/>
  <c r="C29" i="32"/>
  <c r="B30" i="32"/>
  <c r="C30" i="32"/>
  <c r="B31" i="32"/>
  <c r="C31" i="32"/>
  <c r="B32" i="32"/>
  <c r="C32" i="32"/>
  <c r="B33" i="32"/>
  <c r="C33" i="32"/>
  <c r="B34" i="32"/>
  <c r="C34" i="32"/>
  <c r="B35" i="32"/>
  <c r="C35" i="32"/>
  <c r="B36" i="32"/>
  <c r="C36" i="32"/>
  <c r="B37" i="32"/>
  <c r="C37" i="32"/>
  <c r="B38" i="32"/>
  <c r="C38" i="32"/>
  <c r="B39" i="32"/>
  <c r="C39" i="32"/>
  <c r="C40" i="32"/>
  <c r="C41" i="32"/>
  <c r="C42" i="32"/>
  <c r="C43" i="32"/>
  <c r="C44" i="32"/>
  <c r="C45" i="32"/>
  <c r="C46" i="32"/>
  <c r="C47" i="32"/>
  <c r="C48" i="32"/>
  <c r="B49" i="32"/>
  <c r="C49" i="32"/>
  <c r="B50" i="32"/>
  <c r="C50" i="32"/>
  <c r="B51" i="32"/>
  <c r="C51" i="32"/>
  <c r="B52" i="32"/>
  <c r="C52" i="32"/>
  <c r="B53" i="32"/>
  <c r="C53" i="32"/>
  <c r="B54" i="32"/>
  <c r="C54" i="32"/>
  <c r="B55" i="32"/>
  <c r="C55" i="32"/>
  <c r="B56" i="32"/>
  <c r="C56" i="32"/>
  <c r="C82" i="32"/>
  <c r="B82" i="32"/>
  <c r="B83" i="32"/>
  <c r="C83" i="32"/>
  <c r="B11" i="32"/>
  <c r="C11" i="32"/>
  <c r="F401" i="29"/>
  <c r="F310" i="29"/>
  <c r="F208" i="29"/>
  <c r="F198" i="29"/>
  <c r="F140" i="29"/>
  <c r="F131" i="29"/>
  <c r="F126" i="29"/>
  <c r="F104" i="29"/>
  <c r="F68" i="29"/>
  <c r="AX68" i="1" s="1"/>
  <c r="F56" i="29"/>
  <c r="AX56" i="1" s="1"/>
  <c r="F50" i="29"/>
  <c r="AX50" i="1" s="1"/>
  <c r="F39" i="29"/>
  <c r="F24" i="29"/>
  <c r="F18" i="29"/>
  <c r="B47" i="32" l="1"/>
  <c r="B41" i="32"/>
  <c r="B43" i="32"/>
  <c r="B42" i="32"/>
  <c r="B46" i="32"/>
  <c r="B45" i="32"/>
  <c r="B44" i="32"/>
  <c r="B40" i="32"/>
  <c r="F443" i="29"/>
  <c r="M443" i="29"/>
  <c r="K443" i="29"/>
  <c r="B48" i="32" l="1"/>
  <c r="C49" i="11"/>
  <c r="D49" i="32" s="1"/>
  <c r="N10" i="32"/>
  <c r="AV7" i="10" l="1"/>
  <c r="BA7" i="10"/>
  <c r="BB7" i="10"/>
  <c r="AZ56" i="1" l="1"/>
  <c r="C24" i="11"/>
  <c r="D24" i="32" s="1"/>
  <c r="Q51" i="29"/>
  <c r="AR17" i="10" l="1"/>
  <c r="AT67" i="1" l="1"/>
  <c r="H30" i="34" l="1"/>
  <c r="I29" i="34"/>
  <c r="K29" i="34" s="1"/>
  <c r="M35" i="34"/>
  <c r="J16" i="34"/>
  <c r="J15" i="34"/>
  <c r="H29" i="34" l="1"/>
  <c r="J29" i="34"/>
  <c r="I14" i="34"/>
  <c r="AX18" i="1"/>
  <c r="G21" i="34" l="1"/>
  <c r="AZ18" i="1"/>
  <c r="K15" i="34"/>
  <c r="J14" i="34"/>
  <c r="AX401" i="1" l="1"/>
  <c r="AX310" i="1"/>
  <c r="AX208" i="1"/>
  <c r="AX140" i="1"/>
  <c r="AX131" i="1"/>
  <c r="AX126" i="1"/>
  <c r="AX104" i="1"/>
  <c r="AX63" i="1"/>
  <c r="AX24" i="1"/>
  <c r="AX198" i="1"/>
  <c r="AX39" i="1"/>
  <c r="AZ24" i="1" l="1"/>
  <c r="AZ140" i="1"/>
  <c r="AZ39" i="1"/>
  <c r="AZ198" i="1"/>
  <c r="AZ208" i="1"/>
  <c r="AZ310" i="1"/>
  <c r="AT63" i="1"/>
  <c r="AZ63" i="1"/>
  <c r="AT401" i="1"/>
  <c r="AZ401" i="1"/>
  <c r="AZ104" i="1"/>
  <c r="AZ50" i="1"/>
  <c r="AZ110" i="1"/>
  <c r="AZ126" i="1"/>
  <c r="AZ68" i="1"/>
  <c r="AZ131" i="1"/>
  <c r="G47" i="34"/>
  <c r="G34" i="34"/>
  <c r="AK6" i="1"/>
  <c r="AJ6" i="1"/>
  <c r="AJ5" i="1"/>
  <c r="AJ4" i="1"/>
  <c r="AJ3" i="1"/>
  <c r="AJ2" i="1"/>
  <c r="AM6" i="1"/>
  <c r="AM5" i="1"/>
  <c r="AM4" i="1"/>
  <c r="AM3" i="1"/>
  <c r="AM2" i="1"/>
  <c r="AH2" i="1"/>
  <c r="AH4" i="1"/>
  <c r="AG3" i="1"/>
  <c r="AG4" i="1"/>
  <c r="AG5" i="1"/>
  <c r="AG6" i="1"/>
  <c r="AG2" i="1"/>
  <c r="I8" i="34"/>
  <c r="AN6" i="1" s="1"/>
  <c r="C8" i="34"/>
  <c r="AH6" i="1" s="1"/>
  <c r="I7" i="34"/>
  <c r="F7" i="34"/>
  <c r="AK5" i="1" s="1"/>
  <c r="C7" i="34"/>
  <c r="AH5" i="1" s="1"/>
  <c r="I6" i="34"/>
  <c r="F6" i="34"/>
  <c r="AK4" i="1" s="1"/>
  <c r="I5" i="34"/>
  <c r="F5" i="34"/>
  <c r="AK3" i="1" s="1"/>
  <c r="C5" i="34"/>
  <c r="AH3" i="1" s="1"/>
  <c r="I4" i="34"/>
  <c r="F4" i="34"/>
  <c r="AK2" i="1" s="1"/>
  <c r="K41" i="33"/>
  <c r="K44" i="33" s="1"/>
  <c r="K49" i="33" s="1"/>
  <c r="L41" i="33"/>
  <c r="J41" i="33"/>
  <c r="M41" i="33"/>
  <c r="D12" i="33"/>
  <c r="E12" i="33"/>
  <c r="F12" i="33"/>
  <c r="G12" i="33"/>
  <c r="H12" i="33"/>
  <c r="I12" i="33"/>
  <c r="J12" i="33"/>
  <c r="K12" i="33"/>
  <c r="L12" i="33"/>
  <c r="D13" i="33"/>
  <c r="E13" i="33"/>
  <c r="F13" i="33"/>
  <c r="G13" i="33"/>
  <c r="H13" i="33"/>
  <c r="I13" i="33"/>
  <c r="J13" i="33"/>
  <c r="K13" i="33"/>
  <c r="L13" i="33"/>
  <c r="D14" i="33"/>
  <c r="E14" i="33"/>
  <c r="F14" i="33"/>
  <c r="G14" i="33"/>
  <c r="H14" i="33"/>
  <c r="I14" i="33"/>
  <c r="J14" i="33"/>
  <c r="K14" i="33"/>
  <c r="L14" i="33"/>
  <c r="C13" i="33"/>
  <c r="C14" i="33"/>
  <c r="C12" i="33"/>
  <c r="M18" i="33"/>
  <c r="AZ459" i="1" l="1"/>
  <c r="K45" i="33"/>
  <c r="K50" i="33" s="1"/>
  <c r="F16" i="34"/>
  <c r="F17" i="34" s="1"/>
  <c r="K43" i="33"/>
  <c r="K48" i="33" s="1"/>
  <c r="M52" i="33"/>
  <c r="L21" i="33"/>
  <c r="L19" i="33"/>
  <c r="L20" i="33"/>
  <c r="L18" i="33"/>
  <c r="M19" i="33"/>
  <c r="M20" i="33"/>
  <c r="E65" i="11"/>
  <c r="G65" i="11"/>
  <c r="C52" i="11"/>
  <c r="D52" i="32" s="1"/>
  <c r="C53" i="11"/>
  <c r="D53" i="32" s="1"/>
  <c r="N52" i="33" l="1"/>
  <c r="L29" i="33"/>
  <c r="L45" i="33" s="1"/>
  <c r="L50" i="33" s="1"/>
  <c r="L28" i="33"/>
  <c r="L44" i="33" s="1"/>
  <c r="L49" i="33" s="1"/>
  <c r="L27" i="33"/>
  <c r="L43" i="33" s="1"/>
  <c r="L48" i="33" s="1"/>
  <c r="C38" i="11"/>
  <c r="D38" i="32" s="1"/>
  <c r="C39" i="11"/>
  <c r="D39" i="32" s="1"/>
  <c r="C35" i="11"/>
  <c r="D35" i="32" s="1"/>
  <c r="C32" i="11"/>
  <c r="D32" i="32" s="1"/>
  <c r="C31" i="11"/>
  <c r="D31" i="32" s="1"/>
  <c r="C29" i="11"/>
  <c r="D29" i="32" s="1"/>
  <c r="C20" i="11"/>
  <c r="D20" i="32" s="1"/>
  <c r="AT429" i="1"/>
  <c r="AT428" i="1"/>
  <c r="AT426" i="1"/>
  <c r="AT424" i="1"/>
  <c r="AT422" i="1"/>
  <c r="AT419" i="1"/>
  <c r="AT418" i="1"/>
  <c r="AT417" i="1"/>
  <c r="F65" i="11" l="1"/>
  <c r="AP29" i="14"/>
  <c r="AQ9" i="14"/>
  <c r="AQ10" i="14"/>
  <c r="AQ11" i="14"/>
  <c r="AQ12" i="14"/>
  <c r="AQ14" i="14"/>
  <c r="AQ15" i="14"/>
  <c r="AQ16" i="14"/>
  <c r="AQ17" i="14"/>
  <c r="AQ18" i="14"/>
  <c r="AQ20" i="14"/>
  <c r="AQ21" i="14"/>
  <c r="AQ22" i="14"/>
  <c r="AQ23" i="14"/>
  <c r="AQ24" i="14"/>
  <c r="AQ25" i="14"/>
  <c r="AQ27" i="14"/>
  <c r="AS27" i="14" s="1"/>
  <c r="AQ28" i="14"/>
  <c r="AS28" i="14" s="1"/>
  <c r="AQ30" i="14"/>
  <c r="AP13" i="14"/>
  <c r="AP35" i="14" s="1"/>
  <c r="AS9" i="14"/>
  <c r="AS10" i="14"/>
  <c r="AS11" i="14"/>
  <c r="AS12" i="14"/>
  <c r="AS14" i="14"/>
  <c r="AS15" i="14"/>
  <c r="AS16" i="14"/>
  <c r="AS17" i="14"/>
  <c r="AS18" i="14"/>
  <c r="AS20" i="14"/>
  <c r="AS21" i="14"/>
  <c r="AS22" i="14"/>
  <c r="AS23" i="14"/>
  <c r="AS24" i="14"/>
  <c r="AS25" i="14"/>
  <c r="AS30" i="14"/>
  <c r="AQ8" i="14"/>
  <c r="AS8" i="14" s="1"/>
  <c r="AB40" i="10" l="1"/>
  <c r="AP31" i="14"/>
  <c r="A31" i="15"/>
  <c r="AZ32" i="15"/>
  <c r="AB66" i="10" l="1"/>
  <c r="AB42" i="10" l="1"/>
  <c r="M9" i="33" l="1"/>
  <c r="M7" i="33"/>
  <c r="M55" i="33" l="1"/>
  <c r="N7" i="33"/>
  <c r="Q7" i="33" s="1"/>
  <c r="O7" i="33"/>
  <c r="P7" i="33" s="1"/>
  <c r="M13" i="33"/>
  <c r="M14" i="33"/>
  <c r="M12" i="33"/>
  <c r="M21" i="33"/>
  <c r="M29" i="33" s="1"/>
  <c r="M45" i="33" s="1"/>
  <c r="N45" i="33" s="1"/>
  <c r="M8" i="33"/>
  <c r="G15" i="9"/>
  <c r="G13" i="9"/>
  <c r="G11" i="9"/>
  <c r="M28" i="33" l="1"/>
  <c r="M27" i="33"/>
  <c r="G10" i="9"/>
  <c r="AT427" i="1"/>
  <c r="AV16" i="1"/>
  <c r="AV21" i="1"/>
  <c r="AV22" i="1"/>
  <c r="AV23" i="1"/>
  <c r="AV26" i="1"/>
  <c r="AV27" i="1"/>
  <c r="AV28" i="1"/>
  <c r="AV29" i="1"/>
  <c r="AV30" i="1"/>
  <c r="AV31" i="1"/>
  <c r="AV36" i="1"/>
  <c r="AV37" i="1"/>
  <c r="AV41" i="1"/>
  <c r="AV42" i="1"/>
  <c r="AV43" i="1"/>
  <c r="AV44" i="1"/>
  <c r="AV45" i="1"/>
  <c r="AV46" i="1"/>
  <c r="AV47" i="1"/>
  <c r="AV52" i="1"/>
  <c r="AV53" i="1"/>
  <c r="AV58" i="1"/>
  <c r="AV59" i="1"/>
  <c r="AV63" i="1"/>
  <c r="AV65" i="1"/>
  <c r="AV66" i="1"/>
  <c r="AV67" i="1"/>
  <c r="AV70" i="1"/>
  <c r="AV71" i="1"/>
  <c r="AV74" i="1"/>
  <c r="AV75" i="1"/>
  <c r="AV76" i="1"/>
  <c r="AV77" i="1"/>
  <c r="AV78" i="1"/>
  <c r="AV79" i="1"/>
  <c r="AV80" i="1"/>
  <c r="AV85" i="1"/>
  <c r="AV86" i="1"/>
  <c r="AV87" i="1"/>
  <c r="AV88" i="1"/>
  <c r="AV89" i="1"/>
  <c r="AV90" i="1"/>
  <c r="AV91" i="1"/>
  <c r="AV92" i="1"/>
  <c r="AV95" i="1"/>
  <c r="AV97" i="1"/>
  <c r="AV98" i="1"/>
  <c r="AV99" i="1"/>
  <c r="AV100" i="1"/>
  <c r="AV101" i="1"/>
  <c r="AV102" i="1"/>
  <c r="AV107" i="1"/>
  <c r="AV108" i="1"/>
  <c r="AV109" i="1"/>
  <c r="AV113" i="1"/>
  <c r="AV114" i="1"/>
  <c r="AV119" i="1"/>
  <c r="AV121" i="1"/>
  <c r="AV122" i="1"/>
  <c r="AV125" i="1"/>
  <c r="AV128" i="1"/>
  <c r="AV129" i="1"/>
  <c r="AV134" i="1"/>
  <c r="AV135" i="1"/>
  <c r="AV136" i="1"/>
  <c r="AV137" i="1"/>
  <c r="AV138" i="1"/>
  <c r="AV139" i="1"/>
  <c r="AV144" i="1"/>
  <c r="AV145" i="1"/>
  <c r="AV150" i="1"/>
  <c r="AV151" i="1"/>
  <c r="AV153" i="1"/>
  <c r="AV155" i="1"/>
  <c r="AV156" i="1"/>
  <c r="AV160" i="1"/>
  <c r="AV161" i="1"/>
  <c r="AV165" i="1"/>
  <c r="AV166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4" i="1"/>
  <c r="AV185" i="1"/>
  <c r="AV186" i="1"/>
  <c r="AV187" i="1"/>
  <c r="AV188" i="1"/>
  <c r="AV189" i="1"/>
  <c r="AV190" i="1"/>
  <c r="AV191" i="1"/>
  <c r="AV192" i="1"/>
  <c r="AV196" i="1"/>
  <c r="AV197" i="1"/>
  <c r="AV200" i="1"/>
  <c r="AV201" i="1"/>
  <c r="AV202" i="1"/>
  <c r="AV205" i="1"/>
  <c r="AV206" i="1"/>
  <c r="AV207" i="1"/>
  <c r="AV210" i="1"/>
  <c r="AV211" i="1"/>
  <c r="AV215" i="1"/>
  <c r="AV216" i="1"/>
  <c r="AV218" i="1"/>
  <c r="AV219" i="1"/>
  <c r="AV222" i="1"/>
  <c r="AV223" i="1"/>
  <c r="AV226" i="1"/>
  <c r="AV229" i="1"/>
  <c r="AV231" i="1"/>
  <c r="AV232" i="1"/>
  <c r="AV236" i="1"/>
  <c r="AV237" i="1"/>
  <c r="AV238" i="1"/>
  <c r="AV241" i="1"/>
  <c r="AV242" i="1"/>
  <c r="AV246" i="1"/>
  <c r="AV248" i="1"/>
  <c r="AV249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4" i="1"/>
  <c r="AV275" i="1"/>
  <c r="AV276" i="1"/>
  <c r="AV277" i="1"/>
  <c r="AV278" i="1"/>
  <c r="AV279" i="1"/>
  <c r="AV280" i="1"/>
  <c r="AV281" i="1"/>
  <c r="AV282" i="1"/>
  <c r="AV285" i="1"/>
  <c r="AV286" i="1"/>
  <c r="AV289" i="1"/>
  <c r="AV290" i="1"/>
  <c r="AV293" i="1"/>
  <c r="AV297" i="1"/>
  <c r="AV298" i="1"/>
  <c r="AV302" i="1"/>
  <c r="AV304" i="1"/>
  <c r="AV306" i="1"/>
  <c r="AV307" i="1"/>
  <c r="AV308" i="1"/>
  <c r="AV312" i="1"/>
  <c r="AV313" i="1"/>
  <c r="AV314" i="1"/>
  <c r="AV315" i="1"/>
  <c r="AV316" i="1"/>
  <c r="AV317" i="1"/>
  <c r="AV318" i="1"/>
  <c r="AV319" i="1"/>
  <c r="AV320" i="1"/>
  <c r="AV321" i="1"/>
  <c r="AV322" i="1"/>
  <c r="AV323" i="1"/>
  <c r="AV324" i="1"/>
  <c r="AV325" i="1"/>
  <c r="AV326" i="1"/>
  <c r="AV327" i="1"/>
  <c r="AV328" i="1"/>
  <c r="AV329" i="1"/>
  <c r="AV332" i="1"/>
  <c r="AV333" i="1"/>
  <c r="AV334" i="1"/>
  <c r="AV337" i="1"/>
  <c r="AV338" i="1"/>
  <c r="AV339" i="1"/>
  <c r="AV340" i="1"/>
  <c r="AV341" i="1"/>
  <c r="AV342" i="1"/>
  <c r="AV346" i="1"/>
  <c r="AV348" i="1"/>
  <c r="AV349" i="1"/>
  <c r="AV351" i="1"/>
  <c r="AV352" i="1"/>
  <c r="AV353" i="1"/>
  <c r="AV354" i="1"/>
  <c r="AV355" i="1"/>
  <c r="AV356" i="1"/>
  <c r="AV357" i="1"/>
  <c r="AV358" i="1"/>
  <c r="AV362" i="1"/>
  <c r="AV364" i="1"/>
  <c r="AV365" i="1"/>
  <c r="AV366" i="1"/>
  <c r="AV367" i="1"/>
  <c r="AV368" i="1"/>
  <c r="AV375" i="1"/>
  <c r="AV377" i="1"/>
  <c r="AV378" i="1"/>
  <c r="AV379" i="1"/>
  <c r="AV380" i="1"/>
  <c r="AV381" i="1"/>
  <c r="AV383" i="1"/>
  <c r="AV385" i="1"/>
  <c r="AV387" i="1"/>
  <c r="AV388" i="1"/>
  <c r="AV389" i="1"/>
  <c r="AV392" i="1"/>
  <c r="AV393" i="1"/>
  <c r="AV395" i="1"/>
  <c r="AV397" i="1"/>
  <c r="AV399" i="1"/>
  <c r="AV400" i="1"/>
  <c r="AV402" i="1"/>
  <c r="AV403" i="1"/>
  <c r="AV404" i="1"/>
  <c r="AV405" i="1"/>
  <c r="AV406" i="1"/>
  <c r="AV407" i="1"/>
  <c r="AV408" i="1"/>
  <c r="AV409" i="1"/>
  <c r="AV410" i="1"/>
  <c r="AV411" i="1"/>
  <c r="AV414" i="1"/>
  <c r="AV415" i="1"/>
  <c r="AV416" i="1"/>
  <c r="AV420" i="1"/>
  <c r="AV421" i="1"/>
  <c r="AV423" i="1"/>
  <c r="AV425" i="1"/>
  <c r="AV430" i="1"/>
  <c r="AV432" i="1"/>
  <c r="AV434" i="1"/>
  <c r="AV435" i="1"/>
  <c r="AV437" i="1"/>
  <c r="AU437" i="1"/>
  <c r="AU435" i="1"/>
  <c r="AU434" i="1"/>
  <c r="AU432" i="1"/>
  <c r="AU430" i="1"/>
  <c r="AU429" i="1"/>
  <c r="AV429" i="1" s="1"/>
  <c r="AU428" i="1"/>
  <c r="AV428" i="1" s="1"/>
  <c r="AU426" i="1"/>
  <c r="AV426" i="1" s="1"/>
  <c r="AU425" i="1"/>
  <c r="AU424" i="1"/>
  <c r="AV424" i="1" s="1"/>
  <c r="AU423" i="1"/>
  <c r="AU422" i="1"/>
  <c r="AV422" i="1" s="1"/>
  <c r="AU421" i="1"/>
  <c r="AU420" i="1"/>
  <c r="AU419" i="1"/>
  <c r="AV419" i="1" s="1"/>
  <c r="AU418" i="1"/>
  <c r="AV418" i="1" s="1"/>
  <c r="AU417" i="1"/>
  <c r="AV417" i="1" s="1"/>
  <c r="AU416" i="1"/>
  <c r="AU415" i="1"/>
  <c r="AU414" i="1"/>
  <c r="AU411" i="1"/>
  <c r="AU410" i="1"/>
  <c r="AU409" i="1"/>
  <c r="AU408" i="1"/>
  <c r="AU407" i="1"/>
  <c r="AU406" i="1"/>
  <c r="AU405" i="1"/>
  <c r="AU404" i="1"/>
  <c r="AU403" i="1"/>
  <c r="AU402" i="1"/>
  <c r="AU401" i="1"/>
  <c r="AV401" i="1" s="1"/>
  <c r="AU400" i="1"/>
  <c r="AU399" i="1"/>
  <c r="AU397" i="1"/>
  <c r="AU395" i="1"/>
  <c r="AU393" i="1"/>
  <c r="AU392" i="1"/>
  <c r="AU389" i="1"/>
  <c r="AU388" i="1"/>
  <c r="AU387" i="1"/>
  <c r="AU385" i="1"/>
  <c r="AU383" i="1"/>
  <c r="AU381" i="1"/>
  <c r="AU380" i="1"/>
  <c r="AU379" i="1"/>
  <c r="AU378" i="1"/>
  <c r="AU377" i="1"/>
  <c r="AU375" i="1"/>
  <c r="AU368" i="1"/>
  <c r="AU367" i="1"/>
  <c r="AU366" i="1"/>
  <c r="AU365" i="1"/>
  <c r="AU364" i="1"/>
  <c r="AU362" i="1"/>
  <c r="AU358" i="1"/>
  <c r="AU357" i="1"/>
  <c r="AU356" i="1"/>
  <c r="AU355" i="1"/>
  <c r="AU354" i="1"/>
  <c r="AU353" i="1"/>
  <c r="AU352" i="1"/>
  <c r="AU351" i="1"/>
  <c r="AU349" i="1"/>
  <c r="AU348" i="1"/>
  <c r="AU346" i="1"/>
  <c r="AU342" i="1"/>
  <c r="AU341" i="1"/>
  <c r="AU340" i="1"/>
  <c r="AU339" i="1"/>
  <c r="AU338" i="1"/>
  <c r="AU337" i="1"/>
  <c r="AU334" i="1"/>
  <c r="AU333" i="1"/>
  <c r="AU332" i="1"/>
  <c r="AU329" i="1"/>
  <c r="AU312" i="1"/>
  <c r="AU308" i="1"/>
  <c r="AU307" i="1"/>
  <c r="AU306" i="1"/>
  <c r="AU304" i="1"/>
  <c r="AU302" i="1"/>
  <c r="AU298" i="1"/>
  <c r="AU297" i="1"/>
  <c r="AU293" i="1"/>
  <c r="AU290" i="1"/>
  <c r="AU289" i="1"/>
  <c r="AU286" i="1"/>
  <c r="AU285" i="1"/>
  <c r="AU282" i="1"/>
  <c r="AU274" i="1"/>
  <c r="AU269" i="1"/>
  <c r="AU254" i="1"/>
  <c r="AU249" i="1"/>
  <c r="AU248" i="1"/>
  <c r="AU246" i="1"/>
  <c r="AU242" i="1"/>
  <c r="AU241" i="1"/>
  <c r="AU238" i="1"/>
  <c r="AU237" i="1"/>
  <c r="AU236" i="1"/>
  <c r="AU232" i="1"/>
  <c r="AU231" i="1"/>
  <c r="AU229" i="1"/>
  <c r="AU226" i="1"/>
  <c r="AU223" i="1"/>
  <c r="AU222" i="1"/>
  <c r="AU219" i="1"/>
  <c r="AU218" i="1"/>
  <c r="AU216" i="1"/>
  <c r="AU215" i="1"/>
  <c r="AU211" i="1"/>
  <c r="AU210" i="1"/>
  <c r="AU207" i="1"/>
  <c r="AU206" i="1"/>
  <c r="AU205" i="1"/>
  <c r="AU202" i="1"/>
  <c r="AU201" i="1"/>
  <c r="AU200" i="1"/>
  <c r="AU197" i="1"/>
  <c r="AU196" i="1"/>
  <c r="AU192" i="1"/>
  <c r="AU191" i="1"/>
  <c r="AU184" i="1"/>
  <c r="AU182" i="1"/>
  <c r="AU181" i="1"/>
  <c r="AU180" i="1"/>
  <c r="AU179" i="1"/>
  <c r="AU178" i="1"/>
  <c r="AU177" i="1"/>
  <c r="AU176" i="1"/>
  <c r="AU175" i="1"/>
  <c r="AU174" i="1"/>
  <c r="AU173" i="1"/>
  <c r="AU172" i="1"/>
  <c r="AU171" i="1"/>
  <c r="AU166" i="1"/>
  <c r="AU165" i="1"/>
  <c r="AU161" i="1"/>
  <c r="AU160" i="1"/>
  <c r="AU156" i="1"/>
  <c r="AU155" i="1"/>
  <c r="AU153" i="1"/>
  <c r="AU151" i="1"/>
  <c r="AU150" i="1"/>
  <c r="AU145" i="1"/>
  <c r="AU144" i="1"/>
  <c r="AU139" i="1"/>
  <c r="AU134" i="1"/>
  <c r="AU129" i="1"/>
  <c r="AU128" i="1"/>
  <c r="AU125" i="1"/>
  <c r="AU122" i="1"/>
  <c r="AU121" i="1"/>
  <c r="AU119" i="1"/>
  <c r="AU114" i="1"/>
  <c r="AU113" i="1"/>
  <c r="AU109" i="1"/>
  <c r="AU108" i="1"/>
  <c r="AU107" i="1"/>
  <c r="AU102" i="1"/>
  <c r="AU97" i="1"/>
  <c r="AU95" i="1"/>
  <c r="AU92" i="1"/>
  <c r="AU85" i="1"/>
  <c r="AU80" i="1"/>
  <c r="AU74" i="1"/>
  <c r="AU71" i="1"/>
  <c r="AU70" i="1"/>
  <c r="AU67" i="1"/>
  <c r="AU66" i="1"/>
  <c r="AU65" i="1"/>
  <c r="AU63" i="1"/>
  <c r="AU59" i="1"/>
  <c r="AU58" i="1"/>
  <c r="AU53" i="1"/>
  <c r="AU52" i="1"/>
  <c r="AU47" i="1"/>
  <c r="AU41" i="1"/>
  <c r="AU37" i="1"/>
  <c r="AU36" i="1"/>
  <c r="AU31" i="1"/>
  <c r="AU26" i="1"/>
  <c r="AU23" i="1"/>
  <c r="AU22" i="1"/>
  <c r="AU21" i="1"/>
  <c r="AU16" i="1"/>
  <c r="AS336" i="1"/>
  <c r="M43" i="33" l="1"/>
  <c r="N43" i="33" s="1"/>
  <c r="M44" i="33"/>
  <c r="N44" i="33" s="1"/>
  <c r="M50" i="33"/>
  <c r="G20" i="34" s="1"/>
  <c r="AT431" i="1"/>
  <c r="BA431" i="1" s="1"/>
  <c r="G16" i="9"/>
  <c r="M49" i="33" l="1"/>
  <c r="N49" i="33" s="1"/>
  <c r="M48" i="33"/>
  <c r="N48" i="33" s="1"/>
  <c r="AT438" i="1"/>
  <c r="BA438" i="1" s="1"/>
  <c r="N50" i="33"/>
  <c r="G12" i="11"/>
  <c r="H12" i="32" s="1"/>
  <c r="G674" i="12"/>
  <c r="J674" i="12" s="1"/>
  <c r="G673" i="12"/>
  <c r="J673" i="12" s="1"/>
  <c r="G670" i="12"/>
  <c r="J670" i="12" s="1"/>
  <c r="G669" i="12"/>
  <c r="J669" i="12" s="1"/>
  <c r="G666" i="12"/>
  <c r="J666" i="12" s="1"/>
  <c r="G677" i="12"/>
  <c r="AC21" i="10"/>
  <c r="AD21" i="10" s="1"/>
  <c r="AC23" i="10"/>
  <c r="AD23" i="10" s="1"/>
  <c r="AC24" i="10"/>
  <c r="AD24" i="10" s="1"/>
  <c r="AC25" i="10"/>
  <c r="AD25" i="10" s="1"/>
  <c r="AC26" i="10"/>
  <c r="AD26" i="10" s="1"/>
  <c r="AC27" i="10"/>
  <c r="AD27" i="10" s="1"/>
  <c r="AC28" i="10"/>
  <c r="AD28" i="10" s="1"/>
  <c r="AC29" i="10"/>
  <c r="AD29" i="10" s="1"/>
  <c r="AC30" i="10"/>
  <c r="AD30" i="10" s="1"/>
  <c r="AC31" i="10"/>
  <c r="AD31" i="10" s="1"/>
  <c r="AC32" i="10"/>
  <c r="AC33" i="10"/>
  <c r="AD33" i="10" s="1"/>
  <c r="AC35" i="10"/>
  <c r="AD35" i="10" s="1"/>
  <c r="AC36" i="10"/>
  <c r="AD36" i="10" s="1"/>
  <c r="AC38" i="10"/>
  <c r="AD38" i="10" s="1"/>
  <c r="AC39" i="10"/>
  <c r="AD39" i="10" s="1"/>
  <c r="AC41" i="10"/>
  <c r="AD41" i="10" s="1"/>
  <c r="AC49" i="10"/>
  <c r="AD49" i="10" s="1"/>
  <c r="AC50" i="10"/>
  <c r="AD50" i="10" s="1"/>
  <c r="AC51" i="10"/>
  <c r="AD51" i="10" s="1"/>
  <c r="AC55" i="10"/>
  <c r="AD55" i="10" s="1"/>
  <c r="AB44" i="10"/>
  <c r="AC44" i="10" s="1"/>
  <c r="AD44" i="10" s="1"/>
  <c r="AS252" i="1"/>
  <c r="AB34" i="10"/>
  <c r="AS209" i="1"/>
  <c r="AS239" i="1"/>
  <c r="AS240" i="1" s="1"/>
  <c r="AS234" i="1"/>
  <c r="AS229" i="1"/>
  <c r="AS228" i="1"/>
  <c r="AS227" i="1"/>
  <c r="AS220" i="1"/>
  <c r="AS221" i="1" s="1"/>
  <c r="AS214" i="1"/>
  <c r="AS204" i="1"/>
  <c r="AS194" i="1"/>
  <c r="BB436" i="1" l="1"/>
  <c r="BD436" i="1" s="1"/>
  <c r="BA436" i="1"/>
  <c r="BD437" i="1" s="1"/>
  <c r="J681" i="12"/>
  <c r="AT20" i="13" s="1"/>
  <c r="AR183" i="1"/>
  <c r="AS39" i="1"/>
  <c r="AR10" i="13"/>
  <c r="AS382" i="1"/>
  <c r="AS384" i="1" s="1"/>
  <c r="AS374" i="1"/>
  <c r="AS373" i="1"/>
  <c r="AS372" i="1"/>
  <c r="AS361" i="1"/>
  <c r="AS360" i="1"/>
  <c r="AS359" i="1"/>
  <c r="AS331" i="1"/>
  <c r="AS310" i="1"/>
  <c r="AS301" i="1"/>
  <c r="AS288" i="1"/>
  <c r="AS284" i="1"/>
  <c r="AS295" i="1" s="1"/>
  <c r="AS272" i="1"/>
  <c r="AS294" i="1" s="1"/>
  <c r="AS163" i="1"/>
  <c r="AS158" i="1"/>
  <c r="AS148" i="1"/>
  <c r="AS142" i="1"/>
  <c r="AS132" i="1"/>
  <c r="AS126" i="1"/>
  <c r="AN391" i="1"/>
  <c r="AO391" i="1"/>
  <c r="AP391" i="1"/>
  <c r="AR391" i="1"/>
  <c r="AM391" i="1"/>
  <c r="AR331" i="1"/>
  <c r="AQ39" i="1"/>
  <c r="AX15" i="1"/>
  <c r="AX16" i="1"/>
  <c r="AX21" i="1"/>
  <c r="AX22" i="1"/>
  <c r="AX23" i="1"/>
  <c r="AX26" i="1"/>
  <c r="AX27" i="1"/>
  <c r="AX28" i="1"/>
  <c r="AX29" i="1"/>
  <c r="AX30" i="1"/>
  <c r="AX31" i="1"/>
  <c r="AX34" i="1"/>
  <c r="AX36" i="1"/>
  <c r="AX37" i="1"/>
  <c r="AX41" i="1"/>
  <c r="AX42" i="1"/>
  <c r="AX43" i="1"/>
  <c r="AX44" i="1"/>
  <c r="AX45" i="1"/>
  <c r="AX46" i="1"/>
  <c r="AX47" i="1"/>
  <c r="AX52" i="1"/>
  <c r="AX53" i="1"/>
  <c r="AX58" i="1"/>
  <c r="AX59" i="1"/>
  <c r="AX65" i="1"/>
  <c r="AX66" i="1"/>
  <c r="AX67" i="1"/>
  <c r="AX70" i="1"/>
  <c r="AX71" i="1"/>
  <c r="AX74" i="1"/>
  <c r="AX75" i="1"/>
  <c r="AX76" i="1"/>
  <c r="AX77" i="1"/>
  <c r="AX78" i="1"/>
  <c r="AX79" i="1"/>
  <c r="AX80" i="1"/>
  <c r="AX85" i="1"/>
  <c r="AX86" i="1"/>
  <c r="AX87" i="1"/>
  <c r="AX88" i="1"/>
  <c r="AX89" i="1"/>
  <c r="AX90" i="1"/>
  <c r="AX91" i="1"/>
  <c r="AX92" i="1"/>
  <c r="AX97" i="1"/>
  <c r="AX98" i="1"/>
  <c r="AX99" i="1"/>
  <c r="AX100" i="1"/>
  <c r="AX101" i="1"/>
  <c r="AX102" i="1"/>
  <c r="AX103" i="1"/>
  <c r="AX107" i="1"/>
  <c r="AX108" i="1"/>
  <c r="AX113" i="1"/>
  <c r="AX114" i="1"/>
  <c r="AX119" i="1"/>
  <c r="AX14" i="1"/>
  <c r="AS118" i="1"/>
  <c r="AS111" i="1"/>
  <c r="AX111" i="1" s="1"/>
  <c r="AS105" i="1"/>
  <c r="AX105" i="1" s="1"/>
  <c r="AS95" i="1"/>
  <c r="AX95" i="1" s="1"/>
  <c r="AS83" i="1"/>
  <c r="AX83" i="1" s="1"/>
  <c r="AS72" i="1"/>
  <c r="AS73" i="1" s="1"/>
  <c r="AS62" i="1"/>
  <c r="AX62" i="1" s="1"/>
  <c r="AS50" i="1"/>
  <c r="AS33" i="1"/>
  <c r="AX33" i="1" s="1"/>
  <c r="AS24" i="1"/>
  <c r="AS19" i="1"/>
  <c r="AX19" i="1" s="1"/>
  <c r="AS363" i="1" l="1"/>
  <c r="G33" i="34"/>
  <c r="K32" i="34" s="1"/>
  <c r="AS436" i="1"/>
  <c r="AS438" i="1" s="1"/>
  <c r="AS169" i="1"/>
  <c r="AS345" i="1"/>
  <c r="AS376" i="1"/>
  <c r="AS386" i="1" s="1"/>
  <c r="AX72" i="1"/>
  <c r="AS25" i="1"/>
  <c r="G35" i="34" l="1"/>
  <c r="F47" i="34"/>
  <c r="E438" i="29"/>
  <c r="AU436" i="1"/>
  <c r="AV436" i="1" s="1"/>
  <c r="G36" i="34" l="1"/>
  <c r="G38" i="34" s="1"/>
  <c r="AB19" i="10"/>
  <c r="D13" i="11"/>
  <c r="E13" i="32" s="1"/>
  <c r="AV26" i="10"/>
  <c r="N36" i="34" l="1"/>
  <c r="L38" i="34"/>
  <c r="M38" i="34" s="1"/>
  <c r="M40" i="34"/>
  <c r="G40" i="34"/>
  <c r="G45" i="34" s="1"/>
  <c r="K33" i="34"/>
  <c r="AA65" i="10"/>
  <c r="E183" i="29" l="1"/>
  <c r="L34" i="34"/>
  <c r="L35" i="34"/>
  <c r="F45" i="34"/>
  <c r="AU183" i="1" l="1"/>
  <c r="AV183" i="1" s="1"/>
  <c r="AB12" i="10"/>
  <c r="C27" i="11" l="1"/>
  <c r="D27" i="32" s="1"/>
  <c r="F102" i="29" l="1"/>
  <c r="F103" i="29"/>
  <c r="F105" i="29"/>
  <c r="F107" i="29"/>
  <c r="F108" i="29"/>
  <c r="F111" i="29"/>
  <c r="F113" i="29"/>
  <c r="F85" i="29"/>
  <c r="F86" i="29"/>
  <c r="F62" i="29"/>
  <c r="F41" i="29"/>
  <c r="F42" i="29"/>
  <c r="F43" i="29"/>
  <c r="F44" i="29"/>
  <c r="F45" i="29"/>
  <c r="F46" i="29"/>
  <c r="F47" i="29"/>
  <c r="F52" i="29"/>
  <c r="F53" i="29"/>
  <c r="F58" i="29"/>
  <c r="F59" i="29"/>
  <c r="F65" i="29"/>
  <c r="F66" i="29"/>
  <c r="F67" i="29"/>
  <c r="F70" i="29"/>
  <c r="F71" i="29"/>
  <c r="F72" i="29"/>
  <c r="F74" i="29"/>
  <c r="F75" i="29"/>
  <c r="F76" i="29"/>
  <c r="F77" i="29"/>
  <c r="F78" i="29"/>
  <c r="F79" i="29"/>
  <c r="F80" i="29"/>
  <c r="F87" i="29"/>
  <c r="F88" i="29"/>
  <c r="F89" i="29"/>
  <c r="F90" i="29"/>
  <c r="F91" i="29"/>
  <c r="F92" i="29"/>
  <c r="F95" i="29"/>
  <c r="F97" i="29"/>
  <c r="F98" i="29"/>
  <c r="F99" i="29"/>
  <c r="F100" i="29"/>
  <c r="F101" i="29"/>
  <c r="F114" i="29"/>
  <c r="F119" i="29"/>
  <c r="F127" i="29"/>
  <c r="F128" i="29"/>
  <c r="F129" i="29"/>
  <c r="F130" i="29"/>
  <c r="F132" i="29"/>
  <c r="F133" i="29"/>
  <c r="F134" i="29"/>
  <c r="F135" i="29"/>
  <c r="F136" i="29"/>
  <c r="F137" i="29"/>
  <c r="F138" i="29"/>
  <c r="F142" i="29"/>
  <c r="F143" i="29"/>
  <c r="F144" i="29"/>
  <c r="F145" i="29"/>
  <c r="F146" i="29"/>
  <c r="F147" i="29"/>
  <c r="F148" i="29"/>
  <c r="F149" i="29"/>
  <c r="F150" i="29"/>
  <c r="F151" i="29"/>
  <c r="F152" i="29"/>
  <c r="F153" i="29"/>
  <c r="F154" i="29"/>
  <c r="F155" i="29"/>
  <c r="F156" i="29"/>
  <c r="F157" i="29"/>
  <c r="F158" i="29"/>
  <c r="F159" i="29"/>
  <c r="F160" i="29"/>
  <c r="F161" i="29"/>
  <c r="F162" i="29"/>
  <c r="F163" i="29"/>
  <c r="F164" i="29"/>
  <c r="F165" i="29"/>
  <c r="F166" i="29"/>
  <c r="F167" i="29"/>
  <c r="F168" i="29"/>
  <c r="F169" i="29"/>
  <c r="F170" i="29"/>
  <c r="F183" i="29"/>
  <c r="F206" i="29"/>
  <c r="F207" i="29"/>
  <c r="F209" i="29"/>
  <c r="F210" i="29"/>
  <c r="F211" i="29"/>
  <c r="F213" i="29"/>
  <c r="F214" i="29"/>
  <c r="F251" i="29"/>
  <c r="F252" i="29"/>
  <c r="F301" i="29"/>
  <c r="F376" i="29"/>
  <c r="F391" i="29"/>
  <c r="F410" i="29"/>
  <c r="F417" i="29"/>
  <c r="F14" i="29"/>
  <c r="F15" i="29"/>
  <c r="F16" i="29"/>
  <c r="F19" i="29"/>
  <c r="F21" i="29"/>
  <c r="F22" i="29"/>
  <c r="F23" i="29"/>
  <c r="F26" i="29"/>
  <c r="F27" i="29"/>
  <c r="F28" i="29"/>
  <c r="F29" i="29"/>
  <c r="F30" i="29"/>
  <c r="F31" i="29"/>
  <c r="F33" i="29"/>
  <c r="F34" i="29"/>
  <c r="F36" i="29"/>
  <c r="F37" i="29"/>
  <c r="B13" i="29" l="1"/>
  <c r="B14" i="29"/>
  <c r="B15" i="29"/>
  <c r="B21" i="29"/>
  <c r="B22" i="29"/>
  <c r="B23" i="29"/>
  <c r="B24" i="29"/>
  <c r="B25" i="29"/>
  <c r="B26" i="29"/>
  <c r="B27" i="29"/>
  <c r="C27" i="29"/>
  <c r="B28" i="29"/>
  <c r="C28" i="29"/>
  <c r="B29" i="29"/>
  <c r="C29" i="29"/>
  <c r="B30" i="29"/>
  <c r="C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C42" i="29"/>
  <c r="B43" i="29"/>
  <c r="C43" i="29"/>
  <c r="B44" i="29"/>
  <c r="C44" i="29"/>
  <c r="B45" i="29"/>
  <c r="C45" i="29"/>
  <c r="B46" i="29"/>
  <c r="C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C75" i="29"/>
  <c r="B76" i="29"/>
  <c r="C76" i="29"/>
  <c r="B77" i="29"/>
  <c r="C77" i="29"/>
  <c r="B78" i="29"/>
  <c r="C78" i="29"/>
  <c r="B79" i="29"/>
  <c r="C79" i="29"/>
  <c r="B80" i="29"/>
  <c r="B81" i="29"/>
  <c r="B82" i="29"/>
  <c r="B83" i="29"/>
  <c r="B84" i="29"/>
  <c r="B85" i="29"/>
  <c r="B86" i="29"/>
  <c r="C86" i="29"/>
  <c r="B87" i="29"/>
  <c r="C87" i="29"/>
  <c r="B88" i="29"/>
  <c r="C88" i="29"/>
  <c r="B89" i="29"/>
  <c r="C89" i="29"/>
  <c r="B90" i="29"/>
  <c r="C90" i="29"/>
  <c r="B91" i="29"/>
  <c r="C91" i="29"/>
  <c r="B92" i="29"/>
  <c r="B93" i="29"/>
  <c r="B94" i="29"/>
  <c r="B95" i="29"/>
  <c r="B96" i="29"/>
  <c r="B97" i="29"/>
  <c r="B98" i="29"/>
  <c r="C98" i="29"/>
  <c r="B99" i="29"/>
  <c r="C99" i="29"/>
  <c r="B100" i="29"/>
  <c r="C100" i="29"/>
  <c r="B101" i="29"/>
  <c r="C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B114" i="29"/>
  <c r="B115" i="29"/>
  <c r="B116" i="29"/>
  <c r="B117" i="29"/>
  <c r="B118" i="29"/>
  <c r="B119" i="29"/>
  <c r="B120" i="29"/>
  <c r="B121" i="29"/>
  <c r="B122" i="29"/>
  <c r="B123" i="29"/>
  <c r="B124" i="29"/>
  <c r="I124" i="29" s="1"/>
  <c r="B125" i="29"/>
  <c r="B127" i="29"/>
  <c r="B128" i="29"/>
  <c r="B129" i="29"/>
  <c r="B130" i="29"/>
  <c r="B131" i="29"/>
  <c r="B132" i="29"/>
  <c r="I132" i="29" s="1"/>
  <c r="B133" i="29"/>
  <c r="B134" i="29"/>
  <c r="B135" i="29"/>
  <c r="C135" i="29"/>
  <c r="B136" i="29"/>
  <c r="C136" i="29"/>
  <c r="B137" i="29"/>
  <c r="C137" i="29"/>
  <c r="B138" i="29"/>
  <c r="C138" i="29"/>
  <c r="B139" i="29"/>
  <c r="B140" i="29"/>
  <c r="B141" i="29"/>
  <c r="I141" i="29" s="1"/>
  <c r="B142" i="29"/>
  <c r="I142" i="29" s="1"/>
  <c r="B143" i="29"/>
  <c r="B144" i="29"/>
  <c r="B145" i="29"/>
  <c r="B146" i="29"/>
  <c r="B147" i="29"/>
  <c r="B148" i="29"/>
  <c r="B149" i="29"/>
  <c r="B150" i="29"/>
  <c r="B151" i="29"/>
  <c r="B152" i="29"/>
  <c r="B153" i="29"/>
  <c r="B154" i="29"/>
  <c r="B155" i="29"/>
  <c r="B156" i="29"/>
  <c r="B157" i="29"/>
  <c r="B158" i="29"/>
  <c r="B159" i="29"/>
  <c r="B160" i="29"/>
  <c r="B161" i="29"/>
  <c r="B162" i="29"/>
  <c r="B163" i="29"/>
  <c r="B164" i="29"/>
  <c r="B165" i="29"/>
  <c r="B166" i="29"/>
  <c r="B167" i="29"/>
  <c r="B168" i="29"/>
  <c r="B169" i="29"/>
  <c r="B170" i="29"/>
  <c r="B171" i="29"/>
  <c r="B172" i="29"/>
  <c r="B173" i="29"/>
  <c r="B174" i="29"/>
  <c r="B175" i="29"/>
  <c r="B176" i="29"/>
  <c r="B177" i="29"/>
  <c r="B178" i="29"/>
  <c r="B179" i="29"/>
  <c r="B180" i="29"/>
  <c r="B181" i="29"/>
  <c r="B182" i="29"/>
  <c r="B183" i="29"/>
  <c r="B184" i="29"/>
  <c r="B185" i="29"/>
  <c r="C185" i="29"/>
  <c r="B186" i="29"/>
  <c r="C186" i="29"/>
  <c r="B187" i="29"/>
  <c r="C187" i="29"/>
  <c r="B188" i="29"/>
  <c r="C188" i="29"/>
  <c r="B189" i="29"/>
  <c r="C189" i="29"/>
  <c r="B190" i="29"/>
  <c r="C190" i="29"/>
  <c r="B191" i="29"/>
  <c r="B192" i="29"/>
  <c r="B193" i="29"/>
  <c r="B194" i="29"/>
  <c r="B195" i="29"/>
  <c r="B196" i="29"/>
  <c r="B197" i="29"/>
  <c r="B198" i="29"/>
  <c r="B199" i="29"/>
  <c r="B200" i="29"/>
  <c r="B201" i="29"/>
  <c r="B202" i="29"/>
  <c r="B203" i="29"/>
  <c r="B204" i="29"/>
  <c r="B205" i="29"/>
  <c r="B206" i="29"/>
  <c r="B207" i="29"/>
  <c r="B209" i="29"/>
  <c r="B210" i="29"/>
  <c r="B211" i="29"/>
  <c r="B212" i="29"/>
  <c r="B213" i="29"/>
  <c r="I213" i="29" s="1"/>
  <c r="B214" i="29"/>
  <c r="B215" i="29"/>
  <c r="B216" i="29"/>
  <c r="B217" i="29"/>
  <c r="B218" i="29"/>
  <c r="B219" i="29"/>
  <c r="B220" i="29"/>
  <c r="B221" i="29"/>
  <c r="B222" i="29"/>
  <c r="B223" i="29"/>
  <c r="B224" i="29"/>
  <c r="B225" i="29"/>
  <c r="B226" i="29"/>
  <c r="B227" i="29"/>
  <c r="B228" i="29"/>
  <c r="B229" i="29"/>
  <c r="B230" i="29"/>
  <c r="B231" i="29"/>
  <c r="B232" i="29"/>
  <c r="B233" i="29"/>
  <c r="B234" i="29"/>
  <c r="B235" i="29"/>
  <c r="B236" i="29"/>
  <c r="B237" i="29"/>
  <c r="B238" i="29"/>
  <c r="B239" i="29"/>
  <c r="I239" i="29" s="1"/>
  <c r="B240" i="29"/>
  <c r="B241" i="29"/>
  <c r="B242" i="29"/>
  <c r="B243" i="29"/>
  <c r="B244" i="29"/>
  <c r="B245" i="29"/>
  <c r="B246" i="29"/>
  <c r="B247" i="29"/>
  <c r="B248" i="29"/>
  <c r="B249" i="29"/>
  <c r="B250" i="29"/>
  <c r="B251" i="29"/>
  <c r="B252" i="29"/>
  <c r="I252" i="29" s="1"/>
  <c r="B253" i="29"/>
  <c r="B254" i="29"/>
  <c r="B255" i="29"/>
  <c r="C255" i="29"/>
  <c r="B256" i="29"/>
  <c r="C256" i="29"/>
  <c r="B257" i="29"/>
  <c r="C257" i="29"/>
  <c r="B258" i="29"/>
  <c r="C258" i="29"/>
  <c r="B259" i="29"/>
  <c r="C259" i="29"/>
  <c r="B260" i="29"/>
  <c r="C260" i="29"/>
  <c r="B261" i="29"/>
  <c r="C261" i="29"/>
  <c r="B262" i="29"/>
  <c r="C262" i="29"/>
  <c r="B263" i="29"/>
  <c r="C263" i="29"/>
  <c r="B264" i="29"/>
  <c r="C264" i="29"/>
  <c r="B265" i="29"/>
  <c r="C265" i="29"/>
  <c r="B266" i="29"/>
  <c r="C266" i="29"/>
  <c r="B267" i="29"/>
  <c r="C267" i="29"/>
  <c r="B268" i="29"/>
  <c r="C268" i="29"/>
  <c r="B269" i="29"/>
  <c r="B270" i="29"/>
  <c r="B271" i="29"/>
  <c r="B272" i="29"/>
  <c r="B273" i="29"/>
  <c r="B274" i="29"/>
  <c r="B275" i="29"/>
  <c r="C275" i="29"/>
  <c r="B276" i="29"/>
  <c r="C276" i="29"/>
  <c r="B277" i="29"/>
  <c r="C277" i="29"/>
  <c r="B278" i="29"/>
  <c r="C278" i="29"/>
  <c r="B279" i="29"/>
  <c r="C279" i="29"/>
  <c r="B280" i="29"/>
  <c r="C280" i="29"/>
  <c r="B281" i="29"/>
  <c r="C281" i="29"/>
  <c r="B282" i="29"/>
  <c r="B283" i="29"/>
  <c r="B284" i="29"/>
  <c r="B285" i="29"/>
  <c r="B286" i="29"/>
  <c r="B287" i="29"/>
  <c r="B288" i="29"/>
  <c r="B289" i="29"/>
  <c r="B290" i="29"/>
  <c r="B291" i="29"/>
  <c r="B292" i="29"/>
  <c r="B293" i="29"/>
  <c r="B294" i="29"/>
  <c r="B295" i="29"/>
  <c r="B296" i="29"/>
  <c r="B297" i="29"/>
  <c r="B298" i="29"/>
  <c r="B299" i="29"/>
  <c r="B300" i="29"/>
  <c r="B301" i="29"/>
  <c r="I301" i="29" s="1"/>
  <c r="B302" i="29"/>
  <c r="B303" i="29"/>
  <c r="B304" i="29"/>
  <c r="B305" i="29"/>
  <c r="B306" i="29"/>
  <c r="B307" i="29"/>
  <c r="B308" i="29"/>
  <c r="B309" i="29"/>
  <c r="B310" i="29"/>
  <c r="B311" i="29"/>
  <c r="B312" i="29"/>
  <c r="B313" i="29"/>
  <c r="C313" i="29"/>
  <c r="B314" i="29"/>
  <c r="C314" i="29"/>
  <c r="B315" i="29"/>
  <c r="C315" i="29"/>
  <c r="B316" i="29"/>
  <c r="C316" i="29"/>
  <c r="B317" i="29"/>
  <c r="C317" i="29"/>
  <c r="B318" i="29"/>
  <c r="C318" i="29"/>
  <c r="B319" i="29"/>
  <c r="C319" i="29"/>
  <c r="B320" i="29"/>
  <c r="C320" i="29"/>
  <c r="B321" i="29"/>
  <c r="C321" i="29"/>
  <c r="B322" i="29"/>
  <c r="C322" i="29"/>
  <c r="B323" i="29"/>
  <c r="C323" i="29"/>
  <c r="B324" i="29"/>
  <c r="C324" i="29"/>
  <c r="B325" i="29"/>
  <c r="C325" i="29"/>
  <c r="B326" i="29"/>
  <c r="C326" i="29"/>
  <c r="B327" i="29"/>
  <c r="C327" i="29"/>
  <c r="B328" i="29"/>
  <c r="C328" i="29"/>
  <c r="B329" i="29"/>
  <c r="B330" i="29"/>
  <c r="B331" i="29"/>
  <c r="B332" i="29"/>
  <c r="B333" i="29"/>
  <c r="B334" i="29"/>
  <c r="B335" i="29"/>
  <c r="B336" i="29"/>
  <c r="B337" i="29"/>
  <c r="B338" i="29"/>
  <c r="C338" i="29"/>
  <c r="B339" i="29"/>
  <c r="C339" i="29"/>
  <c r="B340" i="29"/>
  <c r="C340" i="29"/>
  <c r="B341" i="29"/>
  <c r="C341" i="29"/>
  <c r="B342" i="29"/>
  <c r="B343" i="29"/>
  <c r="B344" i="29"/>
  <c r="B345" i="29"/>
  <c r="B346" i="29"/>
  <c r="B347" i="29"/>
  <c r="B348" i="29"/>
  <c r="B349" i="29"/>
  <c r="B350" i="29"/>
  <c r="B351" i="29"/>
  <c r="B352" i="29"/>
  <c r="B353" i="29"/>
  <c r="B354" i="29"/>
  <c r="B355" i="29"/>
  <c r="B356" i="29"/>
  <c r="B357" i="29"/>
  <c r="B358" i="29"/>
  <c r="B359" i="29"/>
  <c r="B360" i="29"/>
  <c r="B361" i="29"/>
  <c r="B362" i="29"/>
  <c r="B363" i="29"/>
  <c r="B364" i="29"/>
  <c r="B365" i="29"/>
  <c r="B366" i="29"/>
  <c r="B367" i="29"/>
  <c r="B368" i="29"/>
  <c r="B369" i="29"/>
  <c r="B370" i="29"/>
  <c r="B371" i="29"/>
  <c r="B372" i="29"/>
  <c r="B373" i="29"/>
  <c r="B374" i="29"/>
  <c r="B375" i="29"/>
  <c r="B376" i="29"/>
  <c r="B377" i="29"/>
  <c r="B378" i="29"/>
  <c r="B379" i="29"/>
  <c r="B380" i="29"/>
  <c r="B381" i="29"/>
  <c r="B382" i="29"/>
  <c r="B383" i="29"/>
  <c r="B384" i="29"/>
  <c r="B385" i="29"/>
  <c r="B386" i="29"/>
  <c r="B387" i="29"/>
  <c r="B388" i="29"/>
  <c r="B389" i="29"/>
  <c r="B390" i="29"/>
  <c r="B391" i="29"/>
  <c r="B392" i="29"/>
  <c r="B393" i="29"/>
  <c r="B394" i="29"/>
  <c r="B395" i="29"/>
  <c r="B396" i="29"/>
  <c r="B397" i="29"/>
  <c r="B398" i="29"/>
  <c r="B399" i="29"/>
  <c r="B400" i="29"/>
  <c r="B401" i="29"/>
  <c r="B402" i="29"/>
  <c r="B403" i="29"/>
  <c r="B404" i="29"/>
  <c r="B405" i="29"/>
  <c r="B406" i="29"/>
  <c r="B407" i="29"/>
  <c r="B408" i="29"/>
  <c r="B409" i="29"/>
  <c r="B410" i="29"/>
  <c r="B411" i="29"/>
  <c r="B412" i="29"/>
  <c r="B413" i="29"/>
  <c r="B414" i="29"/>
  <c r="B415" i="29"/>
  <c r="B416" i="29"/>
  <c r="B417" i="29"/>
  <c r="B418" i="29"/>
  <c r="B419" i="29"/>
  <c r="B420" i="29"/>
  <c r="B421" i="29"/>
  <c r="B422" i="29"/>
  <c r="B423" i="29"/>
  <c r="B424" i="29"/>
  <c r="B425" i="29"/>
  <c r="B426" i="29"/>
  <c r="B427" i="29"/>
  <c r="B428" i="29"/>
  <c r="B429" i="29"/>
  <c r="B430" i="29"/>
  <c r="B431" i="29"/>
  <c r="B432" i="29"/>
  <c r="B433" i="29"/>
  <c r="B434" i="29"/>
  <c r="B435" i="29"/>
  <c r="B436" i="29"/>
  <c r="B437" i="29"/>
  <c r="B438" i="29"/>
  <c r="B12" i="29"/>
  <c r="D13" i="29"/>
  <c r="D14" i="29"/>
  <c r="D15" i="29"/>
  <c r="D16" i="29"/>
  <c r="D17" i="29"/>
  <c r="D18" i="29"/>
  <c r="D19" i="29"/>
  <c r="D20" i="29"/>
  <c r="D22" i="29"/>
  <c r="D23" i="29"/>
  <c r="D24" i="29"/>
  <c r="D25" i="29"/>
  <c r="D27" i="29"/>
  <c r="D28" i="29"/>
  <c r="D29" i="29"/>
  <c r="D30" i="29"/>
  <c r="D31" i="29"/>
  <c r="D32" i="29"/>
  <c r="D33" i="29"/>
  <c r="D34" i="29"/>
  <c r="D35" i="29"/>
  <c r="D37" i="29"/>
  <c r="D38" i="29"/>
  <c r="D39" i="29"/>
  <c r="D40" i="29"/>
  <c r="D42" i="29"/>
  <c r="D43" i="29"/>
  <c r="D44" i="29"/>
  <c r="D45" i="29"/>
  <c r="D46" i="29"/>
  <c r="D47" i="29"/>
  <c r="D48" i="29"/>
  <c r="D49" i="29"/>
  <c r="D50" i="29"/>
  <c r="D51" i="29"/>
  <c r="D53" i="29"/>
  <c r="D54" i="29"/>
  <c r="D55" i="29"/>
  <c r="D56" i="29"/>
  <c r="D57" i="29"/>
  <c r="D59" i="29"/>
  <c r="D60" i="29"/>
  <c r="D61" i="29"/>
  <c r="D62" i="29"/>
  <c r="D63" i="29"/>
  <c r="D64" i="29"/>
  <c r="D65" i="29"/>
  <c r="D66" i="29"/>
  <c r="D67" i="29"/>
  <c r="D68" i="29"/>
  <c r="D69" i="29"/>
  <c r="D71" i="29"/>
  <c r="D72" i="29"/>
  <c r="D73" i="29"/>
  <c r="D75" i="29"/>
  <c r="D76" i="29"/>
  <c r="D77" i="29"/>
  <c r="D78" i="29"/>
  <c r="D79" i="29"/>
  <c r="D80" i="29"/>
  <c r="D81" i="29"/>
  <c r="D82" i="29"/>
  <c r="D83" i="29"/>
  <c r="D84" i="29"/>
  <c r="D86" i="29"/>
  <c r="D87" i="29"/>
  <c r="D88" i="29"/>
  <c r="D89" i="29"/>
  <c r="D90" i="29"/>
  <c r="D91" i="29"/>
  <c r="D92" i="29"/>
  <c r="D93" i="29"/>
  <c r="D94" i="29"/>
  <c r="D95" i="29"/>
  <c r="D96" i="29"/>
  <c r="D98" i="29"/>
  <c r="D99" i="29"/>
  <c r="D100" i="29"/>
  <c r="D101" i="29"/>
  <c r="D102" i="29"/>
  <c r="D103" i="29"/>
  <c r="D104" i="29"/>
  <c r="D105" i="29"/>
  <c r="D106" i="29"/>
  <c r="D108" i="29"/>
  <c r="D109" i="29"/>
  <c r="D110" i="29"/>
  <c r="D111" i="29"/>
  <c r="D112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9" i="29"/>
  <c r="D130" i="29"/>
  <c r="D131" i="29"/>
  <c r="D132" i="29"/>
  <c r="D133" i="29"/>
  <c r="D135" i="29"/>
  <c r="D136" i="29"/>
  <c r="D137" i="29"/>
  <c r="D138" i="29"/>
  <c r="D139" i="29"/>
  <c r="D140" i="29"/>
  <c r="D141" i="29"/>
  <c r="D142" i="29"/>
  <c r="D143" i="29"/>
  <c r="D145" i="29"/>
  <c r="D146" i="29"/>
  <c r="D147" i="29"/>
  <c r="D148" i="29"/>
  <c r="D149" i="29"/>
  <c r="D151" i="29"/>
  <c r="D152" i="29"/>
  <c r="D153" i="29"/>
  <c r="D154" i="29"/>
  <c r="D156" i="29"/>
  <c r="D157" i="29"/>
  <c r="D158" i="29"/>
  <c r="D159" i="29"/>
  <c r="D161" i="29"/>
  <c r="D162" i="29"/>
  <c r="D163" i="29"/>
  <c r="D164" i="29"/>
  <c r="D166" i="29"/>
  <c r="D167" i="29"/>
  <c r="D168" i="29"/>
  <c r="D169" i="29"/>
  <c r="D170" i="29"/>
  <c r="D172" i="29"/>
  <c r="D173" i="29"/>
  <c r="D174" i="29"/>
  <c r="D175" i="29"/>
  <c r="D176" i="29"/>
  <c r="D177" i="29"/>
  <c r="D178" i="29"/>
  <c r="D179" i="29"/>
  <c r="D180" i="29"/>
  <c r="D181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7" i="29"/>
  <c r="D198" i="29"/>
  <c r="D199" i="29"/>
  <c r="D201" i="29"/>
  <c r="D202" i="29"/>
  <c r="D203" i="29"/>
  <c r="D204" i="29"/>
  <c r="D206" i="29"/>
  <c r="D208" i="29"/>
  <c r="D209" i="29"/>
  <c r="D211" i="29"/>
  <c r="D212" i="29"/>
  <c r="D213" i="29"/>
  <c r="D214" i="29"/>
  <c r="D215" i="29"/>
  <c r="D216" i="29"/>
  <c r="D217" i="29"/>
  <c r="D219" i="29"/>
  <c r="D220" i="29"/>
  <c r="D221" i="29"/>
  <c r="D223" i="29"/>
  <c r="D224" i="29"/>
  <c r="D225" i="29"/>
  <c r="D226" i="29"/>
  <c r="D227" i="29"/>
  <c r="D228" i="29"/>
  <c r="D229" i="29"/>
  <c r="D230" i="29"/>
  <c r="D231" i="29"/>
  <c r="D232" i="29"/>
  <c r="D233" i="29"/>
  <c r="D234" i="29"/>
  <c r="D235" i="29"/>
  <c r="D236" i="29"/>
  <c r="D237" i="29"/>
  <c r="D238" i="29"/>
  <c r="D239" i="29"/>
  <c r="D240" i="29"/>
  <c r="D242" i="29"/>
  <c r="D243" i="29"/>
  <c r="D244" i="29"/>
  <c r="D245" i="29"/>
  <c r="D246" i="29"/>
  <c r="D247" i="29"/>
  <c r="D248" i="29"/>
  <c r="D249" i="29"/>
  <c r="D250" i="29"/>
  <c r="D251" i="29"/>
  <c r="D252" i="29"/>
  <c r="D253" i="29"/>
  <c r="D255" i="29"/>
  <c r="D256" i="29"/>
  <c r="D257" i="29"/>
  <c r="D258" i="29"/>
  <c r="D259" i="29"/>
  <c r="D260" i="29"/>
  <c r="D261" i="29"/>
  <c r="D262" i="29"/>
  <c r="D263" i="29"/>
  <c r="D264" i="29"/>
  <c r="D265" i="29"/>
  <c r="D266" i="29"/>
  <c r="D267" i="29"/>
  <c r="D268" i="29"/>
  <c r="D269" i="29"/>
  <c r="D270" i="29"/>
  <c r="D271" i="29"/>
  <c r="D272" i="29"/>
  <c r="D273" i="29"/>
  <c r="D275" i="29"/>
  <c r="D276" i="29"/>
  <c r="D277" i="29"/>
  <c r="D278" i="29"/>
  <c r="D279" i="29"/>
  <c r="D280" i="29"/>
  <c r="D281" i="29"/>
  <c r="D282" i="29"/>
  <c r="D283" i="29"/>
  <c r="D284" i="29"/>
  <c r="D286" i="29"/>
  <c r="D287" i="29"/>
  <c r="D288" i="29"/>
  <c r="D290" i="29"/>
  <c r="D291" i="29"/>
  <c r="D292" i="29"/>
  <c r="D293" i="29"/>
  <c r="D294" i="29"/>
  <c r="D295" i="29"/>
  <c r="D296" i="29"/>
  <c r="D297" i="29"/>
  <c r="D298" i="29"/>
  <c r="D299" i="29"/>
  <c r="D300" i="29"/>
  <c r="D301" i="29"/>
  <c r="D302" i="29"/>
  <c r="D303" i="29"/>
  <c r="D304" i="29"/>
  <c r="D305" i="29"/>
  <c r="D307" i="29"/>
  <c r="D308" i="29"/>
  <c r="D309" i="29"/>
  <c r="D310" i="29"/>
  <c r="D311" i="29"/>
  <c r="D313" i="29"/>
  <c r="D314" i="29"/>
  <c r="D315" i="29"/>
  <c r="D316" i="29"/>
  <c r="D317" i="29"/>
  <c r="D318" i="29"/>
  <c r="D319" i="29"/>
  <c r="D320" i="29"/>
  <c r="D321" i="29"/>
  <c r="D322" i="29"/>
  <c r="D323" i="29"/>
  <c r="D324" i="29"/>
  <c r="D325" i="29"/>
  <c r="D326" i="29"/>
  <c r="D327" i="29"/>
  <c r="D328" i="29"/>
  <c r="D329" i="29"/>
  <c r="D330" i="29"/>
  <c r="D331" i="29"/>
  <c r="D333" i="29"/>
  <c r="D334" i="29"/>
  <c r="D335" i="29"/>
  <c r="D336" i="29"/>
  <c r="D338" i="29"/>
  <c r="D339" i="29"/>
  <c r="D340" i="29"/>
  <c r="D342" i="29"/>
  <c r="D343" i="29"/>
  <c r="D344" i="29"/>
  <c r="D345" i="29"/>
  <c r="D346" i="29"/>
  <c r="D347" i="29"/>
  <c r="D348" i="29"/>
  <c r="D349" i="29"/>
  <c r="D350" i="29"/>
  <c r="D351" i="29"/>
  <c r="D352" i="29"/>
  <c r="D353" i="29"/>
  <c r="D354" i="29"/>
  <c r="D355" i="29"/>
  <c r="D356" i="29"/>
  <c r="D357" i="29"/>
  <c r="D358" i="29"/>
  <c r="D359" i="29"/>
  <c r="D360" i="29"/>
  <c r="D361" i="29"/>
  <c r="D363" i="29"/>
  <c r="D365" i="29"/>
  <c r="D366" i="29"/>
  <c r="D367" i="29"/>
  <c r="D368" i="29"/>
  <c r="D369" i="29"/>
  <c r="D370" i="29"/>
  <c r="D371" i="29"/>
  <c r="D372" i="29"/>
  <c r="D373" i="29"/>
  <c r="D374" i="29"/>
  <c r="D376" i="29"/>
  <c r="D378" i="29"/>
  <c r="D379" i="29"/>
  <c r="D380" i="29"/>
  <c r="D382" i="29"/>
  <c r="D383" i="29"/>
  <c r="D384" i="29"/>
  <c r="D386" i="29"/>
  <c r="D387" i="29"/>
  <c r="D388" i="29"/>
  <c r="D389" i="29"/>
  <c r="D390" i="29"/>
  <c r="D391" i="29"/>
  <c r="D392" i="29"/>
  <c r="D393" i="29"/>
  <c r="D394" i="29"/>
  <c r="D396" i="29"/>
  <c r="D397" i="29"/>
  <c r="D398" i="29"/>
  <c r="D400" i="29"/>
  <c r="D401" i="29"/>
  <c r="D403" i="29"/>
  <c r="D404" i="29"/>
  <c r="D405" i="29"/>
  <c r="D406" i="29"/>
  <c r="D407" i="29"/>
  <c r="D409" i="29"/>
  <c r="D410" i="29"/>
  <c r="D412" i="29"/>
  <c r="D413" i="29"/>
  <c r="D414" i="29"/>
  <c r="D416" i="29"/>
  <c r="D417" i="29"/>
  <c r="D418" i="29"/>
  <c r="D419" i="29"/>
  <c r="D420" i="29"/>
  <c r="D421" i="29"/>
  <c r="D422" i="29"/>
  <c r="D423" i="29"/>
  <c r="D424" i="29"/>
  <c r="D425" i="29"/>
  <c r="D426" i="29"/>
  <c r="D427" i="29"/>
  <c r="D428" i="29"/>
  <c r="D429" i="29"/>
  <c r="D430" i="29"/>
  <c r="D431" i="29"/>
  <c r="D433" i="29"/>
  <c r="D435" i="29"/>
  <c r="D436" i="29"/>
  <c r="D437" i="29"/>
  <c r="D438" i="29"/>
  <c r="BA448" i="33" l="1"/>
  <c r="AW29" i="14"/>
  <c r="AW31" i="14" s="1"/>
  <c r="AF7" i="10" l="1"/>
  <c r="AI3" i="10"/>
  <c r="AJ3" i="10" s="1"/>
  <c r="AH57" i="10"/>
  <c r="AG14" i="10" l="1"/>
  <c r="AG10" i="10"/>
  <c r="AG13" i="10"/>
  <c r="AG11" i="10"/>
  <c r="AG15" i="10"/>
  <c r="AG57" i="10" l="1"/>
  <c r="AF17" i="10" l="1"/>
  <c r="AF15" i="10"/>
  <c r="AF13" i="10"/>
  <c r="AF11" i="10"/>
  <c r="AF10" i="10" l="1"/>
  <c r="AS17" i="10" s="1"/>
  <c r="AF14" i="10"/>
  <c r="AF57" i="10" l="1"/>
  <c r="F220" i="29" l="1"/>
  <c r="I220" i="29" s="1"/>
  <c r="F239" i="29"/>
  <c r="F194" i="29"/>
  <c r="I194" i="29" s="1"/>
  <c r="C57" i="11" l="1"/>
  <c r="C33" i="11"/>
  <c r="D33" i="32" s="1"/>
  <c r="C34" i="11"/>
  <c r="D34" i="32" s="1"/>
  <c r="C37" i="11"/>
  <c r="D37" i="32" s="1"/>
  <c r="C36" i="11"/>
  <c r="D36" i="32" s="1"/>
  <c r="L55" i="33" l="1"/>
  <c r="M56" i="33" s="1"/>
  <c r="AR195" i="1" l="1"/>
  <c r="AR243" i="1" l="1"/>
  <c r="I55" i="33" l="1"/>
  <c r="J55" i="33"/>
  <c r="K55" i="33"/>
  <c r="L56" i="33" s="1"/>
  <c r="H55" i="33"/>
  <c r="D9" i="33"/>
  <c r="E9" i="33"/>
  <c r="F9" i="33"/>
  <c r="G9" i="33"/>
  <c r="H9" i="33"/>
  <c r="I9" i="33"/>
  <c r="J9" i="33"/>
  <c r="K9" i="33"/>
  <c r="L9" i="33"/>
  <c r="C9" i="33"/>
  <c r="L8" i="33"/>
  <c r="D8" i="33"/>
  <c r="E8" i="33"/>
  <c r="F8" i="33"/>
  <c r="G8" i="33"/>
  <c r="H8" i="33"/>
  <c r="I8" i="33"/>
  <c r="J8" i="33"/>
  <c r="K8" i="33"/>
  <c r="C8" i="33"/>
  <c r="K2" i="33"/>
  <c r="J2" i="33" s="1"/>
  <c r="I2" i="33" s="1"/>
  <c r="H2" i="33" s="1"/>
  <c r="G2" i="33" s="1"/>
  <c r="F2" i="33" s="1"/>
  <c r="E2" i="33" s="1"/>
  <c r="D2" i="33" s="1"/>
  <c r="C2" i="33" s="1"/>
  <c r="B2" i="33" s="1"/>
  <c r="J56" i="33" l="1"/>
  <c r="I56" i="33"/>
  <c r="K56" i="33"/>
  <c r="AX31" i="15"/>
  <c r="AL13" i="14"/>
  <c r="AK29" i="14"/>
  <c r="AM29" i="14"/>
  <c r="AQ26" i="14"/>
  <c r="AS26" i="14" s="1"/>
  <c r="AQ19" i="14"/>
  <c r="AS19" i="14" s="1"/>
  <c r="AK13" i="14"/>
  <c r="AM13" i="14"/>
  <c r="AN13" i="14"/>
  <c r="AQ13" i="14" s="1"/>
  <c r="AS13" i="14" s="1"/>
  <c r="AK35" i="14" l="1"/>
  <c r="AM35" i="14"/>
  <c r="AN29" i="14"/>
  <c r="AL29" i="14"/>
  <c r="AL35" i="14" s="1"/>
  <c r="AQ29" i="14" l="1"/>
  <c r="AS29" i="14" s="1"/>
  <c r="AN31" i="14"/>
  <c r="AQ31" i="14" s="1"/>
  <c r="AS31" i="14" s="1"/>
  <c r="AN35" i="14"/>
  <c r="AL31" i="14"/>
  <c r="AA40" i="10" l="1"/>
  <c r="H28" i="9"/>
  <c r="AA34" i="10" l="1"/>
  <c r="AC34" i="10" s="1"/>
  <c r="AR371" i="1" l="1"/>
  <c r="AV371" i="1" s="1"/>
  <c r="AU371" i="1" l="1"/>
  <c r="AR427" i="1"/>
  <c r="AU427" i="1" l="1"/>
  <c r="AV427" i="1" s="1"/>
  <c r="AR431" i="1"/>
  <c r="AU431" i="1" l="1"/>
  <c r="AV431" i="1" s="1"/>
  <c r="AD57" i="10"/>
  <c r="AD59" i="10"/>
  <c r="AD60" i="10"/>
  <c r="AD61" i="10"/>
  <c r="AP401" i="1" l="1"/>
  <c r="AR398" i="1"/>
  <c r="AR384" i="1"/>
  <c r="AR344" i="1"/>
  <c r="AR343" i="1"/>
  <c r="AR288" i="1"/>
  <c r="AR284" i="1"/>
  <c r="AR240" i="1"/>
  <c r="AR235" i="1"/>
  <c r="AR295" i="1" l="1"/>
  <c r="AR412" i="1"/>
  <c r="AR294" i="1"/>
  <c r="AR273" i="1"/>
  <c r="AR230" i="1"/>
  <c r="AR303" i="1"/>
  <c r="AR292" i="1"/>
  <c r="AR253" i="1"/>
  <c r="AR311" i="1"/>
  <c r="AR345" i="1"/>
  <c r="AR291" i="1"/>
  <c r="AA17" i="10" l="1"/>
  <c r="AR305" i="1"/>
  <c r="AR347" i="1"/>
  <c r="AR296" i="1"/>
  <c r="AR221" i="1"/>
  <c r="AR209" i="1"/>
  <c r="AR204" i="1"/>
  <c r="AR199" i="1"/>
  <c r="AA12" i="10"/>
  <c r="AR159" i="1"/>
  <c r="AR154" i="1"/>
  <c r="AR73" i="1"/>
  <c r="AR118" i="1"/>
  <c r="AR25" i="1"/>
  <c r="BB12" i="10" l="1"/>
  <c r="AX25" i="1"/>
  <c r="AX118" i="1"/>
  <c r="F118" i="29" s="1"/>
  <c r="AX73" i="1"/>
  <c r="AJ17" i="10"/>
  <c r="AR350" i="1"/>
  <c r="AA14" i="10"/>
  <c r="AR245" i="1"/>
  <c r="AR244" i="1"/>
  <c r="AR164" i="1"/>
  <c r="AR217" i="1"/>
  <c r="AR149" i="1"/>
  <c r="AR143" i="1"/>
  <c r="AR64" i="1"/>
  <c r="AR96" i="1"/>
  <c r="AR127" i="1"/>
  <c r="AR169" i="1"/>
  <c r="AR115" i="1"/>
  <c r="AR51" i="1"/>
  <c r="AR20" i="1"/>
  <c r="AR133" i="1"/>
  <c r="AR168" i="1"/>
  <c r="AR167" i="1"/>
  <c r="AR35" i="1"/>
  <c r="F25" i="29" l="1"/>
  <c r="AJ14" i="10"/>
  <c r="AA15" i="10"/>
  <c r="AR247" i="1"/>
  <c r="AR170" i="1"/>
  <c r="AG132" i="3"/>
  <c r="AJ15" i="10" l="1"/>
  <c r="AA11" i="10"/>
  <c r="AA13" i="10"/>
  <c r="AS390" i="1"/>
  <c r="AS391" i="1" s="1"/>
  <c r="AS394" i="1" l="1"/>
  <c r="AS396" i="1"/>
  <c r="AJ11" i="10"/>
  <c r="AJ13" i="10"/>
  <c r="AS398" i="1" l="1"/>
  <c r="AS412" i="1" s="1"/>
  <c r="AS251" i="1"/>
  <c r="AS212" i="1"/>
  <c r="AS224" i="1"/>
  <c r="AS250" i="1"/>
  <c r="AS152" i="1"/>
  <c r="AS154" i="1" s="1"/>
  <c r="AS270" i="1"/>
  <c r="AS141" i="1"/>
  <c r="AS140" i="1"/>
  <c r="AS157" i="1"/>
  <c r="AS159" i="1" s="1"/>
  <c r="AS130" i="1"/>
  <c r="AS147" i="1"/>
  <c r="AS309" i="1"/>
  <c r="AS311" i="1" s="1"/>
  <c r="AS271" i="1"/>
  <c r="AS146" i="1"/>
  <c r="AS123" i="1"/>
  <c r="AS300" i="1"/>
  <c r="AS104" i="1"/>
  <c r="AS106" i="1" s="1"/>
  <c r="AS162" i="1"/>
  <c r="AS164" i="1" s="1"/>
  <c r="AS299" i="1"/>
  <c r="AS81" i="1"/>
  <c r="AS54" i="1"/>
  <c r="AS49" i="1"/>
  <c r="AS109" i="1"/>
  <c r="AX109" i="1" s="1"/>
  <c r="AX459" i="1" s="1"/>
  <c r="AS48" i="1"/>
  <c r="AS94" i="1"/>
  <c r="AS61" i="1"/>
  <c r="AS93" i="1"/>
  <c r="AS60" i="1"/>
  <c r="AS38" i="1"/>
  <c r="AS55" i="1"/>
  <c r="AS32" i="1"/>
  <c r="AQ17" i="1"/>
  <c r="AS17" i="1"/>
  <c r="AS18" i="1"/>
  <c r="AS198" i="1"/>
  <c r="AX8" i="15"/>
  <c r="AX9" i="15"/>
  <c r="AX10" i="15"/>
  <c r="AX16" i="15"/>
  <c r="AX22" i="15"/>
  <c r="AX23" i="15"/>
  <c r="AX25" i="15"/>
  <c r="AX26" i="15"/>
  <c r="AX27" i="15"/>
  <c r="AX30" i="15"/>
  <c r="AO240" i="1"/>
  <c r="AO199" i="1"/>
  <c r="AO73" i="1"/>
  <c r="AQ379" i="1"/>
  <c r="AQ380" i="1" s="1"/>
  <c r="AQ374" i="1"/>
  <c r="AR374" i="1" s="1"/>
  <c r="AQ373" i="1"/>
  <c r="AR373" i="1" s="1"/>
  <c r="AQ372" i="1"/>
  <c r="AR372" i="1" s="1"/>
  <c r="AQ369" i="1"/>
  <c r="AQ361" i="1"/>
  <c r="AR361" i="1" s="1"/>
  <c r="AQ360" i="1"/>
  <c r="AR360" i="1" s="1"/>
  <c r="AQ359" i="1"/>
  <c r="AR359" i="1" s="1"/>
  <c r="AQ384" i="1"/>
  <c r="AQ370" i="1"/>
  <c r="AR370" i="1" s="1"/>
  <c r="AV370" i="1" s="1"/>
  <c r="AQ358" i="1"/>
  <c r="AQ357" i="1"/>
  <c r="AQ356" i="1"/>
  <c r="AQ405" i="1"/>
  <c r="AQ404" i="1"/>
  <c r="AQ331" i="1"/>
  <c r="AQ288" i="1"/>
  <c r="AQ284" i="1"/>
  <c r="AQ295" i="1" s="1"/>
  <c r="AQ204" i="1"/>
  <c r="AQ118" i="1"/>
  <c r="AQ95" i="1"/>
  <c r="AO69" i="1"/>
  <c r="AO83" i="1"/>
  <c r="AO95" i="1"/>
  <c r="AO106" i="1"/>
  <c r="AO118" i="1"/>
  <c r="AO169" i="1"/>
  <c r="AO245" i="1"/>
  <c r="AO204" i="1"/>
  <c r="AO221" i="1"/>
  <c r="AO294" i="1"/>
  <c r="AO284" i="1"/>
  <c r="AO295" i="1" s="1"/>
  <c r="AO288" i="1"/>
  <c r="AO331" i="1"/>
  <c r="AO345" i="1"/>
  <c r="AO356" i="1"/>
  <c r="AO357" i="1"/>
  <c r="AO358" i="1"/>
  <c r="AO359" i="1"/>
  <c r="AO360" i="1"/>
  <c r="AO361" i="1"/>
  <c r="AO369" i="1"/>
  <c r="AO370" i="1"/>
  <c r="AO372" i="1"/>
  <c r="AO373" i="1"/>
  <c r="AO374" i="1"/>
  <c r="AO379" i="1"/>
  <c r="AO380" i="1" s="1"/>
  <c r="AO384" i="1"/>
  <c r="AO404" i="1"/>
  <c r="AO405" i="1"/>
  <c r="AO425" i="1"/>
  <c r="AO426" i="1"/>
  <c r="F109" i="29" l="1"/>
  <c r="AS292" i="1"/>
  <c r="AS273" i="1"/>
  <c r="AS149" i="1"/>
  <c r="AU370" i="1"/>
  <c r="AS344" i="1"/>
  <c r="AS143" i="1"/>
  <c r="AS167" i="1"/>
  <c r="AS193" i="1"/>
  <c r="AS233" i="1"/>
  <c r="AS235" i="1" s="1"/>
  <c r="AS213" i="1"/>
  <c r="AS217" i="1" s="1"/>
  <c r="AS225" i="1"/>
  <c r="AS230" i="1" s="1"/>
  <c r="AS253" i="1"/>
  <c r="AS291" i="1"/>
  <c r="AS199" i="1"/>
  <c r="AS245" i="1"/>
  <c r="AS343" i="1"/>
  <c r="AS303" i="1"/>
  <c r="AS305" i="1" s="1"/>
  <c r="AS243" i="1"/>
  <c r="AS51" i="1"/>
  <c r="AS115" i="1"/>
  <c r="AS64" i="1"/>
  <c r="AS35" i="1"/>
  <c r="AS96" i="1"/>
  <c r="AS20" i="1"/>
  <c r="AR369" i="1"/>
  <c r="AV369" i="1" s="1"/>
  <c r="AQ376" i="1"/>
  <c r="AR363" i="1"/>
  <c r="AO363" i="1"/>
  <c r="AO427" i="1"/>
  <c r="AO431" i="1" s="1"/>
  <c r="AO376" i="1"/>
  <c r="AO407" i="1"/>
  <c r="AO117" i="1"/>
  <c r="AQ363" i="1"/>
  <c r="G650" i="12"/>
  <c r="J650" i="12" s="1"/>
  <c r="G649" i="12"/>
  <c r="J649" i="12" s="1"/>
  <c r="G646" i="12"/>
  <c r="J646" i="12" s="1"/>
  <c r="G645" i="12"/>
  <c r="J645" i="12" s="1"/>
  <c r="G642" i="12"/>
  <c r="G621" i="12"/>
  <c r="I657" i="12"/>
  <c r="I681" i="12" s="1"/>
  <c r="G653" i="12"/>
  <c r="G640" i="12"/>
  <c r="J640" i="12" s="1"/>
  <c r="E640" i="12"/>
  <c r="E636" i="12"/>
  <c r="G633" i="12"/>
  <c r="J633" i="12" s="1"/>
  <c r="E633" i="12"/>
  <c r="G630" i="12"/>
  <c r="E630" i="12"/>
  <c r="G628" i="12"/>
  <c r="J628" i="12" s="1"/>
  <c r="F628" i="12"/>
  <c r="G626" i="12"/>
  <c r="J626" i="12" s="1"/>
  <c r="E626" i="12"/>
  <c r="G624" i="12"/>
  <c r="J624" i="12" s="1"/>
  <c r="F624" i="12"/>
  <c r="E624" i="12"/>
  <c r="E621" i="12"/>
  <c r="A684" i="12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S296" i="1" l="1"/>
  <c r="AS347" i="1"/>
  <c r="AS350" i="1" s="1"/>
  <c r="AU369" i="1"/>
  <c r="J642" i="12"/>
  <c r="J657" i="12" s="1"/>
  <c r="AS195" i="1"/>
  <c r="AS244" i="1"/>
  <c r="AS247" i="1" s="1"/>
  <c r="AR376" i="1"/>
  <c r="AO386" i="1"/>
  <c r="AQ386" i="1"/>
  <c r="G657" i="12"/>
  <c r="G681" i="12" s="1"/>
  <c r="Z65" i="10"/>
  <c r="C58" i="11"/>
  <c r="C60" i="11"/>
  <c r="C61" i="11"/>
  <c r="C62" i="11"/>
  <c r="C63" i="11"/>
  <c r="C56" i="11"/>
  <c r="D56" i="32" s="1"/>
  <c r="AR20" i="13" l="1"/>
  <c r="AR386" i="1"/>
  <c r="C64" i="11"/>
  <c r="AA16" i="10" l="1"/>
  <c r="C72" i="11"/>
  <c r="C73" i="11"/>
  <c r="C74" i="11"/>
  <c r="C75" i="11"/>
  <c r="C76" i="11"/>
  <c r="C77" i="11"/>
  <c r="C78" i="11"/>
  <c r="C79" i="11"/>
  <c r="C80" i="11"/>
  <c r="C71" i="11"/>
  <c r="AJ16" i="10" l="1"/>
  <c r="AU328" i="1" l="1"/>
  <c r="AU327" i="1"/>
  <c r="AU326" i="1"/>
  <c r="AU325" i="1"/>
  <c r="AU324" i="1"/>
  <c r="AU323" i="1"/>
  <c r="AU322" i="1"/>
  <c r="AU321" i="1"/>
  <c r="AU320" i="1"/>
  <c r="AU319" i="1"/>
  <c r="AU318" i="1"/>
  <c r="AU317" i="1"/>
  <c r="AU316" i="1"/>
  <c r="AU315" i="1"/>
  <c r="AU314" i="1"/>
  <c r="AU313" i="1"/>
  <c r="AQ126" i="1" l="1"/>
  <c r="AX439" i="1"/>
  <c r="AQ301" i="1" l="1"/>
  <c r="AQ214" i="1"/>
  <c r="AQ132" i="1"/>
  <c r="AQ72" i="1"/>
  <c r="AQ68" i="1"/>
  <c r="AQ83" i="1"/>
  <c r="AQ73" i="1" l="1"/>
  <c r="AQ69" i="1"/>
  <c r="J54" i="32"/>
  <c r="I54" i="32"/>
  <c r="J53" i="32"/>
  <c r="I53" i="32"/>
  <c r="J52" i="32"/>
  <c r="I52" i="32"/>
  <c r="J51" i="32"/>
  <c r="I51" i="32"/>
  <c r="J50" i="32"/>
  <c r="I50" i="32"/>
  <c r="J49" i="32"/>
  <c r="I49" i="32"/>
  <c r="J48" i="32"/>
  <c r="I48" i="32"/>
  <c r="J47" i="32"/>
  <c r="I47" i="32"/>
  <c r="J46" i="32"/>
  <c r="I46" i="32"/>
  <c r="J45" i="32"/>
  <c r="I45" i="32"/>
  <c r="J44" i="32"/>
  <c r="I44" i="32"/>
  <c r="J43" i="32"/>
  <c r="I43" i="32"/>
  <c r="J42" i="32"/>
  <c r="I42" i="32"/>
  <c r="J41" i="32"/>
  <c r="I41" i="32"/>
  <c r="J40" i="32"/>
  <c r="I40" i="32"/>
  <c r="J39" i="32"/>
  <c r="I39" i="32"/>
  <c r="J38" i="32"/>
  <c r="I38" i="32"/>
  <c r="J37" i="32"/>
  <c r="I37" i="32"/>
  <c r="J36" i="32"/>
  <c r="I36" i="32"/>
  <c r="J35" i="32"/>
  <c r="I35" i="32"/>
  <c r="J34" i="32"/>
  <c r="I34" i="32"/>
  <c r="J33" i="32"/>
  <c r="I33" i="32"/>
  <c r="J32" i="32"/>
  <c r="I32" i="32"/>
  <c r="J31" i="32"/>
  <c r="I31" i="32"/>
  <c r="J30" i="32"/>
  <c r="I30" i="32"/>
  <c r="J29" i="32"/>
  <c r="I29" i="32"/>
  <c r="J28" i="32"/>
  <c r="I28" i="32"/>
  <c r="J27" i="32"/>
  <c r="I27" i="32"/>
  <c r="J26" i="32"/>
  <c r="I26" i="32"/>
  <c r="J25" i="32"/>
  <c r="I25" i="32"/>
  <c r="J24" i="32"/>
  <c r="I24" i="32"/>
  <c r="J23" i="32"/>
  <c r="I23" i="32"/>
  <c r="J22" i="32"/>
  <c r="I22" i="32"/>
  <c r="J20" i="32"/>
  <c r="I20" i="32"/>
  <c r="J19" i="32"/>
  <c r="I19" i="32"/>
  <c r="J18" i="32"/>
  <c r="I18" i="32"/>
  <c r="J17" i="32"/>
  <c r="I17" i="32"/>
  <c r="J16" i="32"/>
  <c r="I16" i="32"/>
  <c r="J15" i="32"/>
  <c r="I15" i="32"/>
  <c r="J14" i="32"/>
  <c r="I14" i="32"/>
  <c r="J13" i="32"/>
  <c r="I13" i="32"/>
  <c r="J12" i="32"/>
  <c r="I12" i="32"/>
  <c r="J11" i="32"/>
  <c r="I11" i="32"/>
  <c r="J10" i="32"/>
  <c r="I10" i="32"/>
  <c r="C10" i="32"/>
  <c r="B10" i="32"/>
  <c r="J9" i="32"/>
  <c r="I9" i="32"/>
  <c r="H9" i="32"/>
  <c r="G9" i="32"/>
  <c r="F9" i="32"/>
  <c r="E9" i="32"/>
  <c r="D9" i="32"/>
  <c r="C9" i="32"/>
  <c r="B9" i="32"/>
  <c r="J8" i="32"/>
  <c r="I8" i="32"/>
  <c r="H8" i="32"/>
  <c r="G8" i="32"/>
  <c r="F8" i="32"/>
  <c r="E8" i="32"/>
  <c r="D8" i="32"/>
  <c r="C8" i="32"/>
  <c r="B8" i="32"/>
  <c r="J7" i="32"/>
  <c r="I7" i="32"/>
  <c r="H7" i="32"/>
  <c r="G7" i="32"/>
  <c r="F7" i="32"/>
  <c r="E7" i="32"/>
  <c r="D7" i="32"/>
  <c r="C7" i="32"/>
  <c r="B7" i="32"/>
  <c r="J6" i="32"/>
  <c r="I6" i="32"/>
  <c r="H6" i="32"/>
  <c r="G6" i="32"/>
  <c r="F6" i="32"/>
  <c r="E6" i="32"/>
  <c r="D6" i="32"/>
  <c r="C6" i="32"/>
  <c r="B6" i="32"/>
  <c r="J5" i="32"/>
  <c r="I5" i="32"/>
  <c r="H5" i="32"/>
  <c r="G5" i="32"/>
  <c r="F5" i="32"/>
  <c r="E5" i="32"/>
  <c r="D5" i="32"/>
  <c r="C5" i="32"/>
  <c r="B5" i="32"/>
  <c r="J4" i="32"/>
  <c r="I4" i="32"/>
  <c r="H4" i="32"/>
  <c r="G4" i="32"/>
  <c r="F4" i="32"/>
  <c r="E4" i="32"/>
  <c r="D4" i="32"/>
  <c r="C4" i="32"/>
  <c r="B4" i="32"/>
  <c r="AP436" i="1" l="1"/>
  <c r="C209" i="31"/>
  <c r="C141" i="31"/>
  <c r="C140" i="31"/>
  <c r="C72" i="31"/>
  <c r="C567" i="31"/>
  <c r="C566" i="31"/>
  <c r="C565" i="31"/>
  <c r="C564" i="31"/>
  <c r="C563" i="31"/>
  <c r="C562" i="31"/>
  <c r="C561" i="31"/>
  <c r="C560" i="31"/>
  <c r="C559" i="31"/>
  <c r="C558" i="31"/>
  <c r="C557" i="31"/>
  <c r="C556" i="31"/>
  <c r="C555" i="31"/>
  <c r="C554" i="31"/>
  <c r="C553" i="31"/>
  <c r="C552" i="31"/>
  <c r="C551" i="31"/>
  <c r="C550" i="31"/>
  <c r="C549" i="31"/>
  <c r="C548" i="31"/>
  <c r="C547" i="31"/>
  <c r="C546" i="31"/>
  <c r="C545" i="31"/>
  <c r="C544" i="31"/>
  <c r="C543" i="31"/>
  <c r="C542" i="31"/>
  <c r="C541" i="31"/>
  <c r="C540" i="31"/>
  <c r="C539" i="31"/>
  <c r="C538" i="31"/>
  <c r="C537" i="31"/>
  <c r="C536" i="31"/>
  <c r="C535" i="31"/>
  <c r="C534" i="31"/>
  <c r="C533" i="31"/>
  <c r="C532" i="31"/>
  <c r="C531" i="31"/>
  <c r="C530" i="31"/>
  <c r="C529" i="31"/>
  <c r="C528" i="31"/>
  <c r="C527" i="31"/>
  <c r="C526" i="31"/>
  <c r="C525" i="31"/>
  <c r="C524" i="31"/>
  <c r="C523" i="31"/>
  <c r="C522" i="31"/>
  <c r="C521" i="31"/>
  <c r="C520" i="31"/>
  <c r="C519" i="31"/>
  <c r="C518" i="31"/>
  <c r="C517" i="31"/>
  <c r="C516" i="31"/>
  <c r="C515" i="31"/>
  <c r="C514" i="31"/>
  <c r="C513" i="31"/>
  <c r="C512" i="31"/>
  <c r="C511" i="31"/>
  <c r="C510" i="31"/>
  <c r="C509" i="31"/>
  <c r="C508" i="31"/>
  <c r="C507" i="31"/>
  <c r="C506" i="31"/>
  <c r="C505" i="31"/>
  <c r="C504" i="31"/>
  <c r="C503" i="31"/>
  <c r="C502" i="31"/>
  <c r="C501" i="31"/>
  <c r="C500" i="31"/>
  <c r="C499" i="31"/>
  <c r="C498" i="31"/>
  <c r="C497" i="31"/>
  <c r="C496" i="31"/>
  <c r="C495" i="31"/>
  <c r="C494" i="31"/>
  <c r="C493" i="31"/>
  <c r="C492" i="31"/>
  <c r="C491" i="31"/>
  <c r="C490" i="31"/>
  <c r="C489" i="31"/>
  <c r="C488" i="31"/>
  <c r="C487" i="31"/>
  <c r="C486" i="31"/>
  <c r="C485" i="31"/>
  <c r="C484" i="31"/>
  <c r="C483" i="31"/>
  <c r="C482" i="31"/>
  <c r="C481" i="31"/>
  <c r="C480" i="31"/>
  <c r="C479" i="31"/>
  <c r="C478" i="31"/>
  <c r="C477" i="31"/>
  <c r="C476" i="31"/>
  <c r="C475" i="31"/>
  <c r="C474" i="31"/>
  <c r="C473" i="31"/>
  <c r="C472" i="31"/>
  <c r="C471" i="31"/>
  <c r="C470" i="31"/>
  <c r="C469" i="31"/>
  <c r="C468" i="31"/>
  <c r="C467" i="31"/>
  <c r="C466" i="31"/>
  <c r="C465" i="31"/>
  <c r="C464" i="31"/>
  <c r="C463" i="31"/>
  <c r="C462" i="31"/>
  <c r="C461" i="31"/>
  <c r="C460" i="31"/>
  <c r="C459" i="31"/>
  <c r="C458" i="31"/>
  <c r="C457" i="31"/>
  <c r="C456" i="31"/>
  <c r="C455" i="31"/>
  <c r="C454" i="31"/>
  <c r="C453" i="31"/>
  <c r="C452" i="31"/>
  <c r="C434" i="31"/>
  <c r="B433" i="31"/>
  <c r="C432" i="31"/>
  <c r="B432" i="31"/>
  <c r="B431" i="31"/>
  <c r="C430" i="31"/>
  <c r="B430" i="31"/>
  <c r="C429" i="31"/>
  <c r="B429" i="31"/>
  <c r="C428" i="31"/>
  <c r="B428" i="31"/>
  <c r="C427" i="31"/>
  <c r="B427" i="31"/>
  <c r="B426" i="31"/>
  <c r="C425" i="31"/>
  <c r="B425" i="31"/>
  <c r="B424" i="31"/>
  <c r="B423" i="31"/>
  <c r="B422" i="31"/>
  <c r="C421" i="31"/>
  <c r="B421" i="31"/>
  <c r="C420" i="31"/>
  <c r="B420" i="31"/>
  <c r="B419" i="31"/>
  <c r="C418" i="31"/>
  <c r="B418" i="31"/>
  <c r="B417" i="31"/>
  <c r="C416" i="31"/>
  <c r="B416" i="31"/>
  <c r="C415" i="31"/>
  <c r="B415" i="31"/>
  <c r="B414" i="31"/>
  <c r="B413" i="31"/>
  <c r="B412" i="31"/>
  <c r="C411" i="31"/>
  <c r="B411" i="31"/>
  <c r="C410" i="31"/>
  <c r="B410" i="31"/>
  <c r="C409" i="31"/>
  <c r="B409" i="31"/>
  <c r="B408" i="31"/>
  <c r="B407" i="31"/>
  <c r="C406" i="31"/>
  <c r="B406" i="31"/>
  <c r="C405" i="31"/>
  <c r="B405" i="31"/>
  <c r="C404" i="31"/>
  <c r="B404" i="31"/>
  <c r="C403" i="31"/>
  <c r="B403" i="31"/>
  <c r="B402" i="31"/>
  <c r="B401" i="31"/>
  <c r="C400" i="31"/>
  <c r="B400" i="31"/>
  <c r="C399" i="31"/>
  <c r="B399" i="31"/>
  <c r="C398" i="31"/>
  <c r="B398" i="31"/>
  <c r="C397" i="31"/>
  <c r="B397" i="31"/>
  <c r="C396" i="31"/>
  <c r="B396" i="31"/>
  <c r="C395" i="31"/>
  <c r="B395" i="31"/>
  <c r="C394" i="31"/>
  <c r="B394" i="31"/>
  <c r="B393" i="31"/>
  <c r="C392" i="31"/>
  <c r="B392" i="31"/>
  <c r="B391" i="31"/>
  <c r="C390" i="31"/>
  <c r="B390" i="31"/>
  <c r="B389" i="31"/>
  <c r="C388" i="31"/>
  <c r="B388" i="31"/>
  <c r="C387" i="31"/>
  <c r="B387" i="31"/>
  <c r="B386" i="31"/>
  <c r="C385" i="31"/>
  <c r="B385" i="31"/>
  <c r="C384" i="31"/>
  <c r="B384" i="31"/>
  <c r="C383" i="31"/>
  <c r="B383" i="31"/>
  <c r="C382" i="31"/>
  <c r="B382" i="31"/>
  <c r="B381" i="31"/>
  <c r="C380" i="31"/>
  <c r="B380" i="31"/>
  <c r="B379" i="31"/>
  <c r="C378" i="31"/>
  <c r="B378" i="31"/>
  <c r="C377" i="31"/>
  <c r="B377" i="31"/>
  <c r="C376" i="31"/>
  <c r="B376" i="31"/>
  <c r="C375" i="31"/>
  <c r="B375" i="31"/>
  <c r="C374" i="31"/>
  <c r="B374" i="31"/>
  <c r="C373" i="31"/>
  <c r="B373" i="31"/>
  <c r="C372" i="31"/>
  <c r="B372" i="31"/>
  <c r="B371" i="31"/>
  <c r="C370" i="31"/>
  <c r="B370" i="31"/>
  <c r="B369" i="31"/>
  <c r="B368" i="31"/>
  <c r="B367" i="31"/>
  <c r="C366" i="31"/>
  <c r="B366" i="31"/>
  <c r="C365" i="31"/>
  <c r="B365" i="31"/>
  <c r="C364" i="31"/>
  <c r="B364" i="31"/>
  <c r="C363" i="31"/>
  <c r="B363" i="31"/>
  <c r="C362" i="31"/>
  <c r="B362" i="31"/>
  <c r="C361" i="31"/>
  <c r="B361" i="31"/>
  <c r="C360" i="31"/>
  <c r="B360" i="31"/>
  <c r="C359" i="31"/>
  <c r="B359" i="31"/>
  <c r="B358" i="31"/>
  <c r="C357" i="31"/>
  <c r="B357" i="31"/>
  <c r="B356" i="31"/>
  <c r="B355" i="31"/>
  <c r="B354" i="31"/>
  <c r="C353" i="31"/>
  <c r="B353" i="31"/>
  <c r="C352" i="31"/>
  <c r="B352" i="31"/>
  <c r="C351" i="31"/>
  <c r="B351" i="31"/>
  <c r="C350" i="31"/>
  <c r="B350" i="31"/>
  <c r="C349" i="31"/>
  <c r="B349" i="31"/>
  <c r="C348" i="31"/>
  <c r="B348" i="31"/>
  <c r="C347" i="31"/>
  <c r="B347" i="31"/>
  <c r="C346" i="31"/>
  <c r="B346" i="31"/>
  <c r="B345" i="31"/>
  <c r="C344" i="31"/>
  <c r="B344" i="31"/>
  <c r="C343" i="31"/>
  <c r="B343" i="31"/>
  <c r="B342" i="31"/>
  <c r="C341" i="31"/>
  <c r="B341" i="31"/>
  <c r="B340" i="31"/>
  <c r="B339" i="31"/>
  <c r="B338" i="31"/>
  <c r="C337" i="31"/>
  <c r="B337" i="31"/>
  <c r="C336" i="31"/>
  <c r="B336" i="31"/>
  <c r="C335" i="31"/>
  <c r="B335" i="31"/>
  <c r="C334" i="31"/>
  <c r="B334" i="31"/>
  <c r="C333" i="31"/>
  <c r="B333" i="31"/>
  <c r="C332" i="31"/>
  <c r="B332" i="31"/>
  <c r="C331" i="31"/>
  <c r="B331" i="31"/>
  <c r="B330" i="31"/>
  <c r="C329" i="31"/>
  <c r="B329" i="31"/>
  <c r="C328" i="31"/>
  <c r="B328" i="31"/>
  <c r="C327" i="31"/>
  <c r="B327" i="31"/>
  <c r="B326" i="31"/>
  <c r="B325" i="31"/>
  <c r="C324" i="31"/>
  <c r="B324" i="31"/>
  <c r="C323" i="31"/>
  <c r="B323" i="31"/>
  <c r="C322" i="31"/>
  <c r="B322" i="31"/>
  <c r="C321" i="31"/>
  <c r="B321" i="31"/>
  <c r="C320" i="31"/>
  <c r="B320" i="31"/>
  <c r="C319" i="31"/>
  <c r="B319" i="31"/>
  <c r="C318" i="31"/>
  <c r="B318" i="31"/>
  <c r="C317" i="31"/>
  <c r="B317" i="31"/>
  <c r="C316" i="31"/>
  <c r="B316" i="31"/>
  <c r="C315" i="31"/>
  <c r="B315" i="31"/>
  <c r="C314" i="31"/>
  <c r="B314" i="31"/>
  <c r="C313" i="31"/>
  <c r="B313" i="31"/>
  <c r="C312" i="31"/>
  <c r="B312" i="31"/>
  <c r="C311" i="31"/>
  <c r="B311" i="31"/>
  <c r="C310" i="31"/>
  <c r="B310" i="31"/>
  <c r="C309" i="31"/>
  <c r="B309" i="31"/>
  <c r="C308" i="31"/>
  <c r="B308" i="31"/>
  <c r="C307" i="31"/>
  <c r="B307" i="31"/>
  <c r="B306" i="31"/>
  <c r="B305" i="31"/>
  <c r="B304" i="31"/>
  <c r="C303" i="31"/>
  <c r="B303" i="31"/>
  <c r="C302" i="31"/>
  <c r="B302" i="31"/>
  <c r="C301" i="31"/>
  <c r="B301" i="31"/>
  <c r="B300" i="31"/>
  <c r="C299" i="31"/>
  <c r="B299" i="31"/>
  <c r="B298" i="31"/>
  <c r="C297" i="31"/>
  <c r="B297" i="31"/>
  <c r="B296" i="31"/>
  <c r="B295" i="31"/>
  <c r="B294" i="31"/>
  <c r="C293" i="31"/>
  <c r="B293" i="31"/>
  <c r="C292" i="31"/>
  <c r="B292" i="31"/>
  <c r="B291" i="31"/>
  <c r="B290" i="31"/>
  <c r="B289" i="31"/>
  <c r="C288" i="31"/>
  <c r="B288" i="31"/>
  <c r="B287" i="31"/>
  <c r="B286" i="31"/>
  <c r="C285" i="31"/>
  <c r="B285" i="31"/>
  <c r="C284" i="31"/>
  <c r="B284" i="31"/>
  <c r="B283" i="31"/>
  <c r="B282" i="31"/>
  <c r="C281" i="31"/>
  <c r="B281" i="31"/>
  <c r="C280" i="31"/>
  <c r="B280" i="31"/>
  <c r="B279" i="31"/>
  <c r="B278" i="31"/>
  <c r="C277" i="31"/>
  <c r="B277" i="31"/>
  <c r="C276" i="31"/>
  <c r="B276" i="31"/>
  <c r="C275" i="31"/>
  <c r="B275" i="31"/>
  <c r="C274" i="31"/>
  <c r="B274" i="31"/>
  <c r="C273" i="31"/>
  <c r="B273" i="31"/>
  <c r="C272" i="31"/>
  <c r="B272" i="31"/>
  <c r="C271" i="31"/>
  <c r="B271" i="31"/>
  <c r="C270" i="31"/>
  <c r="B270" i="31"/>
  <c r="C269" i="31"/>
  <c r="B269" i="31"/>
  <c r="B268" i="31"/>
  <c r="B267" i="31"/>
  <c r="B266" i="31"/>
  <c r="B265" i="31"/>
  <c r="C264" i="31"/>
  <c r="B264" i="31"/>
  <c r="C263" i="31"/>
  <c r="B263" i="31"/>
  <c r="C262" i="31"/>
  <c r="B262" i="31"/>
  <c r="C261" i="31"/>
  <c r="B261" i="31"/>
  <c r="C260" i="31"/>
  <c r="B260" i="31"/>
  <c r="C259" i="31"/>
  <c r="B259" i="31"/>
  <c r="C258" i="31"/>
  <c r="B258" i="31"/>
  <c r="C257" i="31"/>
  <c r="B257" i="31"/>
  <c r="C256" i="31"/>
  <c r="B256" i="31"/>
  <c r="C255" i="31"/>
  <c r="B255" i="31"/>
  <c r="C254" i="31"/>
  <c r="B254" i="31"/>
  <c r="C253" i="31"/>
  <c r="B253" i="31"/>
  <c r="C252" i="31"/>
  <c r="B252" i="31"/>
  <c r="C251" i="31"/>
  <c r="B251" i="31"/>
  <c r="C250" i="31"/>
  <c r="B250" i="31"/>
  <c r="C249" i="31"/>
  <c r="B249" i="31"/>
  <c r="B248" i="31"/>
  <c r="B247" i="31"/>
  <c r="B246" i="31"/>
  <c r="B245" i="31"/>
  <c r="C244" i="31"/>
  <c r="B244" i="31"/>
  <c r="C243" i="31"/>
  <c r="B243" i="31"/>
  <c r="B242" i="31"/>
  <c r="C241" i="31"/>
  <c r="B241" i="31"/>
  <c r="B240" i="31"/>
  <c r="B239" i="31"/>
  <c r="B238" i="31"/>
  <c r="C237" i="31"/>
  <c r="B237" i="31"/>
  <c r="C236" i="31"/>
  <c r="B236" i="31"/>
  <c r="B235" i="31"/>
  <c r="B234" i="31"/>
  <c r="C233" i="31"/>
  <c r="B233" i="31"/>
  <c r="C232" i="31"/>
  <c r="B232" i="31"/>
  <c r="C231" i="31"/>
  <c r="B231" i="31"/>
  <c r="B230" i="31"/>
  <c r="B229" i="31"/>
  <c r="B228" i="31"/>
  <c r="C227" i="31"/>
  <c r="B227" i="31"/>
  <c r="C226" i="31"/>
  <c r="B226" i="31"/>
  <c r="B225" i="31"/>
  <c r="B224" i="31"/>
  <c r="B223" i="31"/>
  <c r="B222" i="31"/>
  <c r="C221" i="31"/>
  <c r="B221" i="31"/>
  <c r="B220" i="31"/>
  <c r="B219" i="31"/>
  <c r="C218" i="31"/>
  <c r="B218" i="31"/>
  <c r="C217" i="31"/>
  <c r="B217" i="31"/>
  <c r="B216" i="31"/>
  <c r="B215" i="31"/>
  <c r="C214" i="31"/>
  <c r="B214" i="31"/>
  <c r="C213" i="31"/>
  <c r="B213" i="31"/>
  <c r="B212" i="31"/>
  <c r="C211" i="31"/>
  <c r="B211" i="31"/>
  <c r="C210" i="31"/>
  <c r="B210" i="31"/>
  <c r="B209" i="31"/>
  <c r="B208" i="31"/>
  <c r="B207" i="31"/>
  <c r="C206" i="31"/>
  <c r="B206" i="31"/>
  <c r="C205" i="31"/>
  <c r="B205" i="31"/>
  <c r="B204" i="31"/>
  <c r="B203" i="31"/>
  <c r="C202" i="31"/>
  <c r="B202" i="31"/>
  <c r="C201" i="31"/>
  <c r="B201" i="31"/>
  <c r="C200" i="31"/>
  <c r="B200" i="31"/>
  <c r="B199" i="31"/>
  <c r="B198" i="31"/>
  <c r="C197" i="31"/>
  <c r="B197" i="31"/>
  <c r="C196" i="31"/>
  <c r="B196" i="31"/>
  <c r="B195" i="31"/>
  <c r="B194" i="31"/>
  <c r="B193" i="31"/>
  <c r="C192" i="31"/>
  <c r="B192" i="31"/>
  <c r="C191" i="31"/>
  <c r="B191" i="31"/>
  <c r="C190" i="31"/>
  <c r="B190" i="31"/>
  <c r="C189" i="31"/>
  <c r="B189" i="31"/>
  <c r="C188" i="31"/>
  <c r="B188" i="31"/>
  <c r="C187" i="31"/>
  <c r="B187" i="31"/>
  <c r="C186" i="31"/>
  <c r="B186" i="31"/>
  <c r="C185" i="31"/>
  <c r="B185" i="31"/>
  <c r="C184" i="31"/>
  <c r="B184" i="31"/>
  <c r="B183" i="31"/>
  <c r="C182" i="31"/>
  <c r="B182" i="31"/>
  <c r="C181" i="31"/>
  <c r="B181" i="31"/>
  <c r="C180" i="31"/>
  <c r="B180" i="31"/>
  <c r="C179" i="31"/>
  <c r="B179" i="31"/>
  <c r="C178" i="31"/>
  <c r="B178" i="31"/>
  <c r="C177" i="31"/>
  <c r="B177" i="31"/>
  <c r="C176" i="31"/>
  <c r="B176" i="31"/>
  <c r="C175" i="31"/>
  <c r="B175" i="31"/>
  <c r="C174" i="31"/>
  <c r="B174" i="31"/>
  <c r="C173" i="31"/>
  <c r="B173" i="31"/>
  <c r="C172" i="31"/>
  <c r="B172" i="31"/>
  <c r="C171" i="31"/>
  <c r="B171" i="31"/>
  <c r="B170" i="31"/>
  <c r="B169" i="31"/>
  <c r="B168" i="31"/>
  <c r="B167" i="31"/>
  <c r="C166" i="31"/>
  <c r="B166" i="31"/>
  <c r="C165" i="31"/>
  <c r="B165" i="31"/>
  <c r="B164" i="31"/>
  <c r="B163" i="31"/>
  <c r="B162" i="31"/>
  <c r="C161" i="31"/>
  <c r="B161" i="31"/>
  <c r="C160" i="31"/>
  <c r="B160" i="31"/>
  <c r="B159" i="31"/>
  <c r="B158" i="31"/>
  <c r="B157" i="31"/>
  <c r="C156" i="31"/>
  <c r="B156" i="31"/>
  <c r="C155" i="31"/>
  <c r="B155" i="31"/>
  <c r="B154" i="31"/>
  <c r="C153" i="31"/>
  <c r="B153" i="31"/>
  <c r="B152" i="31"/>
  <c r="C151" i="31"/>
  <c r="B151" i="31"/>
  <c r="C150" i="31"/>
  <c r="B150" i="31"/>
  <c r="B149" i="31"/>
  <c r="B148" i="31"/>
  <c r="B147" i="31"/>
  <c r="B146" i="31"/>
  <c r="C145" i="31"/>
  <c r="B145" i="31"/>
  <c r="C144" i="31"/>
  <c r="B144" i="31"/>
  <c r="B143" i="31"/>
  <c r="B142" i="31"/>
  <c r="B141" i="31"/>
  <c r="B140" i="31"/>
  <c r="C139" i="31"/>
  <c r="B139" i="31"/>
  <c r="C138" i="31"/>
  <c r="B138" i="31"/>
  <c r="C137" i="31"/>
  <c r="B137" i="31"/>
  <c r="C136" i="31"/>
  <c r="B136" i="31"/>
  <c r="C135" i="31"/>
  <c r="B135" i="31"/>
  <c r="C134" i="31"/>
  <c r="B134" i="31"/>
  <c r="B133" i="31"/>
  <c r="B132" i="31"/>
  <c r="B131" i="31"/>
  <c r="B130" i="31"/>
  <c r="C129" i="31"/>
  <c r="B129" i="31"/>
  <c r="C128" i="31"/>
  <c r="B128" i="31"/>
  <c r="B127" i="31"/>
  <c r="B126" i="31"/>
  <c r="C125" i="31"/>
  <c r="B125" i="31"/>
  <c r="B124" i="31"/>
  <c r="B123" i="31"/>
  <c r="C122" i="31"/>
  <c r="B122" i="31"/>
  <c r="C121" i="31"/>
  <c r="B121" i="31"/>
  <c r="B120" i="31"/>
  <c r="C119" i="31"/>
  <c r="B119" i="31"/>
  <c r="B118" i="31"/>
  <c r="B117" i="31"/>
  <c r="B116" i="31"/>
  <c r="B115" i="31"/>
  <c r="C114" i="31"/>
  <c r="B114" i="31"/>
  <c r="C113" i="31"/>
  <c r="B113" i="31"/>
  <c r="B112" i="31"/>
  <c r="B111" i="31"/>
  <c r="C110" i="31"/>
  <c r="B110" i="31"/>
  <c r="C109" i="31"/>
  <c r="B109" i="31"/>
  <c r="C108" i="31"/>
  <c r="B108" i="31"/>
  <c r="C107" i="31"/>
  <c r="B107" i="31"/>
  <c r="B106" i="31"/>
  <c r="B105" i="31"/>
  <c r="C104" i="31"/>
  <c r="B104" i="31"/>
  <c r="B103" i="31"/>
  <c r="C102" i="31"/>
  <c r="B102" i="31"/>
  <c r="C101" i="31"/>
  <c r="B101" i="31"/>
  <c r="C100" i="31"/>
  <c r="B100" i="31"/>
  <c r="C99" i="31"/>
  <c r="B99" i="31"/>
  <c r="C98" i="31"/>
  <c r="B98" i="31"/>
  <c r="C97" i="31"/>
  <c r="B97" i="31"/>
  <c r="B96" i="31"/>
  <c r="C95" i="31"/>
  <c r="B95" i="31"/>
  <c r="B94" i="31"/>
  <c r="B93" i="31"/>
  <c r="C92" i="31"/>
  <c r="B92" i="31"/>
  <c r="C91" i="31"/>
  <c r="B91" i="31"/>
  <c r="C90" i="31"/>
  <c r="B90" i="31"/>
  <c r="C89" i="31"/>
  <c r="B89" i="31"/>
  <c r="C88" i="31"/>
  <c r="B88" i="31"/>
  <c r="C87" i="31"/>
  <c r="B87" i="31"/>
  <c r="C86" i="31"/>
  <c r="B86" i="31"/>
  <c r="C85" i="31"/>
  <c r="B85" i="31"/>
  <c r="B84" i="31"/>
  <c r="B83" i="31"/>
  <c r="B82" i="31"/>
  <c r="B81" i="31"/>
  <c r="C80" i="31"/>
  <c r="B80" i="31"/>
  <c r="C79" i="31"/>
  <c r="B79" i="31"/>
  <c r="C78" i="31"/>
  <c r="B78" i="31"/>
  <c r="C77" i="31"/>
  <c r="B77" i="31"/>
  <c r="C76" i="31"/>
  <c r="B76" i="31"/>
  <c r="C75" i="31"/>
  <c r="B75" i="31"/>
  <c r="C74" i="31"/>
  <c r="B74" i="31"/>
  <c r="B73" i="31"/>
  <c r="B72" i="31"/>
  <c r="C71" i="31"/>
  <c r="B71" i="31"/>
  <c r="C70" i="31"/>
  <c r="B70" i="31"/>
  <c r="B69" i="31"/>
  <c r="G435" i="31"/>
  <c r="B68" i="31"/>
  <c r="C67" i="31"/>
  <c r="B67" i="31"/>
  <c r="C66" i="31"/>
  <c r="B66" i="31"/>
  <c r="C65" i="31"/>
  <c r="B65" i="31"/>
  <c r="B64" i="31"/>
  <c r="C63" i="31"/>
  <c r="B63" i="31"/>
  <c r="B62" i="31"/>
  <c r="B61" i="31"/>
  <c r="B60" i="31"/>
  <c r="C59" i="31"/>
  <c r="B59" i="31"/>
  <c r="C58" i="31"/>
  <c r="B58" i="31"/>
  <c r="B57" i="31"/>
  <c r="B56" i="31"/>
  <c r="B55" i="31"/>
  <c r="B54" i="31"/>
  <c r="C53" i="31"/>
  <c r="B53" i="31"/>
  <c r="C52" i="31"/>
  <c r="B52" i="31"/>
  <c r="B51" i="31"/>
  <c r="B50" i="31"/>
  <c r="B49" i="31"/>
  <c r="B48" i="31"/>
  <c r="C47" i="31"/>
  <c r="B47" i="31"/>
  <c r="C46" i="31"/>
  <c r="B46" i="31"/>
  <c r="C45" i="31"/>
  <c r="B45" i="31"/>
  <c r="C44" i="31"/>
  <c r="B44" i="31"/>
  <c r="C43" i="31"/>
  <c r="B43" i="31"/>
  <c r="C42" i="31"/>
  <c r="B42" i="31"/>
  <c r="C41" i="31"/>
  <c r="B41" i="31"/>
  <c r="B40" i="31"/>
  <c r="B39" i="31"/>
  <c r="B38" i="31"/>
  <c r="C37" i="31"/>
  <c r="B37" i="31"/>
  <c r="C36" i="31"/>
  <c r="B36" i="31"/>
  <c r="B35" i="31"/>
  <c r="B34" i="31"/>
  <c r="B33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B25" i="31"/>
  <c r="B24" i="31"/>
  <c r="C23" i="31"/>
  <c r="B23" i="31"/>
  <c r="C22" i="31"/>
  <c r="B22" i="31"/>
  <c r="C21" i="31"/>
  <c r="B21" i="31"/>
  <c r="B20" i="31"/>
  <c r="B19" i="31"/>
  <c r="B18" i="31"/>
  <c r="B17" i="31"/>
  <c r="C16" i="31"/>
  <c r="B16" i="31"/>
  <c r="B15" i="31"/>
  <c r="B14" i="31"/>
  <c r="C13" i="31"/>
  <c r="B13" i="31"/>
  <c r="C12" i="31"/>
  <c r="B12" i="31"/>
  <c r="B11" i="31"/>
  <c r="C296" i="31"/>
  <c r="C132" i="31"/>
  <c r="C83" i="31"/>
  <c r="AC40" i="10" l="1"/>
  <c r="AD40" i="10" s="1"/>
  <c r="C431" i="31"/>
  <c r="AP10" i="13"/>
  <c r="AP384" i="1"/>
  <c r="AW7" i="10"/>
  <c r="AX7" i="10"/>
  <c r="AY7" i="10"/>
  <c r="AZ7" i="10"/>
  <c r="D11" i="29"/>
  <c r="AL450" i="1"/>
  <c r="AK450" i="1"/>
  <c r="AL449" i="1"/>
  <c r="AK449" i="1"/>
  <c r="AL448" i="1"/>
  <c r="AK448" i="1"/>
  <c r="AL447" i="1"/>
  <c r="AK447" i="1"/>
  <c r="AL446" i="1"/>
  <c r="AK446" i="1"/>
  <c r="AL445" i="1"/>
  <c r="AK445" i="1"/>
  <c r="D12" i="29"/>
  <c r="D65" i="11"/>
  <c r="AO450" i="1" l="1"/>
  <c r="C379" i="31"/>
  <c r="C413" i="31"/>
  <c r="AL451" i="1"/>
  <c r="AK451" i="1"/>
  <c r="C68" i="31"/>
  <c r="AQ228" i="1"/>
  <c r="AQ406" i="1"/>
  <c r="AQ310" i="1"/>
  <c r="AQ272" i="1"/>
  <c r="AQ252" i="1"/>
  <c r="AQ239" i="1"/>
  <c r="AQ234" i="1"/>
  <c r="AQ229" i="1"/>
  <c r="AQ227" i="1"/>
  <c r="AQ220" i="1"/>
  <c r="AQ198" i="1"/>
  <c r="AQ194" i="1"/>
  <c r="AQ163" i="1"/>
  <c r="AQ158" i="1"/>
  <c r="AQ148" i="1"/>
  <c r="AQ142" i="1"/>
  <c r="C131" i="31"/>
  <c r="C124" i="31"/>
  <c r="C123" i="31"/>
  <c r="AQ111" i="1"/>
  <c r="AQ105" i="1"/>
  <c r="AQ62" i="1"/>
  <c r="AQ56" i="1"/>
  <c r="AQ50" i="1"/>
  <c r="AQ33" i="1"/>
  <c r="AQ24" i="1"/>
  <c r="AQ19" i="1"/>
  <c r="C19" i="11"/>
  <c r="D19" i="32" s="1"/>
  <c r="AQ117" i="1" l="1"/>
  <c r="AQ25" i="1"/>
  <c r="AQ407" i="1"/>
  <c r="AQ240" i="1"/>
  <c r="AQ221" i="1"/>
  <c r="AQ169" i="1"/>
  <c r="AQ294" i="1"/>
  <c r="AQ106" i="1"/>
  <c r="AQ245" i="1"/>
  <c r="AQ345" i="1"/>
  <c r="AQ199" i="1"/>
  <c r="C56" i="31"/>
  <c r="C103" i="31"/>
  <c r="C142" i="31"/>
  <c r="C163" i="31"/>
  <c r="C219" i="31"/>
  <c r="C246" i="31"/>
  <c r="C295" i="31"/>
  <c r="C391" i="31"/>
  <c r="C60" i="31"/>
  <c r="C105" i="31"/>
  <c r="C146" i="31"/>
  <c r="C193" i="31"/>
  <c r="C220" i="31"/>
  <c r="C247" i="31"/>
  <c r="C304" i="31"/>
  <c r="C33" i="31"/>
  <c r="C111" i="31"/>
  <c r="C194" i="31"/>
  <c r="C222" i="31"/>
  <c r="C265" i="31"/>
  <c r="C305" i="31"/>
  <c r="C38" i="31"/>
  <c r="C148" i="31"/>
  <c r="C224" i="31"/>
  <c r="C266" i="31"/>
  <c r="C325" i="31"/>
  <c r="C94" i="31"/>
  <c r="C14" i="31"/>
  <c r="C61" i="31"/>
  <c r="C18" i="31"/>
  <c r="C62" i="31"/>
  <c r="C81" i="31"/>
  <c r="C152" i="31"/>
  <c r="C203" i="31"/>
  <c r="C228" i="31"/>
  <c r="C267" i="31"/>
  <c r="C330" i="31"/>
  <c r="C34" i="31"/>
  <c r="C17" i="31"/>
  <c r="C19" i="31"/>
  <c r="C49" i="31"/>
  <c r="C24" i="31"/>
  <c r="C50" i="31"/>
  <c r="C82" i="31"/>
  <c r="C126" i="31"/>
  <c r="C157" i="31"/>
  <c r="C207" i="31"/>
  <c r="C229" i="31"/>
  <c r="C278" i="31"/>
  <c r="C389" i="31"/>
  <c r="C39" i="31"/>
  <c r="C147" i="31"/>
  <c r="C48" i="31"/>
  <c r="C198" i="31"/>
  <c r="C32" i="31"/>
  <c r="C54" i="31"/>
  <c r="C93" i="31"/>
  <c r="C130" i="31"/>
  <c r="C158" i="31"/>
  <c r="C208" i="31"/>
  <c r="C234" i="31"/>
  <c r="C282" i="31"/>
  <c r="C401" i="31"/>
  <c r="C55" i="31"/>
  <c r="C162" i="31"/>
  <c r="C215" i="31"/>
  <c r="C245" i="31"/>
  <c r="C223" i="31"/>
  <c r="AP343" i="1"/>
  <c r="C294" i="31"/>
  <c r="AO449" i="1" l="1"/>
  <c r="C423" i="31"/>
  <c r="C417" i="31"/>
  <c r="C414" i="31"/>
  <c r="C419" i="31"/>
  <c r="C424" i="31"/>
  <c r="C412" i="31"/>
  <c r="C338" i="31"/>
  <c r="AP450" i="1"/>
  <c r="AP427" i="1"/>
  <c r="AM183" i="1"/>
  <c r="C386" i="31" l="1"/>
  <c r="AP431" i="1"/>
  <c r="C422" i="31"/>
  <c r="AP407" i="1"/>
  <c r="AP288" i="1"/>
  <c r="AP154" i="1"/>
  <c r="AP159" i="1"/>
  <c r="AP195" i="1"/>
  <c r="AP221" i="1"/>
  <c r="AP284" i="1"/>
  <c r="C283" i="31" l="1"/>
  <c r="C159" i="31"/>
  <c r="C154" i="31"/>
  <c r="C402" i="31"/>
  <c r="C279" i="31"/>
  <c r="C426" i="31"/>
  <c r="C216" i="31"/>
  <c r="C195" i="31"/>
  <c r="AP295" i="1"/>
  <c r="AP311" i="1"/>
  <c r="AP344" i="1"/>
  <c r="AP273" i="1"/>
  <c r="AP291" i="1"/>
  <c r="AP292" i="1"/>
  <c r="AP240" i="1"/>
  <c r="AP204" i="1"/>
  <c r="AP243" i="1"/>
  <c r="AP199" i="1"/>
  <c r="AP230" i="1"/>
  <c r="AP164" i="1"/>
  <c r="AP149" i="1"/>
  <c r="AO448" i="1" l="1"/>
  <c r="AO447" i="1"/>
  <c r="C204" i="31"/>
  <c r="C235" i="31"/>
  <c r="C286" i="31"/>
  <c r="C287" i="31"/>
  <c r="C164" i="31"/>
  <c r="C225" i="31"/>
  <c r="C199" i="31"/>
  <c r="C149" i="31"/>
  <c r="C268" i="31"/>
  <c r="C306" i="31"/>
  <c r="C238" i="31"/>
  <c r="C290" i="31"/>
  <c r="C339" i="31"/>
  <c r="AP449" i="1"/>
  <c r="AP448" i="1"/>
  <c r="AP398" i="1"/>
  <c r="AP331" i="1"/>
  <c r="AP235" i="1"/>
  <c r="AP244" i="1"/>
  <c r="C393" i="31" l="1"/>
  <c r="C230" i="31"/>
  <c r="C239" i="31"/>
  <c r="C326" i="31"/>
  <c r="AP412" i="1"/>
  <c r="AP447" i="1"/>
  <c r="AP345" i="1"/>
  <c r="AP303" i="1"/>
  <c r="AP294" i="1"/>
  <c r="AP253" i="1"/>
  <c r="AP217" i="1"/>
  <c r="AP245" i="1"/>
  <c r="C212" i="31" l="1"/>
  <c r="C289" i="31"/>
  <c r="C248" i="31"/>
  <c r="C298" i="31"/>
  <c r="C340" i="31"/>
  <c r="C240" i="31"/>
  <c r="C407" i="31"/>
  <c r="AP247" i="1"/>
  <c r="AP347" i="1"/>
  <c r="AP305" i="1"/>
  <c r="AP296" i="1"/>
  <c r="Z17" i="10"/>
  <c r="AP112" i="1"/>
  <c r="AP73" i="1"/>
  <c r="AP69" i="1"/>
  <c r="AP118" i="1"/>
  <c r="AP25" i="1"/>
  <c r="AK17" i="10" l="1"/>
  <c r="BA17" i="10"/>
  <c r="C73" i="31"/>
  <c r="C112" i="31"/>
  <c r="C118" i="31"/>
  <c r="C69" i="31"/>
  <c r="C25" i="31"/>
  <c r="C342" i="31"/>
  <c r="C242" i="31"/>
  <c r="C291" i="31"/>
  <c r="C300" i="31"/>
  <c r="Z14" i="10"/>
  <c r="AP350" i="1"/>
  <c r="Z13" i="10"/>
  <c r="AP169" i="1"/>
  <c r="AP143" i="1"/>
  <c r="AP133" i="1"/>
  <c r="AP127" i="1"/>
  <c r="AP167" i="1"/>
  <c r="AP168" i="1"/>
  <c r="AP51" i="1"/>
  <c r="AP96" i="1"/>
  <c r="AP115" i="1"/>
  <c r="AP35" i="1"/>
  <c r="AP64" i="1"/>
  <c r="AP116" i="1"/>
  <c r="AP57" i="1"/>
  <c r="AP40" i="1"/>
  <c r="AP106" i="1"/>
  <c r="AP117" i="1"/>
  <c r="AP84" i="1"/>
  <c r="AP15" i="1"/>
  <c r="AP20" i="1"/>
  <c r="AK13" i="10" l="1"/>
  <c r="BA13" i="10"/>
  <c r="AK14" i="10"/>
  <c r="BA14" i="10"/>
  <c r="AO445" i="1"/>
  <c r="AO446" i="1"/>
  <c r="C64" i="31"/>
  <c r="C35" i="31"/>
  <c r="C169" i="31"/>
  <c r="C20" i="31"/>
  <c r="C117" i="31"/>
  <c r="C96" i="31"/>
  <c r="C115" i="31"/>
  <c r="C106" i="31"/>
  <c r="C51" i="31"/>
  <c r="C345" i="31"/>
  <c r="C15" i="31"/>
  <c r="C84" i="31"/>
  <c r="C40" i="31"/>
  <c r="C168" i="31"/>
  <c r="C143" i="31"/>
  <c r="C57" i="31"/>
  <c r="C133" i="31"/>
  <c r="C116" i="31"/>
  <c r="C127" i="31"/>
  <c r="C167" i="31"/>
  <c r="AP170" i="1"/>
  <c r="AP446" i="1"/>
  <c r="Z15" i="10"/>
  <c r="AP445" i="1"/>
  <c r="AP120" i="1"/>
  <c r="AK15" i="10" l="1"/>
  <c r="BA15" i="10"/>
  <c r="AO451" i="1"/>
  <c r="Z10" i="10"/>
  <c r="C170" i="31"/>
  <c r="C120" i="31"/>
  <c r="Z11" i="10"/>
  <c r="AP451" i="1"/>
  <c r="Z40" i="10"/>
  <c r="G603" i="12"/>
  <c r="J603" i="12" s="1"/>
  <c r="G602" i="12"/>
  <c r="G599" i="12"/>
  <c r="J599" i="12" s="1"/>
  <c r="G598" i="12"/>
  <c r="J598" i="12" s="1"/>
  <c r="G595" i="12"/>
  <c r="J595" i="12" s="1"/>
  <c r="G579" i="12"/>
  <c r="J579" i="12" s="1"/>
  <c r="G577" i="12"/>
  <c r="J577" i="12" s="1"/>
  <c r="E574" i="12"/>
  <c r="E577" i="12"/>
  <c r="F577" i="12"/>
  <c r="E579" i="12"/>
  <c r="F581" i="12"/>
  <c r="G581" i="12"/>
  <c r="J581" i="12" s="1"/>
  <c r="E583" i="12"/>
  <c r="G583" i="12"/>
  <c r="E586" i="12"/>
  <c r="G586" i="12"/>
  <c r="J586" i="12" s="1"/>
  <c r="E628" i="12" s="1"/>
  <c r="E657" i="12" s="1"/>
  <c r="E681" i="12" s="1"/>
  <c r="E589" i="12"/>
  <c r="E593" i="12"/>
  <c r="G593" i="12"/>
  <c r="I593" i="12"/>
  <c r="G606" i="12"/>
  <c r="I610" i="12"/>
  <c r="AK11" i="10" l="1"/>
  <c r="BA11" i="10"/>
  <c r="J593" i="12"/>
  <c r="AQ93" i="1"/>
  <c r="AQ300" i="1"/>
  <c r="AQ271" i="1"/>
  <c r="AQ152" i="1"/>
  <c r="AQ270" i="1"/>
  <c r="AQ82" i="1"/>
  <c r="AQ212" i="1"/>
  <c r="AQ162" i="1"/>
  <c r="AQ147" i="1"/>
  <c r="AQ110" i="1"/>
  <c r="AQ81" i="1"/>
  <c r="AQ54" i="1"/>
  <c r="AQ32" i="1"/>
  <c r="AQ251" i="1"/>
  <c r="AQ109" i="1"/>
  <c r="AQ250" i="1"/>
  <c r="AQ123" i="1"/>
  <c r="AQ48" i="1"/>
  <c r="AQ309" i="1"/>
  <c r="AQ140" i="1"/>
  <c r="AQ94" i="1"/>
  <c r="AQ61" i="1"/>
  <c r="AQ224" i="1"/>
  <c r="AQ157" i="1"/>
  <c r="AQ60" i="1"/>
  <c r="AQ38" i="1"/>
  <c r="AQ299" i="1"/>
  <c r="AQ130" i="1"/>
  <c r="AQ55" i="1"/>
  <c r="AQ146" i="1"/>
  <c r="AQ49" i="1"/>
  <c r="AQ141" i="1"/>
  <c r="AQ18" i="1"/>
  <c r="AQ390" i="1"/>
  <c r="AQ391" i="1" s="1"/>
  <c r="AQ396" i="1"/>
  <c r="AQ394" i="1"/>
  <c r="AO40" i="1"/>
  <c r="AO159" i="1"/>
  <c r="AO311" i="1"/>
  <c r="AO149" i="1"/>
  <c r="AO164" i="1"/>
  <c r="AO82" i="1"/>
  <c r="AO81" i="1"/>
  <c r="AO35" i="1"/>
  <c r="AO109" i="1"/>
  <c r="AO110" i="1"/>
  <c r="AO143" i="1"/>
  <c r="AO154" i="1"/>
  <c r="AO398" i="1"/>
  <c r="AO412" i="1" l="1"/>
  <c r="AO84" i="1"/>
  <c r="AQ164" i="1"/>
  <c r="AQ154" i="1"/>
  <c r="AQ149" i="1"/>
  <c r="AQ273" i="1"/>
  <c r="AQ112" i="1"/>
  <c r="AQ398" i="1"/>
  <c r="AQ143" i="1"/>
  <c r="AQ57" i="1"/>
  <c r="AQ292" i="1"/>
  <c r="AQ35" i="1"/>
  <c r="AQ343" i="1"/>
  <c r="AQ311" i="1"/>
  <c r="AQ159" i="1"/>
  <c r="AQ115" i="1"/>
  <c r="AQ20" i="1"/>
  <c r="AQ84" i="1"/>
  <c r="AQ253" i="1"/>
  <c r="AQ291" i="1"/>
  <c r="AQ116" i="1"/>
  <c r="AQ51" i="1"/>
  <c r="AQ243" i="1"/>
  <c r="AQ303" i="1"/>
  <c r="AQ344" i="1"/>
  <c r="AQ64" i="1"/>
  <c r="AQ167" i="1"/>
  <c r="AQ96" i="1"/>
  <c r="AO273" i="1"/>
  <c r="AO57" i="1"/>
  <c r="AO167" i="1"/>
  <c r="AO243" i="1"/>
  <c r="AO344" i="1"/>
  <c r="AO343" i="1"/>
  <c r="AO303" i="1"/>
  <c r="AO305" i="1" s="1"/>
  <c r="AO96" i="1"/>
  <c r="AO116" i="1"/>
  <c r="AO291" i="1"/>
  <c r="AO253" i="1"/>
  <c r="AO292" i="1"/>
  <c r="AO112" i="1"/>
  <c r="AO51" i="1"/>
  <c r="AO64" i="1"/>
  <c r="AO115" i="1"/>
  <c r="Z34" i="10"/>
  <c r="AC57" i="10"/>
  <c r="AC59" i="10"/>
  <c r="AC61" i="10"/>
  <c r="AQ305" i="1" l="1"/>
  <c r="AQ296" i="1"/>
  <c r="AQ347" i="1"/>
  <c r="AQ412" i="1"/>
  <c r="AO296" i="1"/>
  <c r="AO120" i="1"/>
  <c r="AO347" i="1"/>
  <c r="AO350" i="1" s="1"/>
  <c r="AV7" i="15"/>
  <c r="AX7" i="15" s="1"/>
  <c r="AP374" i="1"/>
  <c r="AP373" i="1"/>
  <c r="AP372" i="1"/>
  <c r="AP361" i="1"/>
  <c r="AP360" i="1"/>
  <c r="AP359" i="1"/>
  <c r="AQ350" i="1" l="1"/>
  <c r="C369" i="31"/>
  <c r="C355" i="31"/>
  <c r="C368" i="31"/>
  <c r="C356" i="31"/>
  <c r="C367" i="31"/>
  <c r="AP376" i="1"/>
  <c r="C354" i="31"/>
  <c r="AP363" i="1"/>
  <c r="AN311" i="1"/>
  <c r="AU8" i="14"/>
  <c r="AV8" i="14" s="1"/>
  <c r="C371" i="31" l="1"/>
  <c r="C358" i="31"/>
  <c r="AP386" i="1"/>
  <c r="Z16" i="10"/>
  <c r="AK16" i="10" l="1"/>
  <c r="BA16" i="10"/>
  <c r="C381" i="31"/>
  <c r="Y65" i="10"/>
  <c r="AT7" i="15" l="1"/>
  <c r="K28" i="9" l="1"/>
  <c r="AN438" i="1" l="1"/>
  <c r="G17" i="9"/>
  <c r="C30" i="11" l="1"/>
  <c r="D30" i="32" s="1"/>
  <c r="D28" i="32"/>
  <c r="W43" i="10" l="1"/>
  <c r="AN427" i="1"/>
  <c r="AN450" i="1"/>
  <c r="AM450" i="1" l="1"/>
  <c r="AN431" i="1"/>
  <c r="AU281" i="1"/>
  <c r="AU280" i="1"/>
  <c r="AU279" i="1"/>
  <c r="AU278" i="1"/>
  <c r="AU277" i="1"/>
  <c r="AU276" i="1"/>
  <c r="AU275" i="1"/>
  <c r="AU268" i="1"/>
  <c r="AU267" i="1"/>
  <c r="AU266" i="1"/>
  <c r="AU265" i="1"/>
  <c r="AU264" i="1"/>
  <c r="AU263" i="1"/>
  <c r="AU262" i="1"/>
  <c r="AU261" i="1"/>
  <c r="AU260" i="1"/>
  <c r="AU259" i="1"/>
  <c r="AU258" i="1"/>
  <c r="AU257" i="1"/>
  <c r="AU256" i="1"/>
  <c r="AU255" i="1"/>
  <c r="AU190" i="1"/>
  <c r="AU189" i="1"/>
  <c r="AU188" i="1"/>
  <c r="AU187" i="1"/>
  <c r="AU186" i="1"/>
  <c r="AU185" i="1"/>
  <c r="AU138" i="1"/>
  <c r="AU137" i="1"/>
  <c r="AU136" i="1"/>
  <c r="AU135" i="1"/>
  <c r="AU101" i="1"/>
  <c r="AU100" i="1"/>
  <c r="AU99" i="1"/>
  <c r="AU98" i="1"/>
  <c r="AU91" i="1"/>
  <c r="AU90" i="1"/>
  <c r="AU89" i="1"/>
  <c r="AU88" i="1"/>
  <c r="AU87" i="1"/>
  <c r="AU86" i="1"/>
  <c r="AU79" i="1"/>
  <c r="AU78" i="1"/>
  <c r="AU77" i="1"/>
  <c r="AU76" i="1"/>
  <c r="AU75" i="1"/>
  <c r="AU46" i="1"/>
  <c r="AU45" i="1"/>
  <c r="AU44" i="1"/>
  <c r="AU43" i="1"/>
  <c r="AU42" i="1"/>
  <c r="AU30" i="1"/>
  <c r="AU29" i="1"/>
  <c r="AU28" i="1"/>
  <c r="AU27" i="1"/>
  <c r="Y19" i="10" l="1"/>
  <c r="AN363" i="1"/>
  <c r="AN376" i="1"/>
  <c r="AN384" i="1"/>
  <c r="AN386" i="1" l="1"/>
  <c r="AQ233" i="1" l="1"/>
  <c r="AQ213" i="1"/>
  <c r="AQ225" i="1"/>
  <c r="AQ193" i="1"/>
  <c r="AO230" i="1"/>
  <c r="AO217" i="1"/>
  <c r="AO235" i="1"/>
  <c r="AM396" i="1"/>
  <c r="AQ230" i="1" l="1"/>
  <c r="AQ217" i="1"/>
  <c r="AQ235" i="1"/>
  <c r="AQ195" i="1"/>
  <c r="AQ244" i="1"/>
  <c r="AO244" i="1"/>
  <c r="AO247" i="1" s="1"/>
  <c r="AO195" i="1"/>
  <c r="AQ247" i="1" l="1"/>
  <c r="AS131" i="1"/>
  <c r="AS133" i="1" s="1"/>
  <c r="AQ124" i="1" l="1"/>
  <c r="AQ127" i="1" s="1"/>
  <c r="AS124" i="1"/>
  <c r="AO133" i="1"/>
  <c r="AQ131" i="1"/>
  <c r="AO168" i="1"/>
  <c r="AO170" i="1" s="1"/>
  <c r="AO127" i="1"/>
  <c r="C55" i="11"/>
  <c r="D55" i="32" s="1"/>
  <c r="AS168" i="1" l="1"/>
  <c r="AS170" i="1" s="1"/>
  <c r="AS127" i="1"/>
  <c r="AQ133" i="1"/>
  <c r="AQ168" i="1"/>
  <c r="G556" i="12"/>
  <c r="J556" i="12" s="1"/>
  <c r="G555" i="12"/>
  <c r="J555" i="12" s="1"/>
  <c r="G552" i="12"/>
  <c r="J552" i="12" s="1"/>
  <c r="G551" i="12"/>
  <c r="J551" i="12" s="1"/>
  <c r="G548" i="12"/>
  <c r="J548" i="12" s="1"/>
  <c r="G546" i="12"/>
  <c r="G539" i="12"/>
  <c r="J539" i="12" s="1"/>
  <c r="E581" i="12" s="1"/>
  <c r="E610" i="12" s="1"/>
  <c r="G536" i="12"/>
  <c r="G534" i="12"/>
  <c r="J534" i="12" s="1"/>
  <c r="G530" i="12"/>
  <c r="J530" i="12" s="1"/>
  <c r="G559" i="12"/>
  <c r="I546" i="12"/>
  <c r="I563" i="12" s="1"/>
  <c r="E546" i="12"/>
  <c r="E543" i="12"/>
  <c r="E539" i="12"/>
  <c r="E536" i="12"/>
  <c r="F534" i="12"/>
  <c r="E534" i="12"/>
  <c r="F530" i="12"/>
  <c r="E530" i="12"/>
  <c r="J546" i="12" l="1"/>
  <c r="AQ170" i="1"/>
  <c r="AM131" i="1"/>
  <c r="AM124" i="1"/>
  <c r="AS183" i="1"/>
  <c r="AC12" i="10" s="1"/>
  <c r="AD12" i="10" s="1"/>
  <c r="X16" i="10"/>
  <c r="AM356" i="1"/>
  <c r="AM220" i="1"/>
  <c r="AM374" i="1"/>
  <c r="AM373" i="1"/>
  <c r="AM372" i="1"/>
  <c r="AM369" i="1"/>
  <c r="AM361" i="1"/>
  <c r="AM360" i="1"/>
  <c r="AM359" i="1"/>
  <c r="AM357" i="1" l="1"/>
  <c r="AD23" i="3"/>
  <c r="AD43" i="3"/>
  <c r="AD87" i="3"/>
  <c r="AD98" i="3"/>
  <c r="AD101" i="3"/>
  <c r="AD105" i="3"/>
  <c r="AD170" i="3"/>
  <c r="AD171" i="3" s="1"/>
  <c r="AD172" i="3" s="1"/>
  <c r="G481" i="12" s="1"/>
  <c r="AJ29" i="14"/>
  <c r="AJ13" i="14"/>
  <c r="Y34" i="10"/>
  <c r="AD127" i="3" l="1"/>
  <c r="AJ31" i="14"/>
  <c r="AJ35" i="14"/>
  <c r="AD129" i="3"/>
  <c r="AD45" i="3"/>
  <c r="AM419" i="1"/>
  <c r="AN183" i="1"/>
  <c r="AM429" i="1"/>
  <c r="AM428" i="1"/>
  <c r="AM426" i="1"/>
  <c r="AM425" i="1"/>
  <c r="AM424" i="1"/>
  <c r="AM422" i="1"/>
  <c r="AM418" i="1"/>
  <c r="AM417" i="1"/>
  <c r="AM406" i="1"/>
  <c r="AM405" i="1"/>
  <c r="AM404" i="1"/>
  <c r="AM384" i="1"/>
  <c r="AM379" i="1"/>
  <c r="AM380" i="1" s="1"/>
  <c r="AM358" i="1"/>
  <c r="AM331" i="1"/>
  <c r="AM301" i="1"/>
  <c r="AM288" i="1"/>
  <c r="AM284" i="1"/>
  <c r="AM295" i="1" s="1"/>
  <c r="AM272" i="1"/>
  <c r="AM252" i="1"/>
  <c r="AM239" i="1"/>
  <c r="AM234" i="1"/>
  <c r="AM229" i="1"/>
  <c r="AM228" i="1"/>
  <c r="AM227" i="1"/>
  <c r="AM221" i="1"/>
  <c r="AM214" i="1"/>
  <c r="AM204" i="1"/>
  <c r="AM199" i="1"/>
  <c r="AM194" i="1"/>
  <c r="AM163" i="1"/>
  <c r="AM158" i="1"/>
  <c r="AM148" i="1"/>
  <c r="AM142" i="1"/>
  <c r="AM132" i="1"/>
  <c r="AM126" i="1"/>
  <c r="AM118" i="1"/>
  <c r="AM111" i="1"/>
  <c r="AM105" i="1"/>
  <c r="AM95" i="1"/>
  <c r="AM83" i="1"/>
  <c r="AM72" i="1"/>
  <c r="AM68" i="1"/>
  <c r="AM62" i="1"/>
  <c r="AM56" i="1"/>
  <c r="AM50" i="1"/>
  <c r="AM39" i="1"/>
  <c r="AM33" i="1"/>
  <c r="AM24" i="1"/>
  <c r="AM19" i="1"/>
  <c r="AO413" i="1" l="1"/>
  <c r="Y40" i="10"/>
  <c r="AM345" i="1"/>
  <c r="AM69" i="1"/>
  <c r="AM106" i="1"/>
  <c r="AM73" i="1"/>
  <c r="AM25" i="1"/>
  <c r="AM240" i="1"/>
  <c r="AM294" i="1"/>
  <c r="AM117" i="1"/>
  <c r="AM427" i="1"/>
  <c r="AM431" i="1" s="1"/>
  <c r="AM363" i="1"/>
  <c r="AM245" i="1"/>
  <c r="AM169" i="1"/>
  <c r="AM407" i="1"/>
  <c r="X65" i="10"/>
  <c r="AQ436" i="1" l="1"/>
  <c r="AM436" i="1"/>
  <c r="AL10" i="13"/>
  <c r="AQ438" i="1" l="1"/>
  <c r="C23" i="11"/>
  <c r="D23" i="32" s="1"/>
  <c r="AR7" i="15" l="1"/>
  <c r="C54" i="11"/>
  <c r="D54" i="32" s="1"/>
  <c r="AP45" i="10"/>
  <c r="C25" i="11"/>
  <c r="D25" i="32" s="1"/>
  <c r="C26" i="11"/>
  <c r="D26" i="32" s="1"/>
  <c r="C22" i="11"/>
  <c r="D22" i="32" s="1"/>
  <c r="C21" i="11"/>
  <c r="D21" i="32" s="1"/>
  <c r="A21" i="28"/>
  <c r="F10" i="28"/>
  <c r="C82" i="11"/>
  <c r="AS18" i="10"/>
  <c r="G464" i="12"/>
  <c r="J464" i="12" s="1"/>
  <c r="G463" i="12"/>
  <c r="J463" i="12" s="1"/>
  <c r="D125" i="3"/>
  <c r="D124" i="3"/>
  <c r="I500" i="12"/>
  <c r="I517" i="12" s="1"/>
  <c r="L500" i="12"/>
  <c r="G467" i="12"/>
  <c r="G466" i="12"/>
  <c r="G510" i="12"/>
  <c r="J510" i="12" s="1"/>
  <c r="G509" i="12"/>
  <c r="J509" i="12" s="1"/>
  <c r="G506" i="12"/>
  <c r="J506" i="12" s="1"/>
  <c r="G505" i="12"/>
  <c r="J505" i="12" s="1"/>
  <c r="G459" i="12"/>
  <c r="J459" i="12" s="1"/>
  <c r="O459" i="12" s="1"/>
  <c r="G502" i="12"/>
  <c r="J502" i="12" s="1"/>
  <c r="G493" i="12"/>
  <c r="J493" i="12" s="1"/>
  <c r="E532" i="12" s="1"/>
  <c r="G488" i="12"/>
  <c r="J488" i="12" s="1"/>
  <c r="E527" i="12" s="1"/>
  <c r="F488" i="12"/>
  <c r="G484" i="12"/>
  <c r="J484" i="12" s="1"/>
  <c r="G513" i="12"/>
  <c r="E500" i="12"/>
  <c r="E497" i="12"/>
  <c r="E493" i="12"/>
  <c r="E490" i="12"/>
  <c r="E488" i="12"/>
  <c r="F484" i="12"/>
  <c r="E484" i="12"/>
  <c r="AE180" i="3"/>
  <c r="AE179" i="3"/>
  <c r="AH29" i="14"/>
  <c r="AH13" i="14"/>
  <c r="W12" i="10"/>
  <c r="X34" i="10"/>
  <c r="AC121" i="3"/>
  <c r="AH450" i="1"/>
  <c r="AJ450" i="1"/>
  <c r="AI450" i="1"/>
  <c r="AF450" i="1"/>
  <c r="V12" i="10"/>
  <c r="BC12" i="10" s="1"/>
  <c r="BD12" i="10" s="1"/>
  <c r="V19" i="10"/>
  <c r="BC19" i="10" s="1"/>
  <c r="BD19" i="10" s="1"/>
  <c r="W35" i="10"/>
  <c r="E59" i="11"/>
  <c r="AC172" i="3"/>
  <c r="AP7" i="15"/>
  <c r="AN32" i="15"/>
  <c r="W17" i="10"/>
  <c r="O458" i="1"/>
  <c r="O459" i="1" s="1"/>
  <c r="A460" i="1"/>
  <c r="A461" i="1"/>
  <c r="A462" i="1"/>
  <c r="A463" i="1"/>
  <c r="A464" i="1"/>
  <c r="A459" i="1"/>
  <c r="AC23" i="3"/>
  <c r="AO7" i="15"/>
  <c r="AE29" i="14"/>
  <c r="AF29" i="14"/>
  <c r="AE13" i="14"/>
  <c r="AF13" i="14"/>
  <c r="C38" i="3"/>
  <c r="C120" i="3"/>
  <c r="U43" i="3"/>
  <c r="BD120" i="3"/>
  <c r="C121" i="3"/>
  <c r="AJ449" i="1"/>
  <c r="AI446" i="1"/>
  <c r="W15" i="10"/>
  <c r="AI449" i="1"/>
  <c r="AJ448" i="1"/>
  <c r="AJ446" i="1"/>
  <c r="W11" i="10"/>
  <c r="AI447" i="1"/>
  <c r="AI445" i="1"/>
  <c r="AJ445" i="1"/>
  <c r="W13" i="10"/>
  <c r="AJ447" i="1"/>
  <c r="G435" i="12"/>
  <c r="J435" i="12"/>
  <c r="AF171" i="3"/>
  <c r="AF172" i="3" s="1"/>
  <c r="AO437" i="1" s="1"/>
  <c r="AO438" i="1" s="1"/>
  <c r="AC171" i="3"/>
  <c r="AE170" i="3"/>
  <c r="AE171" i="3" s="1"/>
  <c r="AE172" i="3" s="1"/>
  <c r="G527" i="12" s="1"/>
  <c r="O436" i="12"/>
  <c r="O437" i="12"/>
  <c r="O439" i="12"/>
  <c r="O441" i="12"/>
  <c r="O443" i="12"/>
  <c r="O445" i="12"/>
  <c r="O446" i="12"/>
  <c r="O448" i="12"/>
  <c r="O449" i="12"/>
  <c r="O450" i="12"/>
  <c r="O451" i="12"/>
  <c r="O452" i="12"/>
  <c r="O453" i="12"/>
  <c r="O455" i="12"/>
  <c r="O457" i="12"/>
  <c r="O458" i="12"/>
  <c r="G456" i="12"/>
  <c r="J456" i="12" s="1"/>
  <c r="O456" i="12" s="1"/>
  <c r="E451" i="12"/>
  <c r="E450" i="12"/>
  <c r="G442" i="12"/>
  <c r="J442" i="12" s="1"/>
  <c r="F442" i="12"/>
  <c r="G438" i="12"/>
  <c r="J438" i="12" s="1"/>
  <c r="O438" i="12" s="1"/>
  <c r="F438" i="12"/>
  <c r="G431" i="12"/>
  <c r="J431" i="12" s="1"/>
  <c r="F431" i="12"/>
  <c r="E454" i="12"/>
  <c r="E440" i="12"/>
  <c r="E438" i="12"/>
  <c r="E431" i="12"/>
  <c r="AP8" i="15"/>
  <c r="AP9" i="15"/>
  <c r="AR9" i="15" s="1"/>
  <c r="AP10" i="15"/>
  <c r="AR10" i="15" s="1"/>
  <c r="AP11" i="15"/>
  <c r="AR11" i="15" s="1"/>
  <c r="AT11" i="15" s="1"/>
  <c r="AP12" i="15"/>
  <c r="AR12" i="15" s="1"/>
  <c r="AT12" i="15" s="1"/>
  <c r="AV12" i="15" s="1"/>
  <c r="AX12" i="15" s="1"/>
  <c r="AP13" i="15"/>
  <c r="AR13" i="15" s="1"/>
  <c r="AT13" i="15" s="1"/>
  <c r="AV13" i="15" s="1"/>
  <c r="AX13" i="15" s="1"/>
  <c r="AP14" i="15"/>
  <c r="AR14" i="15" s="1"/>
  <c r="AT14" i="15" s="1"/>
  <c r="AV14" i="15" s="1"/>
  <c r="AX14" i="15" s="1"/>
  <c r="AP15" i="15"/>
  <c r="AR15" i="15" s="1"/>
  <c r="AT15" i="15" s="1"/>
  <c r="AV15" i="15" s="1"/>
  <c r="AX15" i="15" s="1"/>
  <c r="AP16" i="15"/>
  <c r="AP17" i="15"/>
  <c r="AR17" i="15" s="1"/>
  <c r="AT17" i="15" s="1"/>
  <c r="AV17" i="15" s="1"/>
  <c r="AX17" i="15" s="1"/>
  <c r="AP18" i="15"/>
  <c r="AR18" i="15" s="1"/>
  <c r="AT18" i="15" s="1"/>
  <c r="AV18" i="15" s="1"/>
  <c r="AX18" i="15" s="1"/>
  <c r="AP19" i="15"/>
  <c r="AR19" i="15" s="1"/>
  <c r="AT19" i="15" s="1"/>
  <c r="AV19" i="15" s="1"/>
  <c r="AX19" i="15" s="1"/>
  <c r="AP20" i="15"/>
  <c r="AR20" i="15" s="1"/>
  <c r="AT20" i="15" s="1"/>
  <c r="AV20" i="15" s="1"/>
  <c r="AX20" i="15" s="1"/>
  <c r="AP21" i="15"/>
  <c r="AR21" i="15" s="1"/>
  <c r="AT21" i="15" s="1"/>
  <c r="AV21" i="15" s="1"/>
  <c r="AX21" i="15" s="1"/>
  <c r="AP24" i="15"/>
  <c r="AR24" i="15" s="1"/>
  <c r="AT24" i="15" s="1"/>
  <c r="AV24" i="15" s="1"/>
  <c r="AX24" i="15" s="1"/>
  <c r="AP26" i="15"/>
  <c r="AP27" i="15"/>
  <c r="AP28" i="15"/>
  <c r="AR28" i="15" s="1"/>
  <c r="AT28" i="15" s="1"/>
  <c r="AV28" i="15" s="1"/>
  <c r="AX28" i="15" s="1"/>
  <c r="AP29" i="15"/>
  <c r="AD29" i="14"/>
  <c r="AD8" i="14"/>
  <c r="W34" i="10"/>
  <c r="V2" i="13"/>
  <c r="V3" i="13"/>
  <c r="V1" i="13"/>
  <c r="G411" i="12"/>
  <c r="J411" i="12" s="1"/>
  <c r="Z29" i="14"/>
  <c r="Z13" i="14"/>
  <c r="AA130" i="1"/>
  <c r="C10" i="11"/>
  <c r="D10" i="32" s="1"/>
  <c r="H67" i="11"/>
  <c r="F67" i="11"/>
  <c r="C15" i="11"/>
  <c r="D15" i="32" s="1"/>
  <c r="C16" i="11"/>
  <c r="D16" i="32" s="1"/>
  <c r="C17" i="11"/>
  <c r="D17" i="32" s="1"/>
  <c r="C18" i="11"/>
  <c r="D18" i="32" s="1"/>
  <c r="AC152" i="3"/>
  <c r="AC151" i="3"/>
  <c r="AB36" i="3"/>
  <c r="AB35" i="3"/>
  <c r="C14" i="11"/>
  <c r="D14" i="32" s="1"/>
  <c r="V64" i="10"/>
  <c r="V47" i="10" s="1"/>
  <c r="C63" i="3"/>
  <c r="AM32" i="15"/>
  <c r="AL32" i="15"/>
  <c r="AK23" i="15"/>
  <c r="AK32" i="15" s="1"/>
  <c r="J372" i="12"/>
  <c r="G371" i="12"/>
  <c r="J371" i="12" s="1"/>
  <c r="G370" i="12"/>
  <c r="T20" i="10"/>
  <c r="R35" i="1"/>
  <c r="S35" i="1" s="1"/>
  <c r="I409" i="12"/>
  <c r="I402" i="12"/>
  <c r="G386" i="12"/>
  <c r="J386" i="12" s="1"/>
  <c r="G397" i="12"/>
  <c r="J397" i="12" s="1"/>
  <c r="E442" i="12" s="1"/>
  <c r="G393" i="12"/>
  <c r="J393" i="12" s="1"/>
  <c r="E435" i="12" s="1"/>
  <c r="F397" i="12"/>
  <c r="F393" i="12"/>
  <c r="G390" i="12"/>
  <c r="J390" i="12" s="1"/>
  <c r="G356" i="12"/>
  <c r="J356" i="12" s="1"/>
  <c r="E397" i="12" s="1"/>
  <c r="F356" i="12"/>
  <c r="G352" i="12"/>
  <c r="J352" i="12" s="1"/>
  <c r="E393" i="12" s="1"/>
  <c r="F352" i="12"/>
  <c r="E379" i="12"/>
  <c r="F379" i="12"/>
  <c r="G379" i="12"/>
  <c r="J379" i="12"/>
  <c r="E340" i="12"/>
  <c r="E381" i="12" s="1"/>
  <c r="E339" i="12"/>
  <c r="E380" i="12" s="1"/>
  <c r="G349" i="12"/>
  <c r="J349" i="12" s="1"/>
  <c r="E390" i="12" s="1"/>
  <c r="BC34" i="3"/>
  <c r="BC33" i="3"/>
  <c r="BC15" i="3"/>
  <c r="BC14" i="3"/>
  <c r="AF43" i="3"/>
  <c r="AG43" i="3"/>
  <c r="AH43" i="3"/>
  <c r="AI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AA43" i="3"/>
  <c r="AE23" i="3"/>
  <c r="AF23" i="3"/>
  <c r="AG23" i="3"/>
  <c r="AH23" i="3"/>
  <c r="AI23" i="3"/>
  <c r="AJ23" i="3"/>
  <c r="AK23" i="3"/>
  <c r="AK45" i="3" s="1"/>
  <c r="AL23" i="3"/>
  <c r="AL45" i="3" s="1"/>
  <c r="AM23" i="3"/>
  <c r="AN23" i="3"/>
  <c r="AN45" i="3" s="1"/>
  <c r="AO23" i="3"/>
  <c r="AO45" i="3" s="1"/>
  <c r="AP23" i="3"/>
  <c r="AQ23" i="3"/>
  <c r="AR23" i="3"/>
  <c r="AR45" i="3" s="1"/>
  <c r="AS23" i="3"/>
  <c r="AT23" i="3"/>
  <c r="AU23" i="3"/>
  <c r="AV23" i="3"/>
  <c r="AV45" i="3" s="1"/>
  <c r="AW23" i="3"/>
  <c r="AW45" i="3" s="1"/>
  <c r="AX23" i="3"/>
  <c r="AY23" i="3"/>
  <c r="AZ23" i="3"/>
  <c r="AZ45" i="3" s="1"/>
  <c r="BA23" i="3"/>
  <c r="AA160" i="3"/>
  <c r="AJ106" i="3"/>
  <c r="V34" i="10"/>
  <c r="C337" i="12"/>
  <c r="C378" i="12" s="1"/>
  <c r="B338" i="12"/>
  <c r="B379" i="12" s="1"/>
  <c r="C338" i="12"/>
  <c r="C379" i="12" s="1"/>
  <c r="D338" i="12"/>
  <c r="D379" i="12" s="1"/>
  <c r="B339" i="12"/>
  <c r="B380" i="12" s="1"/>
  <c r="C339" i="12"/>
  <c r="C380" i="12" s="1"/>
  <c r="D339" i="12"/>
  <c r="D380" i="12" s="1"/>
  <c r="F339" i="12"/>
  <c r="F380" i="12" s="1"/>
  <c r="G339" i="12"/>
  <c r="G380" i="12" s="1"/>
  <c r="H339" i="12"/>
  <c r="H380" i="12" s="1"/>
  <c r="I339" i="12"/>
  <c r="I380" i="12" s="1"/>
  <c r="J339" i="12"/>
  <c r="J380" i="12" s="1"/>
  <c r="B340" i="12"/>
  <c r="B381" i="12" s="1"/>
  <c r="C340" i="12"/>
  <c r="C381" i="12" s="1"/>
  <c r="D340" i="12"/>
  <c r="D381" i="12" s="1"/>
  <c r="F340" i="12"/>
  <c r="F381" i="12" s="1"/>
  <c r="G340" i="12"/>
  <c r="G381" i="12" s="1"/>
  <c r="H340" i="12"/>
  <c r="H381" i="12" s="1"/>
  <c r="I340" i="12"/>
  <c r="I381" i="12" s="1"/>
  <c r="J340" i="12"/>
  <c r="J381" i="12" s="1"/>
  <c r="C336" i="12"/>
  <c r="C377" i="12" s="1"/>
  <c r="D336" i="12"/>
  <c r="D377" i="12" s="1"/>
  <c r="E336" i="12"/>
  <c r="E377" i="12" s="1"/>
  <c r="F336" i="12"/>
  <c r="F377" i="12" s="1"/>
  <c r="G336" i="12"/>
  <c r="G377" i="12" s="1"/>
  <c r="H336" i="12"/>
  <c r="H377" i="12" s="1"/>
  <c r="I336" i="12"/>
  <c r="I377" i="12" s="1"/>
  <c r="J336" i="12"/>
  <c r="J377" i="12" s="1"/>
  <c r="B336" i="12"/>
  <c r="B377" i="12" s="1"/>
  <c r="AE449" i="1"/>
  <c r="AD447" i="1"/>
  <c r="AE447" i="1"/>
  <c r="AE445" i="1"/>
  <c r="AE450" i="1"/>
  <c r="T34" i="10"/>
  <c r="AC14" i="1"/>
  <c r="AC15" i="1" s="1"/>
  <c r="AC17" i="1"/>
  <c r="AC48" i="1"/>
  <c r="AC54" i="1"/>
  <c r="AC60" i="1"/>
  <c r="AC81" i="1"/>
  <c r="AC93" i="1"/>
  <c r="AC103" i="1"/>
  <c r="AC18" i="1"/>
  <c r="AC32" i="1"/>
  <c r="AC38" i="1"/>
  <c r="AC49" i="1"/>
  <c r="AC55" i="1"/>
  <c r="AC61" i="1"/>
  <c r="Y67" i="1"/>
  <c r="Z67" i="1" s="1"/>
  <c r="AC82" i="1"/>
  <c r="AC94" i="1"/>
  <c r="AC104" i="1"/>
  <c r="AC19" i="1"/>
  <c r="AC24" i="1"/>
  <c r="AC25" i="1" s="1"/>
  <c r="AC33" i="1"/>
  <c r="AC39" i="1"/>
  <c r="AC50" i="1"/>
  <c r="AC56" i="1"/>
  <c r="AC62" i="1"/>
  <c r="AC68" i="1"/>
  <c r="AC72" i="1"/>
  <c r="AC73" i="1" s="1"/>
  <c r="AC83" i="1"/>
  <c r="AC89" i="1"/>
  <c r="AC90" i="1" s="1"/>
  <c r="X95" i="1"/>
  <c r="Y95" i="1" s="1"/>
  <c r="Z95" i="1" s="1"/>
  <c r="AA95" i="1" s="1"/>
  <c r="AC105" i="1"/>
  <c r="AC111" i="1"/>
  <c r="AC112" i="1" s="1"/>
  <c r="AC63" i="1"/>
  <c r="AC119" i="1" s="1"/>
  <c r="AC123" i="1"/>
  <c r="AC130" i="1"/>
  <c r="AC140" i="1"/>
  <c r="AC152" i="1"/>
  <c r="AC157" i="1"/>
  <c r="AC162" i="1"/>
  <c r="AC124" i="1"/>
  <c r="AC131" i="1"/>
  <c r="AC141" i="1"/>
  <c r="AC125" i="1"/>
  <c r="AC126" i="1"/>
  <c r="AC132" i="1"/>
  <c r="AC142" i="1"/>
  <c r="Y153" i="1"/>
  <c r="Y154" i="1" s="1"/>
  <c r="AC158" i="1"/>
  <c r="AC163" i="1"/>
  <c r="S12" i="10"/>
  <c r="AC225" i="1"/>
  <c r="AC233" i="1"/>
  <c r="AC227" i="1"/>
  <c r="AB228" i="1"/>
  <c r="AB230" i="1" s="1"/>
  <c r="AC229" i="1"/>
  <c r="AC234" i="1"/>
  <c r="AC239" i="1"/>
  <c r="AC240" i="1" s="1"/>
  <c r="AC226" i="1"/>
  <c r="AC246" i="1" s="1"/>
  <c r="AC224" i="1"/>
  <c r="AC243" i="1" s="1"/>
  <c r="AB447" i="1" s="1"/>
  <c r="AB257" i="1"/>
  <c r="AB258" i="1" s="1"/>
  <c r="AC258" i="1" s="1"/>
  <c r="AC261" i="1"/>
  <c r="AC262" i="1" s="1"/>
  <c r="AC252" i="1"/>
  <c r="AC266" i="1"/>
  <c r="AC267" i="1" s="1"/>
  <c r="AC272" i="1"/>
  <c r="AC287" i="1"/>
  <c r="AC288" i="1" s="1"/>
  <c r="AC283" i="1"/>
  <c r="AC284" i="1" s="1"/>
  <c r="AC250" i="1"/>
  <c r="AC270" i="1"/>
  <c r="AC251" i="1"/>
  <c r="AC271" i="1"/>
  <c r="AC299" i="1"/>
  <c r="AC316" i="1"/>
  <c r="AC324" i="1"/>
  <c r="AC300" i="1"/>
  <c r="AC317" i="1"/>
  <c r="AC325" i="1"/>
  <c r="AC301" i="1"/>
  <c r="AC318" i="1"/>
  <c r="AC326" i="1"/>
  <c r="AC330" i="1"/>
  <c r="AC331" i="1" s="1"/>
  <c r="AC335" i="1"/>
  <c r="AC336" i="1" s="1"/>
  <c r="AC355" i="1"/>
  <c r="AC357" i="1"/>
  <c r="AC358" i="1"/>
  <c r="AC368" i="1"/>
  <c r="AC379" i="1"/>
  <c r="AC380" i="1" s="1"/>
  <c r="AC382" i="1"/>
  <c r="AC384" i="1" s="1"/>
  <c r="AC390" i="1"/>
  <c r="AC391" i="1" s="1"/>
  <c r="AC394" i="1"/>
  <c r="AB396" i="1"/>
  <c r="AC396" i="1" s="1"/>
  <c r="AB438" i="1"/>
  <c r="E83" i="11"/>
  <c r="AP43" i="10"/>
  <c r="D83" i="11"/>
  <c r="F83" i="11"/>
  <c r="G83" i="11"/>
  <c r="AB13" i="14"/>
  <c r="AB35" i="14" s="1"/>
  <c r="AB29" i="14"/>
  <c r="AC436" i="1"/>
  <c r="AC437" i="1"/>
  <c r="AC433" i="1"/>
  <c r="AC417" i="1"/>
  <c r="AB450" i="1" s="1"/>
  <c r="AC418" i="1"/>
  <c r="AC450" i="1" s="1"/>
  <c r="AC419" i="1"/>
  <c r="AC422" i="1"/>
  <c r="AC423" i="1"/>
  <c r="AC424" i="1"/>
  <c r="AC425" i="1"/>
  <c r="AC426" i="1"/>
  <c r="AC428" i="1"/>
  <c r="AC429" i="1"/>
  <c r="AC371" i="1"/>
  <c r="AC302" i="1"/>
  <c r="AB281" i="1"/>
  <c r="AC281" i="1" s="1"/>
  <c r="AC277" i="1"/>
  <c r="AB136" i="1"/>
  <c r="AD450" i="1"/>
  <c r="N41" i="10"/>
  <c r="S41" i="10"/>
  <c r="I370" i="12"/>
  <c r="AA155" i="3"/>
  <c r="AA424" i="1"/>
  <c r="U54" i="3"/>
  <c r="C54" i="3" s="1"/>
  <c r="W43" i="3"/>
  <c r="AJ31" i="3"/>
  <c r="AF5" i="3"/>
  <c r="AG5" i="3" s="1"/>
  <c r="AH5" i="3" s="1"/>
  <c r="AI5" i="3" s="1"/>
  <c r="AJ5" i="3" s="1"/>
  <c r="AK5" i="3" s="1"/>
  <c r="AL5" i="3" s="1"/>
  <c r="AM5" i="3" s="1"/>
  <c r="AN5" i="3" s="1"/>
  <c r="AO5" i="3" s="1"/>
  <c r="AP5" i="3" s="1"/>
  <c r="AQ5" i="3" s="1"/>
  <c r="AR5" i="3" s="1"/>
  <c r="AS5" i="3" s="1"/>
  <c r="AT5" i="3" s="1"/>
  <c r="AU5" i="3" s="1"/>
  <c r="AV5" i="3" s="1"/>
  <c r="AW5" i="3" s="1"/>
  <c r="AX5" i="3" s="1"/>
  <c r="AY5" i="3" s="1"/>
  <c r="AZ5" i="3" s="1"/>
  <c r="BA5" i="3" s="1"/>
  <c r="BB5" i="3" s="1"/>
  <c r="S34" i="10"/>
  <c r="I368" i="12"/>
  <c r="I470" i="12"/>
  <c r="I361" i="12"/>
  <c r="G319" i="12"/>
  <c r="J319" i="12" s="1"/>
  <c r="E356" i="12" s="1"/>
  <c r="G315" i="12"/>
  <c r="J315" i="12" s="1"/>
  <c r="E352" i="12" s="1"/>
  <c r="J312" i="12"/>
  <c r="E349" i="12" s="1"/>
  <c r="L309" i="12"/>
  <c r="R66" i="10"/>
  <c r="S66" i="10"/>
  <c r="S67" i="10" s="1"/>
  <c r="X13" i="13"/>
  <c r="X15" i="13" s="1"/>
  <c r="Z6" i="13" s="1"/>
  <c r="AA123" i="1"/>
  <c r="AA68" i="1"/>
  <c r="AB183" i="1"/>
  <c r="AA94" i="1"/>
  <c r="AA251" i="1"/>
  <c r="AB358" i="1"/>
  <c r="W153" i="1"/>
  <c r="AA153" i="1" s="1"/>
  <c r="AB153" i="1" s="1"/>
  <c r="AB154" i="1" s="1"/>
  <c r="AB371" i="1"/>
  <c r="AB357" i="1"/>
  <c r="AA54" i="1"/>
  <c r="AA60" i="1"/>
  <c r="AA81" i="1"/>
  <c r="AA103" i="1"/>
  <c r="AA18" i="1"/>
  <c r="AA49" i="1"/>
  <c r="AA55" i="1"/>
  <c r="AA14" i="1"/>
  <c r="AA15" i="1" s="1"/>
  <c r="AA17" i="1"/>
  <c r="AA48" i="1"/>
  <c r="AA93" i="1"/>
  <c r="AA32" i="1"/>
  <c r="AA33" i="1"/>
  <c r="AA38" i="1"/>
  <c r="AA61" i="1"/>
  <c r="AA82" i="1"/>
  <c r="X104" i="1"/>
  <c r="X106" i="1" s="1"/>
  <c r="AA19" i="1"/>
  <c r="AA24" i="1"/>
  <c r="AA25" i="1" s="1"/>
  <c r="AA39" i="1"/>
  <c r="AA50" i="1"/>
  <c r="AA56" i="1"/>
  <c r="Z62" i="1"/>
  <c r="Z64" i="1" s="1"/>
  <c r="AA72" i="1"/>
  <c r="AA73" i="1" s="1"/>
  <c r="AA83" i="1"/>
  <c r="AA89" i="1"/>
  <c r="AA90" i="1" s="1"/>
  <c r="AA105" i="1"/>
  <c r="AA111" i="1"/>
  <c r="AA112" i="1" s="1"/>
  <c r="AA63" i="1"/>
  <c r="AA119" i="1" s="1"/>
  <c r="AA157" i="1"/>
  <c r="AA162" i="1"/>
  <c r="AA140" i="1"/>
  <c r="AA152" i="1"/>
  <c r="AA124" i="1"/>
  <c r="AA131" i="1"/>
  <c r="AA141" i="1"/>
  <c r="AA125" i="1"/>
  <c r="AA126" i="1"/>
  <c r="AA132" i="1"/>
  <c r="AA142" i="1"/>
  <c r="AA158" i="1"/>
  <c r="AA163" i="1"/>
  <c r="AA225" i="1"/>
  <c r="AA233" i="1"/>
  <c r="AA227" i="1"/>
  <c r="Z228" i="1"/>
  <c r="Z230" i="1" s="1"/>
  <c r="AA229" i="1"/>
  <c r="AA234" i="1"/>
  <c r="AA239" i="1"/>
  <c r="AA240" i="1" s="1"/>
  <c r="AA226" i="1"/>
  <c r="AA246" i="1" s="1"/>
  <c r="AA224" i="1"/>
  <c r="AA243" i="1" s="1"/>
  <c r="Z447" i="1" s="1"/>
  <c r="Z257" i="1"/>
  <c r="AA261" i="1"/>
  <c r="AA262" i="1" s="1"/>
  <c r="AA252" i="1"/>
  <c r="AA266" i="1"/>
  <c r="AA267" i="1" s="1"/>
  <c r="AA272" i="1"/>
  <c r="AA287" i="1"/>
  <c r="AA288" i="1" s="1"/>
  <c r="AA283" i="1"/>
  <c r="AA284" i="1" s="1"/>
  <c r="AA295" i="1" s="1"/>
  <c r="AA250" i="1"/>
  <c r="AA270" i="1"/>
  <c r="AA271" i="1"/>
  <c r="AA299" i="1"/>
  <c r="AA325" i="1"/>
  <c r="AA316" i="1"/>
  <c r="AA324" i="1"/>
  <c r="AA300" i="1"/>
  <c r="AA317" i="1"/>
  <c r="AA301" i="1"/>
  <c r="AA318" i="1"/>
  <c r="AA326" i="1"/>
  <c r="AA330" i="1"/>
  <c r="AA331" i="1" s="1"/>
  <c r="AA335" i="1"/>
  <c r="AA336" i="1" s="1"/>
  <c r="AA390" i="1"/>
  <c r="AA391" i="1" s="1"/>
  <c r="AA394" i="1"/>
  <c r="AA396" i="1"/>
  <c r="AA397" i="1"/>
  <c r="AA417" i="1"/>
  <c r="Z450" i="1" s="1"/>
  <c r="AA418" i="1"/>
  <c r="AA450" i="1" s="1"/>
  <c r="AB427" i="1"/>
  <c r="AB431" i="1" s="1"/>
  <c r="AA419" i="1"/>
  <c r="Z427" i="1"/>
  <c r="AA427" i="1" s="1"/>
  <c r="AA428" i="1"/>
  <c r="AA429" i="1"/>
  <c r="Z433" i="1"/>
  <c r="AA433" i="1" s="1"/>
  <c r="BB433" i="1" s="1"/>
  <c r="AA438" i="1"/>
  <c r="BB438" i="1" s="1"/>
  <c r="AA426" i="1"/>
  <c r="AA425" i="1"/>
  <c r="AA422" i="1"/>
  <c r="AA382" i="1"/>
  <c r="AA384" i="1" s="1"/>
  <c r="AA379" i="1"/>
  <c r="AA380" i="1" s="1"/>
  <c r="AA368" i="1"/>
  <c r="AA371" i="1"/>
  <c r="AA357" i="1"/>
  <c r="AA355" i="1"/>
  <c r="AB336" i="1"/>
  <c r="AA302" i="1"/>
  <c r="Z281" i="1"/>
  <c r="AA281" i="1" s="1"/>
  <c r="AA277" i="1"/>
  <c r="Z136" i="1"/>
  <c r="AB76" i="1"/>
  <c r="AB78" i="1" s="1"/>
  <c r="AC78" i="1" s="1"/>
  <c r="Z76" i="1"/>
  <c r="Z78" i="1" s="1"/>
  <c r="AA78" i="1" s="1"/>
  <c r="AB43" i="1"/>
  <c r="AB44" i="1"/>
  <c r="Z43" i="1"/>
  <c r="AC29" i="1"/>
  <c r="AA29" i="1"/>
  <c r="AB87" i="1"/>
  <c r="AB115" i="1" s="1"/>
  <c r="AB88" i="1"/>
  <c r="AB119" i="1"/>
  <c r="AB167" i="1"/>
  <c r="AB168" i="1"/>
  <c r="AB244" i="1"/>
  <c r="AB246" i="1"/>
  <c r="AB243" i="1"/>
  <c r="AB291" i="1"/>
  <c r="AB292" i="1"/>
  <c r="AB276" i="1"/>
  <c r="AB284" i="1"/>
  <c r="AB295" i="1" s="1"/>
  <c r="AB343" i="1"/>
  <c r="AB334" i="1"/>
  <c r="AB344" i="1" s="1"/>
  <c r="AB345" i="1"/>
  <c r="AB380" i="1"/>
  <c r="AB384" i="1"/>
  <c r="AB391" i="1"/>
  <c r="AB339" i="1"/>
  <c r="AB340" i="1" s="1"/>
  <c r="AB331" i="1"/>
  <c r="AB327" i="1"/>
  <c r="AB321" i="1"/>
  <c r="AB303" i="1"/>
  <c r="AB305" i="1" s="1"/>
  <c r="AB288" i="1"/>
  <c r="AB273" i="1"/>
  <c r="AB267" i="1"/>
  <c r="AB262" i="1"/>
  <c r="AB253" i="1"/>
  <c r="AB240" i="1"/>
  <c r="AB235" i="1"/>
  <c r="AB164" i="1"/>
  <c r="AB159" i="1"/>
  <c r="AB143" i="1"/>
  <c r="AB133" i="1"/>
  <c r="AB127" i="1"/>
  <c r="AB112" i="1"/>
  <c r="AB106" i="1"/>
  <c r="AB84" i="1"/>
  <c r="AB73" i="1"/>
  <c r="AB64" i="1"/>
  <c r="AB57" i="1"/>
  <c r="AB51" i="1"/>
  <c r="AB40" i="1"/>
  <c r="AB35" i="1"/>
  <c r="AB29" i="1"/>
  <c r="AB25" i="1"/>
  <c r="AB23" i="1"/>
  <c r="AB20" i="1"/>
  <c r="AB15" i="1"/>
  <c r="Y168" i="1"/>
  <c r="Y446" i="1" s="1"/>
  <c r="Y244" i="1"/>
  <c r="Y447" i="1" s="1"/>
  <c r="Y292" i="1"/>
  <c r="Y448" i="1" s="1"/>
  <c r="Y344" i="1"/>
  <c r="Y449" i="1" s="1"/>
  <c r="Y450" i="1"/>
  <c r="W18" i="1"/>
  <c r="W32" i="1"/>
  <c r="W38" i="1"/>
  <c r="W49" i="1"/>
  <c r="W55" i="1"/>
  <c r="W61" i="1"/>
  <c r="W67" i="1"/>
  <c r="W82" i="1"/>
  <c r="W84" i="1" s="1"/>
  <c r="W94" i="1"/>
  <c r="V104" i="1"/>
  <c r="W104" i="1" s="1"/>
  <c r="W124" i="1"/>
  <c r="W131" i="1"/>
  <c r="W141" i="1"/>
  <c r="W244" i="1"/>
  <c r="W447" i="1" s="1"/>
  <c r="W251" i="1"/>
  <c r="W271" i="1"/>
  <c r="W300" i="1"/>
  <c r="W317" i="1"/>
  <c r="W325" i="1"/>
  <c r="W418" i="1"/>
  <c r="W450" i="1" s="1"/>
  <c r="P104" i="1"/>
  <c r="Q104" i="1" s="1"/>
  <c r="Q116" i="1" s="1"/>
  <c r="Q445" i="1" s="1"/>
  <c r="R131" i="1"/>
  <c r="R141" i="1"/>
  <c r="R244" i="1"/>
  <c r="S447" i="1" s="1"/>
  <c r="R292" i="1"/>
  <c r="S448" i="1" s="1"/>
  <c r="R344" i="1"/>
  <c r="S449" i="1" s="1"/>
  <c r="S450" i="1"/>
  <c r="P103" i="1"/>
  <c r="Q103" i="1" s="1"/>
  <c r="R130" i="1"/>
  <c r="R140" i="1"/>
  <c r="R243" i="1"/>
  <c r="R447" i="1" s="1"/>
  <c r="R291" i="1"/>
  <c r="R448" i="1" s="1"/>
  <c r="R343" i="1"/>
  <c r="R449" i="1" s="1"/>
  <c r="R450" i="1"/>
  <c r="Y115" i="1"/>
  <c r="X445" i="1" s="1"/>
  <c r="Y167" i="1"/>
  <c r="X446" i="1" s="1"/>
  <c r="Y243" i="1"/>
  <c r="X447" i="1" s="1"/>
  <c r="Y291" i="1"/>
  <c r="X448" i="1" s="1"/>
  <c r="Y343" i="1"/>
  <c r="X449" i="1" s="1"/>
  <c r="X450" i="1"/>
  <c r="W17" i="1"/>
  <c r="W48" i="1"/>
  <c r="W54" i="1"/>
  <c r="W60" i="1"/>
  <c r="V62" i="1"/>
  <c r="W62" i="1" s="1"/>
  <c r="W93" i="1"/>
  <c r="W103" i="1"/>
  <c r="W123" i="1"/>
  <c r="W130" i="1"/>
  <c r="W140" i="1"/>
  <c r="W152" i="1"/>
  <c r="W157" i="1"/>
  <c r="W162" i="1"/>
  <c r="W224" i="1"/>
  <c r="W243" i="1" s="1"/>
  <c r="V447" i="1" s="1"/>
  <c r="W250" i="1"/>
  <c r="W270" i="1"/>
  <c r="W299" i="1"/>
  <c r="W316" i="1"/>
  <c r="W324" i="1"/>
  <c r="W417" i="1"/>
  <c r="V450" i="1" s="1"/>
  <c r="Y436" i="1"/>
  <c r="Z436" i="1" s="1"/>
  <c r="Z438" i="1" s="1"/>
  <c r="Y183" i="1"/>
  <c r="X467" i="1" s="1"/>
  <c r="Z391" i="1"/>
  <c r="Z398" i="1"/>
  <c r="Z87" i="1"/>
  <c r="Z88" i="1"/>
  <c r="Z119" i="1"/>
  <c r="Z167" i="1"/>
  <c r="Z168" i="1"/>
  <c r="Z244" i="1"/>
  <c r="Z246" i="1"/>
  <c r="Z243" i="1"/>
  <c r="Z291" i="1"/>
  <c r="Z292" i="1"/>
  <c r="Z276" i="1"/>
  <c r="Z284" i="1"/>
  <c r="Z295" i="1" s="1"/>
  <c r="Z343" i="1"/>
  <c r="Z334" i="1"/>
  <c r="Z344" i="1" s="1"/>
  <c r="Z345" i="1"/>
  <c r="Z371" i="1"/>
  <c r="Y437" i="1"/>
  <c r="Y433" i="1"/>
  <c r="Y427" i="1"/>
  <c r="Y431" i="1" s="1"/>
  <c r="Y261" i="1"/>
  <c r="Y262" i="1" s="1"/>
  <c r="AA358" i="1"/>
  <c r="Z380" i="1"/>
  <c r="Y62" i="1"/>
  <c r="Y64" i="1" s="1"/>
  <c r="Y68" i="1"/>
  <c r="Y119" i="1"/>
  <c r="Y132" i="1"/>
  <c r="Y133" i="1" s="1"/>
  <c r="Y245" i="1"/>
  <c r="Y246" i="1"/>
  <c r="X258" i="1"/>
  <c r="Y258" i="1" s="1"/>
  <c r="Y294" i="1"/>
  <c r="Y284" i="1"/>
  <c r="Y345" i="1"/>
  <c r="Y355" i="1"/>
  <c r="Y357" i="1"/>
  <c r="Y368" i="1"/>
  <c r="X380" i="1"/>
  <c r="Y380" i="1" s="1"/>
  <c r="Y382" i="1"/>
  <c r="Y384" i="1" s="1"/>
  <c r="Y391" i="1"/>
  <c r="Y398" i="1"/>
  <c r="Y336" i="1"/>
  <c r="Y331" i="1"/>
  <c r="Y327" i="1"/>
  <c r="Y321" i="1"/>
  <c r="Y302" i="1"/>
  <c r="Y303" i="1" s="1"/>
  <c r="Y305" i="1" s="1"/>
  <c r="X281" i="1"/>
  <c r="Y281" i="1" s="1"/>
  <c r="Y288" i="1"/>
  <c r="Y277" i="1"/>
  <c r="Y273" i="1"/>
  <c r="Y267" i="1"/>
  <c r="Y253" i="1"/>
  <c r="Y240" i="1"/>
  <c r="Y235" i="1"/>
  <c r="Y230" i="1"/>
  <c r="Y164" i="1"/>
  <c r="Y159" i="1"/>
  <c r="Y143" i="1"/>
  <c r="X137" i="1"/>
  <c r="Y137" i="1" s="1"/>
  <c r="Y127" i="1"/>
  <c r="Y112" i="1"/>
  <c r="Y90" i="1"/>
  <c r="Y84" i="1"/>
  <c r="X78" i="1"/>
  <c r="Y78" i="1" s="1"/>
  <c r="Y73" i="1"/>
  <c r="Y57" i="1"/>
  <c r="Y51" i="1"/>
  <c r="Y40" i="1"/>
  <c r="Y35" i="1"/>
  <c r="Y29" i="1"/>
  <c r="Y25" i="1"/>
  <c r="Y20" i="1"/>
  <c r="Z23" i="1"/>
  <c r="Z339" i="1"/>
  <c r="Z340" i="1" s="1"/>
  <c r="Z357" i="1"/>
  <c r="Z358" i="1"/>
  <c r="X357" i="1"/>
  <c r="X438" i="1"/>
  <c r="X427" i="1"/>
  <c r="X431" i="1" s="1"/>
  <c r="X115" i="1"/>
  <c r="X33" i="1"/>
  <c r="X119" i="1"/>
  <c r="X167" i="1"/>
  <c r="X168" i="1"/>
  <c r="X153" i="1"/>
  <c r="X169" i="1" s="1"/>
  <c r="X183" i="1"/>
  <c r="X244" i="1"/>
  <c r="X228" i="1"/>
  <c r="X230" i="1" s="1"/>
  <c r="X246" i="1"/>
  <c r="X243" i="1"/>
  <c r="X291" i="1"/>
  <c r="X292" i="1"/>
  <c r="X294" i="1"/>
  <c r="X284" i="1"/>
  <c r="X295" i="1" s="1"/>
  <c r="X343" i="1"/>
  <c r="X344" i="1"/>
  <c r="X345" i="1"/>
  <c r="X384" i="1"/>
  <c r="X391" i="1"/>
  <c r="X398" i="1"/>
  <c r="X340" i="1"/>
  <c r="X336" i="1"/>
  <c r="X331" i="1"/>
  <c r="X327" i="1"/>
  <c r="X321" i="1"/>
  <c r="X303" i="1"/>
  <c r="X305" i="1" s="1"/>
  <c r="X288" i="1"/>
  <c r="X273" i="1"/>
  <c r="X267" i="1"/>
  <c r="X262" i="1"/>
  <c r="X253" i="1"/>
  <c r="X240" i="1"/>
  <c r="X235" i="1"/>
  <c r="X164" i="1"/>
  <c r="X159" i="1"/>
  <c r="X143" i="1"/>
  <c r="X133" i="1"/>
  <c r="X127" i="1"/>
  <c r="X112" i="1"/>
  <c r="X90" i="1"/>
  <c r="X84" i="1"/>
  <c r="X73" i="1"/>
  <c r="X69" i="1"/>
  <c r="X64" i="1"/>
  <c r="X57" i="1"/>
  <c r="X51" i="1"/>
  <c r="X40" i="1"/>
  <c r="X29" i="1"/>
  <c r="X25" i="1"/>
  <c r="X20" i="1"/>
  <c r="Y15" i="1"/>
  <c r="X15" i="1"/>
  <c r="W33" i="1"/>
  <c r="V183" i="1"/>
  <c r="W183" i="1" s="1"/>
  <c r="Z384" i="1"/>
  <c r="W390" i="1"/>
  <c r="W391" i="1" s="1"/>
  <c r="W436" i="1"/>
  <c r="W437" i="1"/>
  <c r="W419" i="1"/>
  <c r="W335" i="1"/>
  <c r="W336" i="1" s="1"/>
  <c r="W330" i="1"/>
  <c r="W331" i="1" s="1"/>
  <c r="W326" i="1"/>
  <c r="W318" i="1"/>
  <c r="W301" i="1"/>
  <c r="W287" i="1"/>
  <c r="W288" i="1" s="1"/>
  <c r="W283" i="1"/>
  <c r="W284" i="1" s="1"/>
  <c r="W295" i="1" s="1"/>
  <c r="W272" i="1"/>
  <c r="W266" i="1"/>
  <c r="W267" i="1" s="1"/>
  <c r="W261" i="1"/>
  <c r="W262" i="1" s="1"/>
  <c r="W252" i="1"/>
  <c r="W229" i="1"/>
  <c r="W227" i="1"/>
  <c r="W226" i="1"/>
  <c r="W246" i="1" s="1"/>
  <c r="W239" i="1"/>
  <c r="W240" i="1" s="1"/>
  <c r="W163" i="1"/>
  <c r="W158" i="1"/>
  <c r="W142" i="1"/>
  <c r="W132" i="1"/>
  <c r="W126" i="1"/>
  <c r="W111" i="1"/>
  <c r="W112" i="1" s="1"/>
  <c r="W105" i="1"/>
  <c r="W89" i="1"/>
  <c r="W90" i="1" s="1"/>
  <c r="W72" i="1"/>
  <c r="W73" i="1" s="1"/>
  <c r="W68" i="1"/>
  <c r="W56" i="1"/>
  <c r="W50" i="1"/>
  <c r="W39" i="1"/>
  <c r="W24" i="1"/>
  <c r="W25" i="1" s="1"/>
  <c r="W19" i="1"/>
  <c r="V95" i="1"/>
  <c r="W95" i="1" s="1"/>
  <c r="W119" i="1"/>
  <c r="W125" i="1"/>
  <c r="V258" i="1"/>
  <c r="V293" i="1" s="1"/>
  <c r="W395" i="1"/>
  <c r="W397" i="1"/>
  <c r="W422" i="1"/>
  <c r="W423" i="1"/>
  <c r="W424" i="1"/>
  <c r="W425" i="1"/>
  <c r="W426" i="1"/>
  <c r="W428" i="1"/>
  <c r="W429" i="1"/>
  <c r="W382" i="1"/>
  <c r="W384" i="1" s="1"/>
  <c r="V380" i="1"/>
  <c r="W380" i="1" s="1"/>
  <c r="W368" i="1"/>
  <c r="W357" i="1"/>
  <c r="W355" i="1"/>
  <c r="W302" i="1"/>
  <c r="V281" i="1"/>
  <c r="W281" i="1" s="1"/>
  <c r="W277" i="1"/>
  <c r="W235" i="1"/>
  <c r="V137" i="1"/>
  <c r="W137" i="1" s="1"/>
  <c r="V78" i="1"/>
  <c r="W78" i="1" s="1"/>
  <c r="W29" i="1"/>
  <c r="Z336" i="1"/>
  <c r="Z331" i="1"/>
  <c r="Z327" i="1"/>
  <c r="Z321" i="1"/>
  <c r="Z303" i="1"/>
  <c r="Z305" i="1" s="1"/>
  <c r="Z288" i="1"/>
  <c r="Z273" i="1"/>
  <c r="Z267" i="1"/>
  <c r="Z262" i="1"/>
  <c r="Z253" i="1"/>
  <c r="Z240" i="1"/>
  <c r="Z235" i="1"/>
  <c r="Z164" i="1"/>
  <c r="Z159" i="1"/>
  <c r="Z143" i="1"/>
  <c r="Z133" i="1"/>
  <c r="Z127" i="1"/>
  <c r="Z112" i="1"/>
  <c r="Z84" i="1"/>
  <c r="Z73" i="1"/>
  <c r="Z57" i="1"/>
  <c r="Z51" i="1"/>
  <c r="Z40" i="1"/>
  <c r="Z35" i="1"/>
  <c r="Z29" i="1"/>
  <c r="Z25" i="1"/>
  <c r="Z20" i="1"/>
  <c r="Z15" i="1"/>
  <c r="V244" i="1"/>
  <c r="V228" i="1"/>
  <c r="V245" i="1" s="1"/>
  <c r="V246" i="1"/>
  <c r="V243" i="1"/>
  <c r="V357" i="1"/>
  <c r="V153" i="1"/>
  <c r="S436" i="1"/>
  <c r="S438" i="1" s="1"/>
  <c r="R183" i="1"/>
  <c r="S183" i="1" s="1"/>
  <c r="V115" i="1"/>
  <c r="V167" i="1"/>
  <c r="V291" i="1"/>
  <c r="V343" i="1"/>
  <c r="V168" i="1"/>
  <c r="V292" i="1"/>
  <c r="V344" i="1"/>
  <c r="Q167" i="1"/>
  <c r="P446" i="1" s="1"/>
  <c r="Q243" i="1"/>
  <c r="P447" i="1" s="1"/>
  <c r="Q291" i="1"/>
  <c r="P448" i="1" s="1"/>
  <c r="Q343" i="1"/>
  <c r="P449" i="1" s="1"/>
  <c r="P450" i="1"/>
  <c r="V112" i="1"/>
  <c r="R112" i="1"/>
  <c r="S112" i="1" s="1"/>
  <c r="R95" i="1"/>
  <c r="R96" i="1" s="1"/>
  <c r="S96" i="1" s="1"/>
  <c r="V90" i="1"/>
  <c r="R90" i="1"/>
  <c r="S90" i="1" s="1"/>
  <c r="R83" i="1"/>
  <c r="R84" i="1" s="1"/>
  <c r="S84" i="1" s="1"/>
  <c r="V84" i="1"/>
  <c r="R78" i="1"/>
  <c r="S78" i="1" s="1"/>
  <c r="V73" i="1"/>
  <c r="R73" i="1"/>
  <c r="S73" i="1" s="1"/>
  <c r="V69" i="1"/>
  <c r="R69" i="1"/>
  <c r="S69" i="1" s="1"/>
  <c r="R62" i="1"/>
  <c r="R64" i="1" s="1"/>
  <c r="S64" i="1" s="1"/>
  <c r="V57" i="1"/>
  <c r="R57" i="1"/>
  <c r="S57" i="1" s="1"/>
  <c r="V51" i="1"/>
  <c r="R51" i="1"/>
  <c r="S51" i="1" s="1"/>
  <c r="V40" i="1"/>
  <c r="R40" i="1"/>
  <c r="S40" i="1" s="1"/>
  <c r="V35" i="1"/>
  <c r="S29" i="1"/>
  <c r="V25" i="1"/>
  <c r="R25" i="1"/>
  <c r="S25" i="1" s="1"/>
  <c r="V20" i="1"/>
  <c r="R20" i="1"/>
  <c r="S20" i="1" s="1"/>
  <c r="R301" i="1"/>
  <c r="P287" i="1"/>
  <c r="Q287" i="1" s="1"/>
  <c r="R132" i="1"/>
  <c r="V391" i="1"/>
  <c r="R436" i="1"/>
  <c r="R438" i="1" s="1"/>
  <c r="V438" i="1"/>
  <c r="V427" i="1"/>
  <c r="V431" i="1" s="1"/>
  <c r="V294" i="1"/>
  <c r="V284" i="1"/>
  <c r="V295" i="1" s="1"/>
  <c r="V345" i="1"/>
  <c r="V384" i="1"/>
  <c r="V398" i="1"/>
  <c r="V340" i="1"/>
  <c r="V336" i="1"/>
  <c r="V331" i="1"/>
  <c r="V327" i="1"/>
  <c r="V321" i="1"/>
  <c r="V303" i="1"/>
  <c r="V305" i="1" s="1"/>
  <c r="V288" i="1"/>
  <c r="V273" i="1"/>
  <c r="V267" i="1"/>
  <c r="V262" i="1"/>
  <c r="V253" i="1"/>
  <c r="V240" i="1"/>
  <c r="V235" i="1"/>
  <c r="V164" i="1"/>
  <c r="V159" i="1"/>
  <c r="V143" i="1"/>
  <c r="V133" i="1"/>
  <c r="V127" i="1"/>
  <c r="V29" i="1"/>
  <c r="W15" i="1"/>
  <c r="V15" i="1"/>
  <c r="S423" i="1"/>
  <c r="S425" i="1"/>
  <c r="S426" i="1"/>
  <c r="S433" i="1"/>
  <c r="R368" i="1"/>
  <c r="R376" i="1" s="1"/>
  <c r="S376" i="1" s="1"/>
  <c r="R380" i="1"/>
  <c r="S380" i="1" s="1"/>
  <c r="R384" i="1"/>
  <c r="S384" i="1" s="1"/>
  <c r="R119" i="1"/>
  <c r="S167" i="1"/>
  <c r="S168" i="1"/>
  <c r="S169" i="1"/>
  <c r="R245" i="1"/>
  <c r="R246" i="1"/>
  <c r="R258" i="1"/>
  <c r="R293" i="1" s="1"/>
  <c r="R284" i="1"/>
  <c r="R295" i="1" s="1"/>
  <c r="S343" i="1"/>
  <c r="S344" i="1"/>
  <c r="S345" i="1"/>
  <c r="R391" i="1"/>
  <c r="S391" i="1" s="1"/>
  <c r="R398" i="1"/>
  <c r="S398" i="1" s="1"/>
  <c r="R336" i="1"/>
  <c r="S336" i="1" s="1"/>
  <c r="R331" i="1"/>
  <c r="S331" i="1" s="1"/>
  <c r="R327" i="1"/>
  <c r="S327" i="1" s="1"/>
  <c r="R321" i="1"/>
  <c r="S321" i="1" s="1"/>
  <c r="S303" i="1"/>
  <c r="S288" i="1"/>
  <c r="S277" i="1"/>
  <c r="R273" i="1"/>
  <c r="S273" i="1" s="1"/>
  <c r="R267" i="1"/>
  <c r="S267" i="1" s="1"/>
  <c r="R262" i="1"/>
  <c r="S262" i="1" s="1"/>
  <c r="R253" i="1"/>
  <c r="S253" i="1" s="1"/>
  <c r="R240" i="1"/>
  <c r="S240" i="1" s="1"/>
  <c r="R235" i="1"/>
  <c r="S235" i="1" s="1"/>
  <c r="R230" i="1"/>
  <c r="S230" i="1" s="1"/>
  <c r="R164" i="1"/>
  <c r="S164" i="1" s="1"/>
  <c r="R159" i="1"/>
  <c r="S159" i="1" s="1"/>
  <c r="R137" i="1"/>
  <c r="S137" i="1" s="1"/>
  <c r="R127" i="1"/>
  <c r="S127" i="1" s="1"/>
  <c r="R433" i="1"/>
  <c r="Q64" i="1"/>
  <c r="Q68" i="1"/>
  <c r="Q69" i="1" s="1"/>
  <c r="Q124" i="1"/>
  <c r="Q168" i="1" s="1"/>
  <c r="Q446" i="1" s="1"/>
  <c r="Q183" i="1"/>
  <c r="O227" i="1"/>
  <c r="O226" i="1"/>
  <c r="O246" i="1" s="1"/>
  <c r="Q344" i="1"/>
  <c r="Q449" i="1" s="1"/>
  <c r="Q354" i="1"/>
  <c r="Q355" i="1"/>
  <c r="Q384" i="1"/>
  <c r="Q433" i="1"/>
  <c r="O425" i="1"/>
  <c r="P425" i="1" s="1"/>
  <c r="Q425" i="1" s="1"/>
  <c r="O428" i="1"/>
  <c r="P428" i="1" s="1"/>
  <c r="O429" i="1"/>
  <c r="P429" i="1" s="1"/>
  <c r="Q429" i="1" s="1"/>
  <c r="R429" i="1" s="1"/>
  <c r="Q436" i="1"/>
  <c r="Q394" i="1"/>
  <c r="Q396" i="1"/>
  <c r="Q303" i="1"/>
  <c r="Q305" i="1" s="1"/>
  <c r="Q235" i="1"/>
  <c r="P68" i="1"/>
  <c r="P69" i="1" s="1"/>
  <c r="R29" i="1"/>
  <c r="O115" i="1"/>
  <c r="N445" i="1" s="1"/>
  <c r="O167" i="1"/>
  <c r="N446" i="1" s="1"/>
  <c r="O243" i="1"/>
  <c r="N447" i="1" s="1"/>
  <c r="O250" i="1"/>
  <c r="O291" i="1" s="1"/>
  <c r="N448" i="1" s="1"/>
  <c r="O251" i="1"/>
  <c r="O292" i="1" s="1"/>
  <c r="O448" i="1" s="1"/>
  <c r="O252" i="1"/>
  <c r="O343" i="1"/>
  <c r="N449" i="1" s="1"/>
  <c r="O417" i="1"/>
  <c r="N450" i="1" s="1"/>
  <c r="R340" i="1"/>
  <c r="Q368" i="1"/>
  <c r="Q367" i="1"/>
  <c r="Q390" i="1"/>
  <c r="Q391" i="1" s="1"/>
  <c r="Q437" i="1"/>
  <c r="Q126" i="1"/>
  <c r="Q169" i="1" s="1"/>
  <c r="Q380" i="1"/>
  <c r="P438" i="1"/>
  <c r="P137" i="1"/>
  <c r="Q137" i="1" s="1"/>
  <c r="Q336" i="1"/>
  <c r="Q331" i="1"/>
  <c r="Q327" i="1"/>
  <c r="Q321" i="1"/>
  <c r="Q284" i="1"/>
  <c r="Q295" i="1" s="1"/>
  <c r="R281" i="1"/>
  <c r="S281" i="1" s="1"/>
  <c r="P281" i="1"/>
  <c r="Q281" i="1" s="1"/>
  <c r="Q277" i="1"/>
  <c r="P258" i="1"/>
  <c r="Q258" i="1" s="1"/>
  <c r="Q293" i="1" s="1"/>
  <c r="O258" i="1"/>
  <c r="O261" i="1"/>
  <c r="O262" i="1" s="1"/>
  <c r="N258" i="1"/>
  <c r="N293" i="1" s="1"/>
  <c r="Q267" i="1"/>
  <c r="Q253" i="1"/>
  <c r="Q225" i="1"/>
  <c r="Q95" i="1"/>
  <c r="Q96" i="1" s="1"/>
  <c r="Q84" i="1"/>
  <c r="Q57" i="1"/>
  <c r="Q51" i="1"/>
  <c r="P40" i="1"/>
  <c r="Q40" i="1" s="1"/>
  <c r="Q35" i="1"/>
  <c r="Q29" i="1"/>
  <c r="Q25" i="1"/>
  <c r="Q20" i="1"/>
  <c r="M104" i="1"/>
  <c r="N104" i="1" s="1"/>
  <c r="Q159" i="1"/>
  <c r="Q143" i="1"/>
  <c r="Q112" i="1"/>
  <c r="P112" i="1"/>
  <c r="P90" i="1"/>
  <c r="Q78" i="1"/>
  <c r="Q73" i="1"/>
  <c r="P51" i="1"/>
  <c r="R15" i="1"/>
  <c r="S15" i="1"/>
  <c r="P398" i="1"/>
  <c r="P391" i="1"/>
  <c r="P119" i="1"/>
  <c r="P243" i="1"/>
  <c r="P225" i="1"/>
  <c r="P244" i="1" s="1"/>
  <c r="O244" i="1"/>
  <c r="O447" i="1" s="1"/>
  <c r="P291" i="1"/>
  <c r="P292" i="1"/>
  <c r="P284" i="1"/>
  <c r="P295" i="1" s="1"/>
  <c r="Q345" i="1"/>
  <c r="P343" i="1"/>
  <c r="P344" i="1"/>
  <c r="P345" i="1"/>
  <c r="P363" i="1"/>
  <c r="P376" i="1"/>
  <c r="P380" i="1"/>
  <c r="P384" i="1"/>
  <c r="P29" i="1"/>
  <c r="N427" i="1"/>
  <c r="N431" i="1" s="1"/>
  <c r="P168" i="1"/>
  <c r="P167" i="1"/>
  <c r="P235" i="1"/>
  <c r="P303" i="1"/>
  <c r="P305" i="1" s="1"/>
  <c r="O116" i="1"/>
  <c r="O445" i="1" s="1"/>
  <c r="O117" i="1"/>
  <c r="O119" i="1"/>
  <c r="O124" i="1"/>
  <c r="O127" i="1" s="1"/>
  <c r="O169" i="1"/>
  <c r="O183" i="1"/>
  <c r="N467" i="1" s="1"/>
  <c r="O284" i="1"/>
  <c r="O295" i="1" s="1"/>
  <c r="O317" i="1"/>
  <c r="O344" i="1" s="1"/>
  <c r="O318" i="1"/>
  <c r="O345" i="1" s="1"/>
  <c r="O363" i="1"/>
  <c r="O376" i="1"/>
  <c r="O380" i="1"/>
  <c r="O384" i="1"/>
  <c r="O391" i="1"/>
  <c r="O398" i="1"/>
  <c r="O436" i="1"/>
  <c r="O437" i="1"/>
  <c r="O433" i="1"/>
  <c r="P321" i="1"/>
  <c r="O235" i="1"/>
  <c r="O137" i="1"/>
  <c r="O133" i="1"/>
  <c r="P133" i="1"/>
  <c r="P127" i="1"/>
  <c r="O423" i="1"/>
  <c r="P423" i="1" s="1"/>
  <c r="Q423" i="1" s="1"/>
  <c r="O426" i="1"/>
  <c r="P426" i="1" s="1"/>
  <c r="Q426" i="1" s="1"/>
  <c r="O422" i="1"/>
  <c r="P422" i="1" s="1"/>
  <c r="Q422" i="1" s="1"/>
  <c r="N183" i="1"/>
  <c r="P331" i="1"/>
  <c r="N167" i="1"/>
  <c r="N168" i="1"/>
  <c r="N153" i="1"/>
  <c r="N169" i="1" s="1"/>
  <c r="N115" i="1"/>
  <c r="N96" i="1"/>
  <c r="M340" i="1"/>
  <c r="N340" i="1"/>
  <c r="O340" i="1"/>
  <c r="P340" i="1"/>
  <c r="Q340" i="1" s="1"/>
  <c r="L340" i="1"/>
  <c r="P336" i="1"/>
  <c r="P327" i="1"/>
  <c r="P273" i="1"/>
  <c r="Q273" i="1"/>
  <c r="P267" i="1"/>
  <c r="P262" i="1"/>
  <c r="Q262" i="1"/>
  <c r="P240" i="1"/>
  <c r="Q240" i="1"/>
  <c r="P253" i="1"/>
  <c r="P143" i="1"/>
  <c r="P164" i="1"/>
  <c r="Q164" i="1"/>
  <c r="P159" i="1"/>
  <c r="Q154" i="1"/>
  <c r="Q133" i="1"/>
  <c r="P96" i="1"/>
  <c r="Q90" i="1"/>
  <c r="P84" i="1"/>
  <c r="P73" i="1"/>
  <c r="P64" i="1"/>
  <c r="P57" i="1"/>
  <c r="P35" i="1"/>
  <c r="P25" i="1"/>
  <c r="P15" i="1"/>
  <c r="Q15" i="1"/>
  <c r="Q292" i="1"/>
  <c r="Q448" i="1" s="1"/>
  <c r="Q450" i="1"/>
  <c r="O418" i="1"/>
  <c r="M88" i="1"/>
  <c r="M90" i="1" s="1"/>
  <c r="M110" i="1"/>
  <c r="M112" i="1" s="1"/>
  <c r="M244" i="1"/>
  <c r="M168" i="1"/>
  <c r="M292" i="1"/>
  <c r="M344" i="1"/>
  <c r="O419" i="1"/>
  <c r="O424" i="1"/>
  <c r="O336" i="1"/>
  <c r="O331" i="1"/>
  <c r="O327" i="1"/>
  <c r="O303" i="1"/>
  <c r="O305" i="1" s="1"/>
  <c r="O288" i="1"/>
  <c r="O281" i="1"/>
  <c r="O277" i="1"/>
  <c r="O273" i="1"/>
  <c r="O267" i="1"/>
  <c r="O240" i="1"/>
  <c r="O164" i="1"/>
  <c r="O159" i="1"/>
  <c r="O154" i="1"/>
  <c r="O143" i="1"/>
  <c r="O112" i="1"/>
  <c r="O106" i="1"/>
  <c r="O96" i="1"/>
  <c r="O90" i="1"/>
  <c r="O84" i="1"/>
  <c r="O73" i="1"/>
  <c r="O69" i="1"/>
  <c r="O64" i="1"/>
  <c r="O57" i="1"/>
  <c r="O51" i="1"/>
  <c r="O40" i="1"/>
  <c r="O35" i="1"/>
  <c r="O29" i="1"/>
  <c r="O25" i="1"/>
  <c r="O15" i="1"/>
  <c r="L228" i="1"/>
  <c r="L230" i="1" s="1"/>
  <c r="N438" i="1"/>
  <c r="M438" i="1"/>
  <c r="M423" i="1"/>
  <c r="M427" i="1" s="1"/>
  <c r="M431" i="1" s="1"/>
  <c r="M81" i="1"/>
  <c r="M117" i="1"/>
  <c r="M119" i="1"/>
  <c r="M167" i="1"/>
  <c r="M446" i="1" s="1"/>
  <c r="M169" i="1"/>
  <c r="M243" i="1"/>
  <c r="M447" i="1" s="1"/>
  <c r="M245" i="1"/>
  <c r="M246" i="1"/>
  <c r="M291" i="1"/>
  <c r="M448" i="1" s="1"/>
  <c r="M258" i="1"/>
  <c r="M293" i="1" s="1"/>
  <c r="M294" i="1"/>
  <c r="M284" i="1"/>
  <c r="M295" i="1" s="1"/>
  <c r="M343" i="1"/>
  <c r="M449" i="1" s="1"/>
  <c r="M345" i="1"/>
  <c r="M363" i="1"/>
  <c r="M376" i="1"/>
  <c r="M380" i="1"/>
  <c r="M384" i="1"/>
  <c r="M398" i="1"/>
  <c r="M412" i="1" s="1"/>
  <c r="M391" i="1"/>
  <c r="M336" i="1"/>
  <c r="M331" i="1"/>
  <c r="M327" i="1"/>
  <c r="M321" i="1"/>
  <c r="M303" i="1"/>
  <c r="M305" i="1" s="1"/>
  <c r="M288" i="1"/>
  <c r="M281" i="1"/>
  <c r="M277" i="1"/>
  <c r="M273" i="1"/>
  <c r="M267" i="1"/>
  <c r="M262" i="1"/>
  <c r="M253" i="1"/>
  <c r="M240" i="1"/>
  <c r="M235" i="1"/>
  <c r="M230" i="1"/>
  <c r="M164" i="1"/>
  <c r="M159" i="1"/>
  <c r="M154" i="1"/>
  <c r="M143" i="1"/>
  <c r="M137" i="1"/>
  <c r="M133" i="1"/>
  <c r="M127" i="1"/>
  <c r="M96" i="1"/>
  <c r="M73" i="1"/>
  <c r="M69" i="1"/>
  <c r="M64" i="1"/>
  <c r="M57" i="1"/>
  <c r="M51" i="1"/>
  <c r="M40" i="1"/>
  <c r="M35" i="1"/>
  <c r="M29" i="1"/>
  <c r="M25" i="1"/>
  <c r="O20" i="1"/>
  <c r="M20" i="1"/>
  <c r="N64" i="1"/>
  <c r="M15" i="1"/>
  <c r="N20" i="1"/>
  <c r="N398" i="1"/>
  <c r="N391" i="1"/>
  <c r="N227" i="1"/>
  <c r="N230" i="1" s="1"/>
  <c r="N243" i="1"/>
  <c r="N244" i="1"/>
  <c r="N246" i="1"/>
  <c r="N303" i="1"/>
  <c r="N305" i="1" s="1"/>
  <c r="N376" i="1"/>
  <c r="N294" i="1"/>
  <c r="N345" i="1"/>
  <c r="N119" i="1"/>
  <c r="L119" i="1"/>
  <c r="L64" i="1"/>
  <c r="N292" i="1"/>
  <c r="N291" i="1"/>
  <c r="N235" i="1"/>
  <c r="N133" i="1"/>
  <c r="N29" i="1"/>
  <c r="N15" i="1"/>
  <c r="L246" i="1"/>
  <c r="L183" i="1"/>
  <c r="L126" i="1"/>
  <c r="L169" i="1" s="1"/>
  <c r="N284" i="1"/>
  <c r="N295" i="1" s="1"/>
  <c r="L117" i="1"/>
  <c r="L116" i="1"/>
  <c r="L455" i="1" s="1"/>
  <c r="L167" i="1"/>
  <c r="L446" i="1" s="1"/>
  <c r="L168" i="1"/>
  <c r="L244" i="1"/>
  <c r="L243" i="1"/>
  <c r="L447" i="1" s="1"/>
  <c r="L291" i="1"/>
  <c r="L448" i="1" s="1"/>
  <c r="L294" i="1"/>
  <c r="L284" i="1"/>
  <c r="L295" i="1" s="1"/>
  <c r="L265" i="1"/>
  <c r="L258" i="1"/>
  <c r="L293" i="1" s="1"/>
  <c r="L343" i="1"/>
  <c r="L344" i="1"/>
  <c r="L345" i="1"/>
  <c r="L376" i="1"/>
  <c r="L384" i="1"/>
  <c r="L398" i="1"/>
  <c r="L391" i="1"/>
  <c r="L410" i="1"/>
  <c r="N384" i="1"/>
  <c r="N380" i="1"/>
  <c r="N363" i="1"/>
  <c r="N343" i="1"/>
  <c r="N344" i="1"/>
  <c r="N336" i="1"/>
  <c r="N331" i="1"/>
  <c r="N327" i="1"/>
  <c r="N321" i="1"/>
  <c r="N288" i="1"/>
  <c r="N281" i="1"/>
  <c r="N277" i="1"/>
  <c r="N273" i="1"/>
  <c r="N267" i="1"/>
  <c r="N262" i="1"/>
  <c r="N253" i="1"/>
  <c r="N240" i="1"/>
  <c r="N164" i="1"/>
  <c r="N159" i="1"/>
  <c r="N143" i="1"/>
  <c r="N137" i="1"/>
  <c r="N127" i="1"/>
  <c r="N112" i="1"/>
  <c r="N73" i="1"/>
  <c r="N69" i="1"/>
  <c r="N57" i="1"/>
  <c r="N51" i="1"/>
  <c r="N40" i="1"/>
  <c r="N35" i="1"/>
  <c r="N25" i="1"/>
  <c r="N84" i="1"/>
  <c r="L436" i="1"/>
  <c r="L438" i="1" s="1"/>
  <c r="L456" i="1"/>
  <c r="M450" i="1"/>
  <c r="J258" i="1"/>
  <c r="J293" i="1" s="1"/>
  <c r="J291" i="1"/>
  <c r="J448" i="1" s="1"/>
  <c r="J292" i="1"/>
  <c r="J294" i="1"/>
  <c r="J284" i="1"/>
  <c r="J295" i="1" s="1"/>
  <c r="M456" i="1"/>
  <c r="M78" i="1"/>
  <c r="J183" i="1"/>
  <c r="K117" i="1"/>
  <c r="J117" i="1"/>
  <c r="L25" i="1"/>
  <c r="L133" i="1"/>
  <c r="J133" i="1"/>
  <c r="J168" i="1"/>
  <c r="J169" i="1"/>
  <c r="J167" i="1"/>
  <c r="J446" i="1" s="1"/>
  <c r="L235" i="1"/>
  <c r="L253" i="1"/>
  <c r="L321" i="1"/>
  <c r="L40" i="1"/>
  <c r="L277" i="1"/>
  <c r="L159" i="1"/>
  <c r="L69" i="1"/>
  <c r="L363" i="1"/>
  <c r="L380" i="1"/>
  <c r="I394" i="1"/>
  <c r="I398" i="1" s="1"/>
  <c r="I142" i="1"/>
  <c r="I126" i="1"/>
  <c r="I68" i="1"/>
  <c r="I363" i="1"/>
  <c r="I96" i="1"/>
  <c r="I17" i="1"/>
  <c r="I54" i="1"/>
  <c r="I81" i="1"/>
  <c r="I84" i="1" s="1"/>
  <c r="I261" i="1"/>
  <c r="I293" i="1" s="1"/>
  <c r="I140" i="1"/>
  <c r="I18" i="1"/>
  <c r="I55" i="1"/>
  <c r="I61" i="1"/>
  <c r="I64" i="1" s="1"/>
  <c r="I67" i="1"/>
  <c r="I331" i="1"/>
  <c r="I321" i="1"/>
  <c r="I181" i="1"/>
  <c r="I176" i="1"/>
  <c r="I173" i="1"/>
  <c r="I174" i="1"/>
  <c r="I175" i="1"/>
  <c r="I177" i="1"/>
  <c r="I178" i="1"/>
  <c r="I179" i="1"/>
  <c r="I130" i="1"/>
  <c r="I133" i="1" s="1"/>
  <c r="I123" i="1"/>
  <c r="I56" i="1"/>
  <c r="I33" i="1"/>
  <c r="I35" i="1" s="1"/>
  <c r="I29" i="1"/>
  <c r="J438" i="1"/>
  <c r="J116" i="1"/>
  <c r="J115" i="1"/>
  <c r="J445" i="1" s="1"/>
  <c r="J243" i="1"/>
  <c r="J447" i="1" s="1"/>
  <c r="J244" i="1"/>
  <c r="J245" i="1"/>
  <c r="J344" i="1"/>
  <c r="J345" i="1"/>
  <c r="J343" i="1"/>
  <c r="J449" i="1" s="1"/>
  <c r="J346" i="1"/>
  <c r="J348" i="1"/>
  <c r="J349" i="1"/>
  <c r="L336" i="1"/>
  <c r="L288" i="1"/>
  <c r="L281" i="1"/>
  <c r="L331" i="1"/>
  <c r="L327" i="1"/>
  <c r="L303" i="1"/>
  <c r="L305" i="1" s="1"/>
  <c r="K295" i="1"/>
  <c r="L273" i="1"/>
  <c r="L262" i="1"/>
  <c r="L240" i="1"/>
  <c r="L164" i="1"/>
  <c r="L154" i="1"/>
  <c r="L143" i="1"/>
  <c r="L137" i="1"/>
  <c r="L112" i="1"/>
  <c r="L106" i="1"/>
  <c r="L96" i="1"/>
  <c r="L90" i="1"/>
  <c r="L84" i="1"/>
  <c r="L78" i="1"/>
  <c r="L73" i="1"/>
  <c r="J64" i="1"/>
  <c r="L57" i="1"/>
  <c r="L51" i="1"/>
  <c r="L35" i="1"/>
  <c r="L29" i="1"/>
  <c r="L20" i="1"/>
  <c r="L422" i="1"/>
  <c r="L427" i="1" s="1"/>
  <c r="L431" i="1" s="1"/>
  <c r="L14" i="1"/>
  <c r="L115" i="1" s="1"/>
  <c r="K451" i="1"/>
  <c r="L450" i="1"/>
  <c r="K438" i="1"/>
  <c r="K431" i="1"/>
  <c r="K412" i="1"/>
  <c r="K347" i="1"/>
  <c r="K291" i="1"/>
  <c r="K296" i="1" s="1"/>
  <c r="K292" i="1"/>
  <c r="K293" i="1"/>
  <c r="K294" i="1"/>
  <c r="K243" i="1"/>
  <c r="K244" i="1"/>
  <c r="K115" i="1"/>
  <c r="K120" i="1" s="1"/>
  <c r="K116" i="1"/>
  <c r="J40" i="1"/>
  <c r="J20" i="1"/>
  <c r="J450" i="1"/>
  <c r="H115" i="1"/>
  <c r="G445" i="1" s="1"/>
  <c r="H167" i="1"/>
  <c r="G446" i="1" s="1"/>
  <c r="H243" i="1"/>
  <c r="G447" i="1" s="1"/>
  <c r="H291" i="1"/>
  <c r="G448" i="1" s="1"/>
  <c r="H343" i="1"/>
  <c r="G449" i="1" s="1"/>
  <c r="G450" i="1"/>
  <c r="H116" i="1"/>
  <c r="H445" i="1" s="1"/>
  <c r="H168" i="1"/>
  <c r="H446" i="1" s="1"/>
  <c r="H244" i="1"/>
  <c r="H447" i="1" s="1"/>
  <c r="H292" i="1"/>
  <c r="H344" i="1"/>
  <c r="H449" i="1" s="1"/>
  <c r="H450" i="1"/>
  <c r="J431" i="1"/>
  <c r="J303" i="1"/>
  <c r="J305" i="1" s="1"/>
  <c r="G419" i="1"/>
  <c r="G431" i="1" s="1"/>
  <c r="F384" i="1"/>
  <c r="F380" i="1"/>
  <c r="F376" i="1"/>
  <c r="F363" i="1"/>
  <c r="G384" i="1"/>
  <c r="G380" i="1"/>
  <c r="G376" i="1"/>
  <c r="G363" i="1"/>
  <c r="G318" i="1"/>
  <c r="G321" i="1" s="1"/>
  <c r="G295" i="1"/>
  <c r="G142" i="1"/>
  <c r="G143" i="1" s="1"/>
  <c r="G132" i="1"/>
  <c r="G133" i="1" s="1"/>
  <c r="G126" i="1"/>
  <c r="G127" i="1" s="1"/>
  <c r="G68" i="1"/>
  <c r="G69" i="1" s="1"/>
  <c r="G24" i="1"/>
  <c r="H183" i="1"/>
  <c r="J376" i="1"/>
  <c r="J380" i="1"/>
  <c r="J363" i="1"/>
  <c r="I376" i="1"/>
  <c r="I380" i="1"/>
  <c r="I384" i="1"/>
  <c r="J384" i="1"/>
  <c r="J391" i="1"/>
  <c r="J398" i="1"/>
  <c r="J410" i="1"/>
  <c r="H303" i="1"/>
  <c r="H305" i="1" s="1"/>
  <c r="G9" i="6"/>
  <c r="G32" i="6" s="1"/>
  <c r="J331" i="1"/>
  <c r="H438" i="1"/>
  <c r="H431" i="1"/>
  <c r="I438" i="1"/>
  <c r="F438" i="1"/>
  <c r="E438" i="1"/>
  <c r="D438" i="1"/>
  <c r="C438" i="1"/>
  <c r="H398" i="1"/>
  <c r="G398" i="1"/>
  <c r="G391" i="1"/>
  <c r="G410" i="1"/>
  <c r="F398" i="1"/>
  <c r="E398" i="1"/>
  <c r="D398" i="1"/>
  <c r="C398" i="1"/>
  <c r="I391" i="1"/>
  <c r="I410" i="1"/>
  <c r="H391" i="1"/>
  <c r="F391" i="1"/>
  <c r="F410" i="1"/>
  <c r="H380" i="1"/>
  <c r="H376" i="1"/>
  <c r="E376" i="1"/>
  <c r="D376" i="1"/>
  <c r="D380" i="1"/>
  <c r="D363" i="1"/>
  <c r="D384" i="1"/>
  <c r="H363" i="1"/>
  <c r="E363" i="1"/>
  <c r="E380" i="1"/>
  <c r="E384" i="1"/>
  <c r="I340" i="1"/>
  <c r="I336" i="1"/>
  <c r="H336" i="1"/>
  <c r="G336" i="1"/>
  <c r="F336" i="1"/>
  <c r="E336" i="1"/>
  <c r="C336" i="1"/>
  <c r="D336" i="1"/>
  <c r="J327" i="1"/>
  <c r="I327" i="1"/>
  <c r="H327" i="1"/>
  <c r="G327" i="1"/>
  <c r="F327" i="1"/>
  <c r="E327" i="1"/>
  <c r="D327" i="1"/>
  <c r="C326" i="1"/>
  <c r="C327" i="1" s="1"/>
  <c r="H321" i="1"/>
  <c r="J321" i="1"/>
  <c r="F321" i="1"/>
  <c r="E321" i="1"/>
  <c r="D321" i="1"/>
  <c r="C321" i="1"/>
  <c r="I303" i="1"/>
  <c r="I305" i="1" s="1"/>
  <c r="G303" i="1"/>
  <c r="G305" i="1" s="1"/>
  <c r="H284" i="1"/>
  <c r="I284" i="1"/>
  <c r="G284" i="1"/>
  <c r="F284" i="1"/>
  <c r="E284" i="1"/>
  <c r="D284" i="1"/>
  <c r="C284" i="1"/>
  <c r="H277" i="1"/>
  <c r="J277" i="1"/>
  <c r="I277" i="1"/>
  <c r="G277" i="1"/>
  <c r="F277" i="1"/>
  <c r="E277" i="1"/>
  <c r="D277" i="1"/>
  <c r="C277" i="1"/>
  <c r="I267" i="1"/>
  <c r="H267" i="1"/>
  <c r="G267" i="1"/>
  <c r="F267" i="1"/>
  <c r="E267" i="1"/>
  <c r="D267" i="1"/>
  <c r="C267" i="1"/>
  <c r="H262" i="1"/>
  <c r="J262" i="1"/>
  <c r="G262" i="1"/>
  <c r="F262" i="1"/>
  <c r="E262" i="1"/>
  <c r="D262" i="1"/>
  <c r="H253" i="1"/>
  <c r="J253" i="1"/>
  <c r="I253" i="1"/>
  <c r="G253" i="1"/>
  <c r="F253" i="1"/>
  <c r="E253" i="1"/>
  <c r="D253" i="1"/>
  <c r="C253" i="1"/>
  <c r="I235" i="1"/>
  <c r="I189" i="1"/>
  <c r="I230" i="1"/>
  <c r="H189" i="1"/>
  <c r="G189" i="1"/>
  <c r="F189" i="1"/>
  <c r="E189" i="1"/>
  <c r="D189" i="1"/>
  <c r="I168" i="1"/>
  <c r="H169" i="1"/>
  <c r="G167" i="1"/>
  <c r="G168" i="1"/>
  <c r="F167" i="1"/>
  <c r="F168" i="1"/>
  <c r="F169" i="1"/>
  <c r="E167" i="1"/>
  <c r="E168" i="1"/>
  <c r="E169" i="1"/>
  <c r="D167" i="1"/>
  <c r="D168" i="1"/>
  <c r="D132" i="1"/>
  <c r="D169" i="1" s="1"/>
  <c r="C167" i="1"/>
  <c r="C168" i="1"/>
  <c r="C132" i="1"/>
  <c r="C169" i="1" s="1"/>
  <c r="C159" i="1"/>
  <c r="C164" i="1"/>
  <c r="J164" i="1"/>
  <c r="I164" i="1"/>
  <c r="H164" i="1"/>
  <c r="G164" i="1"/>
  <c r="F164" i="1"/>
  <c r="E164" i="1"/>
  <c r="D164" i="1"/>
  <c r="J159" i="1"/>
  <c r="I159" i="1"/>
  <c r="H159" i="1"/>
  <c r="G159" i="1"/>
  <c r="F159" i="1"/>
  <c r="E159" i="1"/>
  <c r="D159" i="1"/>
  <c r="H137" i="1"/>
  <c r="J137" i="1"/>
  <c r="I137" i="1"/>
  <c r="G137" i="1"/>
  <c r="F137" i="1"/>
  <c r="E137" i="1"/>
  <c r="D137" i="1"/>
  <c r="H133" i="1"/>
  <c r="F133" i="1"/>
  <c r="E133" i="1"/>
  <c r="H127" i="1"/>
  <c r="E127" i="1"/>
  <c r="D127" i="1"/>
  <c r="C127" i="1"/>
  <c r="J127" i="1"/>
  <c r="F127" i="1"/>
  <c r="H117" i="1"/>
  <c r="G115" i="1"/>
  <c r="G116" i="1"/>
  <c r="F115" i="1"/>
  <c r="F116" i="1"/>
  <c r="F117" i="1"/>
  <c r="H112" i="1"/>
  <c r="J112" i="1"/>
  <c r="I112" i="1"/>
  <c r="G112" i="1"/>
  <c r="F112" i="1"/>
  <c r="E112" i="1"/>
  <c r="D112" i="1"/>
  <c r="I106" i="1"/>
  <c r="H106" i="1"/>
  <c r="G106" i="1"/>
  <c r="F106" i="1"/>
  <c r="E106" i="1"/>
  <c r="D106" i="1"/>
  <c r="C106" i="1"/>
  <c r="H100" i="1"/>
  <c r="I100" i="1"/>
  <c r="G100" i="1"/>
  <c r="F100" i="1"/>
  <c r="H96" i="1"/>
  <c r="G96" i="1"/>
  <c r="F96" i="1"/>
  <c r="E96" i="1"/>
  <c r="D96" i="1"/>
  <c r="H90" i="1"/>
  <c r="I90" i="1"/>
  <c r="G90" i="1"/>
  <c r="F90" i="1"/>
  <c r="E90" i="1"/>
  <c r="D90" i="1"/>
  <c r="J84" i="1"/>
  <c r="H84" i="1"/>
  <c r="G84" i="1"/>
  <c r="F84" i="1"/>
  <c r="E84" i="1"/>
  <c r="D84" i="1"/>
  <c r="C84" i="1"/>
  <c r="H78" i="1"/>
  <c r="I78" i="1"/>
  <c r="G78" i="1"/>
  <c r="F78" i="1"/>
  <c r="E78" i="1"/>
  <c r="D78" i="1"/>
  <c r="J69" i="1"/>
  <c r="H69" i="1"/>
  <c r="F69" i="1"/>
  <c r="E69" i="1"/>
  <c r="D69" i="1"/>
  <c r="C69" i="1"/>
  <c r="H64" i="1"/>
  <c r="G64" i="1"/>
  <c r="F64" i="1"/>
  <c r="E64" i="1"/>
  <c r="D64" i="1"/>
  <c r="H57" i="1"/>
  <c r="J57" i="1"/>
  <c r="G57" i="1"/>
  <c r="F57" i="1"/>
  <c r="E57" i="1"/>
  <c r="D57" i="1"/>
  <c r="J51" i="1"/>
  <c r="I51" i="1"/>
  <c r="H51" i="1"/>
  <c r="G51" i="1"/>
  <c r="F51" i="1"/>
  <c r="E51" i="1"/>
  <c r="D50" i="1"/>
  <c r="D51" i="1" s="1"/>
  <c r="D19" i="1"/>
  <c r="D20" i="1" s="1"/>
  <c r="D115" i="1"/>
  <c r="D116" i="1"/>
  <c r="I45" i="1"/>
  <c r="H45" i="1"/>
  <c r="G45" i="1"/>
  <c r="F45" i="1"/>
  <c r="E45" i="1"/>
  <c r="D45" i="1"/>
  <c r="C45" i="1"/>
  <c r="I40" i="1"/>
  <c r="H40" i="1"/>
  <c r="G40" i="1"/>
  <c r="F40" i="1"/>
  <c r="E40" i="1"/>
  <c r="D40" i="1"/>
  <c r="C40" i="1"/>
  <c r="H35" i="1"/>
  <c r="G35" i="1"/>
  <c r="F35" i="1"/>
  <c r="E35" i="1"/>
  <c r="D35" i="1"/>
  <c r="J29" i="1"/>
  <c r="H29" i="1"/>
  <c r="G29" i="1"/>
  <c r="F29" i="1"/>
  <c r="E29" i="1"/>
  <c r="J25" i="1"/>
  <c r="I25" i="1"/>
  <c r="H25" i="1"/>
  <c r="F25" i="1"/>
  <c r="H20" i="1"/>
  <c r="G20" i="1"/>
  <c r="F20" i="1"/>
  <c r="E20" i="1"/>
  <c r="D10" i="6"/>
  <c r="C10" i="6" s="1"/>
  <c r="H245" i="1"/>
  <c r="H293" i="1"/>
  <c r="H346" i="1"/>
  <c r="H349" i="1"/>
  <c r="I431" i="1"/>
  <c r="G183" i="1"/>
  <c r="G243" i="1"/>
  <c r="G244" i="1"/>
  <c r="G245" i="1"/>
  <c r="G291" i="1"/>
  <c r="G292" i="1"/>
  <c r="G293" i="1"/>
  <c r="G294" i="1"/>
  <c r="G343" i="1"/>
  <c r="G344" i="1"/>
  <c r="G346" i="1"/>
  <c r="G348" i="1"/>
  <c r="G349" i="1"/>
  <c r="I243" i="1"/>
  <c r="I244" i="1"/>
  <c r="I291" i="1"/>
  <c r="I292" i="1"/>
  <c r="I294" i="1"/>
  <c r="I295" i="1"/>
  <c r="I343" i="1"/>
  <c r="I344" i="1"/>
  <c r="I345" i="1"/>
  <c r="I346" i="1"/>
  <c r="I348" i="1"/>
  <c r="I349" i="1"/>
  <c r="H384" i="1"/>
  <c r="B340" i="1"/>
  <c r="G340" i="1"/>
  <c r="G331" i="1"/>
  <c r="H348" i="1"/>
  <c r="H345" i="1"/>
  <c r="H294" i="1"/>
  <c r="H295" i="1"/>
  <c r="H410" i="1"/>
  <c r="H340" i="1"/>
  <c r="H331" i="1"/>
  <c r="J340" i="1"/>
  <c r="I288" i="1"/>
  <c r="I281" i="1"/>
  <c r="I273" i="1"/>
  <c r="D294" i="1"/>
  <c r="D293" i="1"/>
  <c r="D291" i="1"/>
  <c r="D292" i="1"/>
  <c r="D295" i="1"/>
  <c r="B294" i="1"/>
  <c r="B291" i="1"/>
  <c r="B292" i="1"/>
  <c r="B293" i="1"/>
  <c r="B295" i="1"/>
  <c r="C272" i="1"/>
  <c r="C294" i="1" s="1"/>
  <c r="C293" i="1"/>
  <c r="C292" i="1"/>
  <c r="C291" i="1"/>
  <c r="C295" i="1"/>
  <c r="G288" i="1"/>
  <c r="G281" i="1"/>
  <c r="G273" i="1"/>
  <c r="G240" i="1"/>
  <c r="G235" i="1"/>
  <c r="G230" i="1"/>
  <c r="I154" i="1"/>
  <c r="G154" i="1"/>
  <c r="B169" i="1"/>
  <c r="B167" i="1"/>
  <c r="B168" i="1"/>
  <c r="B116" i="1"/>
  <c r="C116" i="1"/>
  <c r="G73" i="1"/>
  <c r="I73" i="1"/>
  <c r="H73" i="1"/>
  <c r="H143" i="1"/>
  <c r="H154" i="1"/>
  <c r="H230" i="1"/>
  <c r="H235" i="1"/>
  <c r="H240" i="1"/>
  <c r="H273" i="1"/>
  <c r="H281" i="1"/>
  <c r="H288" i="1"/>
  <c r="F291" i="1"/>
  <c r="F292" i="1"/>
  <c r="F293" i="1"/>
  <c r="F294" i="1"/>
  <c r="F295" i="1"/>
  <c r="J73" i="1"/>
  <c r="J143" i="1"/>
  <c r="J154" i="1"/>
  <c r="J230" i="1"/>
  <c r="J235" i="1"/>
  <c r="J240" i="1"/>
  <c r="J273" i="1"/>
  <c r="J281" i="1"/>
  <c r="J288" i="1"/>
  <c r="E294" i="1"/>
  <c r="E293" i="1"/>
  <c r="E291" i="1"/>
  <c r="E292" i="1"/>
  <c r="E295" i="1"/>
  <c r="E117" i="1"/>
  <c r="E116" i="1"/>
  <c r="B20" i="1"/>
  <c r="B25" i="1"/>
  <c r="B29" i="1"/>
  <c r="B35" i="1"/>
  <c r="B40" i="1"/>
  <c r="B45" i="1"/>
  <c r="B51" i="1"/>
  <c r="B57" i="1"/>
  <c r="B64" i="1"/>
  <c r="B69" i="1"/>
  <c r="B73" i="1"/>
  <c r="B78" i="1"/>
  <c r="B84" i="1"/>
  <c r="B90" i="1"/>
  <c r="B96" i="1"/>
  <c r="B100" i="1"/>
  <c r="B106" i="1"/>
  <c r="B112" i="1"/>
  <c r="B115" i="1"/>
  <c r="B117" i="1"/>
  <c r="B127" i="1"/>
  <c r="B133" i="1"/>
  <c r="B137" i="1"/>
  <c r="B143" i="1"/>
  <c r="B154" i="1"/>
  <c r="B159" i="1"/>
  <c r="B164" i="1"/>
  <c r="B183" i="1"/>
  <c r="B189" i="1"/>
  <c r="B230" i="1"/>
  <c r="B235" i="1"/>
  <c r="B240" i="1"/>
  <c r="B243" i="1"/>
  <c r="B244" i="1"/>
  <c r="B245" i="1"/>
  <c r="B343" i="1"/>
  <c r="B344" i="1"/>
  <c r="B345" i="1"/>
  <c r="B346" i="1"/>
  <c r="B348" i="1"/>
  <c r="B349" i="1"/>
  <c r="B376" i="1"/>
  <c r="B380" i="1"/>
  <c r="B363" i="1"/>
  <c r="B384" i="1"/>
  <c r="B391" i="1"/>
  <c r="B398" i="1"/>
  <c r="B410" i="1"/>
  <c r="B253" i="1"/>
  <c r="B262" i="1"/>
  <c r="B267" i="1"/>
  <c r="B273" i="1"/>
  <c r="B277" i="1"/>
  <c r="B281" i="1"/>
  <c r="B284" i="1"/>
  <c r="B288" i="1"/>
  <c r="B303" i="1"/>
  <c r="B305" i="1" s="1"/>
  <c r="B321" i="1"/>
  <c r="B327" i="1"/>
  <c r="B331" i="1"/>
  <c r="B336" i="1"/>
  <c r="B431" i="1"/>
  <c r="B438" i="1"/>
  <c r="D243" i="1"/>
  <c r="D244" i="1"/>
  <c r="D245" i="1"/>
  <c r="D343" i="1"/>
  <c r="D344" i="1"/>
  <c r="D345" i="1"/>
  <c r="D346" i="1"/>
  <c r="D348" i="1"/>
  <c r="D349" i="1"/>
  <c r="C115" i="1"/>
  <c r="C243" i="1"/>
  <c r="C244" i="1"/>
  <c r="C245" i="1"/>
  <c r="C343" i="1"/>
  <c r="C344" i="1"/>
  <c r="F431" i="1"/>
  <c r="E431" i="1"/>
  <c r="D431" i="1"/>
  <c r="C419" i="1"/>
  <c r="C431" i="1" s="1"/>
  <c r="F243" i="1"/>
  <c r="F244" i="1"/>
  <c r="F245" i="1"/>
  <c r="F343" i="1"/>
  <c r="F344" i="1"/>
  <c r="F345" i="1"/>
  <c r="F346" i="1"/>
  <c r="F348" i="1"/>
  <c r="F349" i="1"/>
  <c r="E115" i="1"/>
  <c r="E243" i="1"/>
  <c r="E244" i="1"/>
  <c r="E245" i="1"/>
  <c r="E343" i="1"/>
  <c r="E344" i="1"/>
  <c r="E345" i="1"/>
  <c r="E346" i="1"/>
  <c r="E348" i="1"/>
  <c r="E349" i="1"/>
  <c r="E391" i="1"/>
  <c r="E410" i="1"/>
  <c r="D391" i="1"/>
  <c r="D410" i="1"/>
  <c r="C19" i="1"/>
  <c r="C20" i="1" s="1"/>
  <c r="C24" i="1"/>
  <c r="C25" i="1" s="1"/>
  <c r="C183" i="1"/>
  <c r="C301" i="1"/>
  <c r="C303" i="1" s="1"/>
  <c r="C305" i="1" s="1"/>
  <c r="C330" i="1"/>
  <c r="C331" i="1" s="1"/>
  <c r="C346" i="1"/>
  <c r="C348" i="1"/>
  <c r="C349" i="1"/>
  <c r="C376" i="1"/>
  <c r="C380" i="1"/>
  <c r="C363" i="1"/>
  <c r="C384" i="1"/>
  <c r="C391" i="1"/>
  <c r="C410" i="1"/>
  <c r="F340" i="1"/>
  <c r="E340" i="1"/>
  <c r="D340" i="1"/>
  <c r="C340" i="1"/>
  <c r="F331" i="1"/>
  <c r="E331" i="1"/>
  <c r="D331" i="1"/>
  <c r="F303" i="1"/>
  <c r="F305" i="1" s="1"/>
  <c r="E303" i="1"/>
  <c r="E305" i="1" s="1"/>
  <c r="D303" i="1"/>
  <c r="D305" i="1" s="1"/>
  <c r="F288" i="1"/>
  <c r="E288" i="1"/>
  <c r="D288" i="1"/>
  <c r="C288" i="1"/>
  <c r="F281" i="1"/>
  <c r="E281" i="1"/>
  <c r="D281" i="1"/>
  <c r="C281" i="1"/>
  <c r="F273" i="1"/>
  <c r="E273" i="1"/>
  <c r="D273" i="1"/>
  <c r="C262" i="1"/>
  <c r="F240" i="1"/>
  <c r="E240" i="1"/>
  <c r="D240" i="1"/>
  <c r="C240" i="1"/>
  <c r="F235" i="1"/>
  <c r="E235" i="1"/>
  <c r="D235" i="1"/>
  <c r="C235" i="1"/>
  <c r="F230" i="1"/>
  <c r="E230" i="1"/>
  <c r="D230" i="1"/>
  <c r="C230" i="1"/>
  <c r="C189" i="1"/>
  <c r="F154" i="1"/>
  <c r="E154" i="1"/>
  <c r="D154" i="1"/>
  <c r="C154" i="1"/>
  <c r="F143" i="1"/>
  <c r="E143" i="1"/>
  <c r="D143" i="1"/>
  <c r="C143" i="1"/>
  <c r="C137" i="1"/>
  <c r="C112" i="1"/>
  <c r="E100" i="1"/>
  <c r="D100" i="1"/>
  <c r="C100" i="1"/>
  <c r="C96" i="1"/>
  <c r="C90" i="1"/>
  <c r="C78" i="1"/>
  <c r="F73" i="1"/>
  <c r="E73" i="1"/>
  <c r="D73" i="1"/>
  <c r="C73" i="1"/>
  <c r="C64" i="1"/>
  <c r="C57" i="1"/>
  <c r="C51" i="1"/>
  <c r="C35" i="1"/>
  <c r="D29" i="1"/>
  <c r="C29" i="1"/>
  <c r="E25" i="1"/>
  <c r="D25" i="1"/>
  <c r="I240" i="1"/>
  <c r="I245" i="1"/>
  <c r="P20" i="1"/>
  <c r="R427" i="1"/>
  <c r="F319" i="12"/>
  <c r="F315" i="12"/>
  <c r="J306" i="12"/>
  <c r="J311" i="12"/>
  <c r="J328" i="12"/>
  <c r="I332" i="12"/>
  <c r="J281" i="12"/>
  <c r="E312" i="12" s="1"/>
  <c r="G284" i="12"/>
  <c r="J284" i="12" s="1"/>
  <c r="E315" i="12" s="1"/>
  <c r="G288" i="12"/>
  <c r="J288" i="12" s="1"/>
  <c r="E319" i="12" s="1"/>
  <c r="J297" i="12"/>
  <c r="E328" i="12" s="1"/>
  <c r="I301" i="12"/>
  <c r="G266" i="12"/>
  <c r="J266" i="12" s="1"/>
  <c r="E297" i="12" s="1"/>
  <c r="G257" i="12"/>
  <c r="J257" i="12" s="1"/>
  <c r="E288" i="12" s="1"/>
  <c r="J250" i="12"/>
  <c r="E281" i="12" s="1"/>
  <c r="G253" i="12"/>
  <c r="J253" i="12" s="1"/>
  <c r="E284" i="12" s="1"/>
  <c r="F288" i="12"/>
  <c r="F284" i="12"/>
  <c r="J275" i="12"/>
  <c r="J280" i="12"/>
  <c r="F257" i="12"/>
  <c r="F253" i="12"/>
  <c r="J244" i="12"/>
  <c r="J249" i="12"/>
  <c r="I270" i="12"/>
  <c r="E270" i="12"/>
  <c r="E239" i="12"/>
  <c r="G226" i="12"/>
  <c r="J226" i="12" s="1"/>
  <c r="F226" i="12"/>
  <c r="G222" i="12"/>
  <c r="J222" i="12" s="1"/>
  <c r="I239" i="12"/>
  <c r="J213" i="12"/>
  <c r="J218" i="12"/>
  <c r="J219" i="12"/>
  <c r="J235" i="12"/>
  <c r="G188" i="12"/>
  <c r="G193" i="12"/>
  <c r="J193" i="12" s="1"/>
  <c r="G195" i="12"/>
  <c r="J195" i="12" s="1"/>
  <c r="I188" i="12"/>
  <c r="I208" i="12" s="1"/>
  <c r="J182" i="12"/>
  <c r="J185" i="12"/>
  <c r="J187" i="12"/>
  <c r="J191" i="12"/>
  <c r="J197" i="12"/>
  <c r="J200" i="12"/>
  <c r="J204" i="12"/>
  <c r="J207" i="12"/>
  <c r="F208" i="12"/>
  <c r="G177" i="12"/>
  <c r="I177" i="12"/>
  <c r="J176" i="12"/>
  <c r="J169" i="12"/>
  <c r="J166" i="12"/>
  <c r="J154" i="12"/>
  <c r="J173" i="12"/>
  <c r="J164" i="12"/>
  <c r="J162" i="12"/>
  <c r="J160" i="12"/>
  <c r="J157" i="12"/>
  <c r="J130" i="12"/>
  <c r="J151" i="12"/>
  <c r="J156" i="12"/>
  <c r="F177" i="12"/>
  <c r="J125" i="12"/>
  <c r="J129" i="12"/>
  <c r="I146" i="12"/>
  <c r="H146" i="12"/>
  <c r="G146" i="12"/>
  <c r="F146" i="12"/>
  <c r="J99" i="12"/>
  <c r="J103" i="12"/>
  <c r="J113" i="12"/>
  <c r="J115" i="12"/>
  <c r="J117" i="12"/>
  <c r="G120" i="12"/>
  <c r="F120" i="12"/>
  <c r="I120" i="12"/>
  <c r="H120" i="12"/>
  <c r="I94" i="12"/>
  <c r="H94" i="12"/>
  <c r="G94" i="12"/>
  <c r="F94" i="12"/>
  <c r="J91" i="12"/>
  <c r="J89" i="12"/>
  <c r="J87" i="12"/>
  <c r="J77" i="12"/>
  <c r="J73" i="12"/>
  <c r="J52" i="12"/>
  <c r="J57" i="12"/>
  <c r="J61" i="12"/>
  <c r="J63" i="12"/>
  <c r="J65" i="12"/>
  <c r="J67" i="12"/>
  <c r="J49" i="12"/>
  <c r="J53" i="12"/>
  <c r="I68" i="12"/>
  <c r="H68" i="12"/>
  <c r="G68" i="12"/>
  <c r="F68" i="12"/>
  <c r="E68" i="12"/>
  <c r="J29" i="12"/>
  <c r="J27" i="12"/>
  <c r="J22" i="12"/>
  <c r="J17" i="12"/>
  <c r="J20" i="12"/>
  <c r="J21" i="12"/>
  <c r="J25" i="12"/>
  <c r="J31" i="12"/>
  <c r="J33" i="12"/>
  <c r="J35" i="12"/>
  <c r="I36" i="12"/>
  <c r="H36" i="12"/>
  <c r="G36" i="12"/>
  <c r="F36" i="12"/>
  <c r="E36" i="12"/>
  <c r="J8" i="13"/>
  <c r="J13" i="13" s="1"/>
  <c r="J15" i="13" s="1"/>
  <c r="L9" i="13"/>
  <c r="L20" i="13"/>
  <c r="Z105" i="3"/>
  <c r="AC370" i="1" s="1"/>
  <c r="Z96" i="3"/>
  <c r="Z97" i="3"/>
  <c r="F345" i="12" s="1"/>
  <c r="Z98" i="3"/>
  <c r="F358" i="12" s="1"/>
  <c r="Z101" i="3"/>
  <c r="Z56" i="3"/>
  <c r="AB356" i="1" s="1"/>
  <c r="Y96" i="3"/>
  <c r="Y97" i="3"/>
  <c r="F309" i="12" s="1"/>
  <c r="Y98" i="3"/>
  <c r="G290" i="12" s="1"/>
  <c r="J290" i="12" s="1"/>
  <c r="E321" i="12" s="1"/>
  <c r="Y101" i="3"/>
  <c r="Y105" i="3"/>
  <c r="F317" i="12" s="1"/>
  <c r="Y56" i="3"/>
  <c r="V103" i="3"/>
  <c r="F222" i="12" s="1"/>
  <c r="V104" i="3"/>
  <c r="V105" i="3"/>
  <c r="F224" i="12" s="1"/>
  <c r="V96" i="3"/>
  <c r="V97" i="3"/>
  <c r="F216" i="12" s="1"/>
  <c r="V98" i="3"/>
  <c r="V99" i="3"/>
  <c r="V100" i="3"/>
  <c r="V101" i="3"/>
  <c r="F238" i="12" s="1"/>
  <c r="X56" i="3"/>
  <c r="Y356" i="1" s="1"/>
  <c r="W104" i="3"/>
  <c r="W105" i="3"/>
  <c r="G224" i="12" s="1"/>
  <c r="J224" i="12" s="1"/>
  <c r="W96" i="3"/>
  <c r="W97" i="3"/>
  <c r="F247" i="12" s="1"/>
  <c r="W98" i="3"/>
  <c r="F259" i="12" s="1"/>
  <c r="W99" i="3"/>
  <c r="W101" i="3"/>
  <c r="F269" i="12" s="1"/>
  <c r="W56" i="3"/>
  <c r="W356" i="1" s="1"/>
  <c r="X101" i="3"/>
  <c r="X96" i="3"/>
  <c r="X98" i="3"/>
  <c r="G259" i="12" s="1"/>
  <c r="J259" i="12" s="1"/>
  <c r="E290" i="12" s="1"/>
  <c r="X105" i="3"/>
  <c r="G255" i="12" s="1"/>
  <c r="J255" i="12" s="1"/>
  <c r="E286" i="12" s="1"/>
  <c r="X97" i="3"/>
  <c r="V56" i="3"/>
  <c r="X99" i="3"/>
  <c r="C106" i="3"/>
  <c r="AA105" i="3"/>
  <c r="G354" i="12" s="1"/>
  <c r="J354" i="12" s="1"/>
  <c r="AB105" i="3"/>
  <c r="G395" i="12" s="1"/>
  <c r="J395" i="12" s="1"/>
  <c r="AC105" i="3"/>
  <c r="G440" i="12" s="1"/>
  <c r="G486" i="12"/>
  <c r="J486" i="12" s="1"/>
  <c r="AE105" i="3"/>
  <c r="C66" i="3"/>
  <c r="C65" i="3"/>
  <c r="C64" i="3"/>
  <c r="G500" i="12"/>
  <c r="J500" i="12" s="1"/>
  <c r="E542" i="12" s="1"/>
  <c r="AC101" i="3"/>
  <c r="G454" i="12" s="1"/>
  <c r="J454" i="12" s="1"/>
  <c r="AB101" i="3"/>
  <c r="G409" i="12" s="1"/>
  <c r="AA101" i="3"/>
  <c r="F409" i="12" s="1"/>
  <c r="U101" i="3"/>
  <c r="U100" i="3"/>
  <c r="U99" i="3"/>
  <c r="AC98" i="3"/>
  <c r="G444" i="12" s="1"/>
  <c r="J444" i="12" s="1"/>
  <c r="AB98" i="3"/>
  <c r="AA98" i="3"/>
  <c r="F399" i="12" s="1"/>
  <c r="U98" i="3"/>
  <c r="AA97" i="3"/>
  <c r="F386" i="12" s="1"/>
  <c r="U97" i="3"/>
  <c r="AC96" i="3"/>
  <c r="G447" i="12" s="1"/>
  <c r="J447" i="12" s="1"/>
  <c r="O447" i="12" s="1"/>
  <c r="AB96" i="3"/>
  <c r="AA96" i="3"/>
  <c r="U96" i="3"/>
  <c r="C96" i="3"/>
  <c r="AB56" i="3"/>
  <c r="AB87" i="3" s="1"/>
  <c r="AA56" i="3"/>
  <c r="AA87" i="3" s="1"/>
  <c r="U56" i="3"/>
  <c r="C60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J52" i="3"/>
  <c r="J87" i="3" s="1"/>
  <c r="N87" i="3"/>
  <c r="R87" i="3"/>
  <c r="AA23" i="3"/>
  <c r="AC43" i="3"/>
  <c r="AE43" i="3"/>
  <c r="C12" i="3"/>
  <c r="F87" i="3"/>
  <c r="G87" i="3"/>
  <c r="H87" i="3"/>
  <c r="I52" i="3"/>
  <c r="I87" i="3" s="1"/>
  <c r="K87" i="3"/>
  <c r="L87" i="3"/>
  <c r="M87" i="3"/>
  <c r="O87" i="3"/>
  <c r="P87" i="3"/>
  <c r="Q87" i="3"/>
  <c r="S87" i="3"/>
  <c r="T87" i="3"/>
  <c r="AE87" i="3"/>
  <c r="C90" i="3"/>
  <c r="C91" i="3"/>
  <c r="C92" i="3"/>
  <c r="C94" i="3"/>
  <c r="C50" i="3"/>
  <c r="C51" i="3"/>
  <c r="C53" i="3"/>
  <c r="F23" i="3"/>
  <c r="G23" i="3"/>
  <c r="G43" i="3"/>
  <c r="H23" i="3"/>
  <c r="H43" i="3"/>
  <c r="I23" i="3"/>
  <c r="I43" i="3"/>
  <c r="J23" i="3"/>
  <c r="J43" i="3"/>
  <c r="K23" i="3"/>
  <c r="K43" i="3"/>
  <c r="L23" i="3"/>
  <c r="L43" i="3"/>
  <c r="M23" i="3"/>
  <c r="N23" i="3"/>
  <c r="N43" i="3"/>
  <c r="O23" i="3"/>
  <c r="O43" i="3"/>
  <c r="P23" i="3"/>
  <c r="P43" i="3"/>
  <c r="Q23" i="3"/>
  <c r="Q43" i="3"/>
  <c r="R23" i="3"/>
  <c r="S23" i="3"/>
  <c r="S43" i="3"/>
  <c r="T23" i="3"/>
  <c r="U23" i="3"/>
  <c r="V23" i="3"/>
  <c r="V43" i="3"/>
  <c r="W23" i="3"/>
  <c r="X23" i="3"/>
  <c r="X43" i="3"/>
  <c r="Y23" i="3"/>
  <c r="Z23" i="3"/>
  <c r="AB23" i="3"/>
  <c r="F43" i="3"/>
  <c r="M43" i="3"/>
  <c r="R43" i="3"/>
  <c r="T43" i="3"/>
  <c r="Y43" i="3"/>
  <c r="Z43" i="3"/>
  <c r="C26" i="3"/>
  <c r="C28" i="3"/>
  <c r="C29" i="3"/>
  <c r="C8" i="3"/>
  <c r="C10" i="3"/>
  <c r="C11" i="3"/>
  <c r="C93" i="3"/>
  <c r="H28" i="17"/>
  <c r="H16" i="17"/>
  <c r="B16" i="17"/>
  <c r="B21" i="17" s="1"/>
  <c r="H18" i="17"/>
  <c r="B16" i="9"/>
  <c r="B21" i="9" s="1"/>
  <c r="F7" i="8"/>
  <c r="F6" i="8"/>
  <c r="F5" i="8"/>
  <c r="E28" i="7"/>
  <c r="E10" i="7"/>
  <c r="E17" i="7"/>
  <c r="E18" i="7"/>
  <c r="Q62" i="10"/>
  <c r="Q58" i="10"/>
  <c r="O34" i="10"/>
  <c r="O37" i="10" s="1"/>
  <c r="O52" i="10" s="1"/>
  <c r="N34" i="10"/>
  <c r="M34" i="10"/>
  <c r="M47" i="10"/>
  <c r="M66" i="10" s="1"/>
  <c r="M67" i="10" s="1"/>
  <c r="AQ27" i="10"/>
  <c r="AP37" i="10"/>
  <c r="AP36" i="10"/>
  <c r="AP27" i="10"/>
  <c r="AP26" i="10"/>
  <c r="AP25" i="10"/>
  <c r="L47" i="10"/>
  <c r="L66" i="10" s="1"/>
  <c r="L67" i="10" s="1"/>
  <c r="L34" i="10"/>
  <c r="L18" i="10"/>
  <c r="L22" i="10" s="1"/>
  <c r="AP18" i="10"/>
  <c r="AQ18" i="10"/>
  <c r="AP13" i="10"/>
  <c r="AQ13" i="10"/>
  <c r="K60" i="10"/>
  <c r="K12" i="10"/>
  <c r="K34" i="10"/>
  <c r="K65" i="10"/>
  <c r="K66" i="10"/>
  <c r="J66" i="10"/>
  <c r="J67" i="10" s="1"/>
  <c r="J34" i="10"/>
  <c r="I34" i="10"/>
  <c r="H18" i="10"/>
  <c r="H20" i="10"/>
  <c r="H34" i="10"/>
  <c r="G18" i="10"/>
  <c r="G22" i="10" s="1"/>
  <c r="G34" i="10"/>
  <c r="G48" i="10"/>
  <c r="G53" i="10" s="1"/>
  <c r="F28" i="10"/>
  <c r="F34" i="10" s="1"/>
  <c r="F37" i="10" s="1"/>
  <c r="F48" i="10"/>
  <c r="F53" i="10" s="1"/>
  <c r="E17" i="10"/>
  <c r="E18" i="10" s="1"/>
  <c r="E22" i="10" s="1"/>
  <c r="E34" i="10"/>
  <c r="E48" i="10"/>
  <c r="E53" i="10" s="1"/>
  <c r="D18" i="10"/>
  <c r="D22" i="10" s="1"/>
  <c r="D34" i="10"/>
  <c r="D48" i="10"/>
  <c r="D53" i="10" s="1"/>
  <c r="C18" i="10"/>
  <c r="C22" i="10" s="1"/>
  <c r="C34" i="10"/>
  <c r="C48" i="10"/>
  <c r="C53" i="10" s="1"/>
  <c r="B18" i="10"/>
  <c r="B22" i="10" s="1"/>
  <c r="B34" i="10"/>
  <c r="B48" i="10"/>
  <c r="B53" i="10" s="1"/>
  <c r="F18" i="10"/>
  <c r="N66" i="10"/>
  <c r="N67" i="10" s="1"/>
  <c r="AH8" i="15"/>
  <c r="AJ8" i="15" s="1"/>
  <c r="AH9" i="15"/>
  <c r="AI9" i="15" s="1"/>
  <c r="AJ9" i="15"/>
  <c r="AH10" i="15"/>
  <c r="AH11" i="15"/>
  <c r="AJ11" i="15" s="1"/>
  <c r="AI11" i="15"/>
  <c r="AH12" i="15"/>
  <c r="AJ12" i="15" s="1"/>
  <c r="AH13" i="15"/>
  <c r="AJ13" i="15" s="1"/>
  <c r="AH14" i="15"/>
  <c r="AI14" i="15" s="1"/>
  <c r="AH15" i="15"/>
  <c r="AH16" i="15"/>
  <c r="AJ16" i="15" s="1"/>
  <c r="AH17" i="15"/>
  <c r="AJ17" i="15" s="1"/>
  <c r="AH18" i="15"/>
  <c r="AH19" i="15"/>
  <c r="AI19" i="15" s="1"/>
  <c r="AH20" i="15"/>
  <c r="AH21" i="15"/>
  <c r="AI21" i="15" s="1"/>
  <c r="AH24" i="15"/>
  <c r="AJ24" i="15" s="1"/>
  <c r="AH27" i="15"/>
  <c r="AI27" i="15" s="1"/>
  <c r="AC32" i="15"/>
  <c r="X32" i="15"/>
  <c r="V32" i="15"/>
  <c r="T17" i="15"/>
  <c r="T32" i="15" s="1"/>
  <c r="P32" i="15"/>
  <c r="AA32" i="15"/>
  <c r="AI28" i="15"/>
  <c r="AI26" i="15"/>
  <c r="AI25" i="15"/>
  <c r="AI23" i="15"/>
  <c r="AI22" i="15"/>
  <c r="AI7" i="15"/>
  <c r="AH29" i="15"/>
  <c r="AJ29" i="15" s="1"/>
  <c r="AF32" i="15"/>
  <c r="Y32" i="15"/>
  <c r="AE32" i="15"/>
  <c r="AG32" i="15"/>
  <c r="AD32" i="15"/>
  <c r="Z32" i="15"/>
  <c r="AB32" i="15"/>
  <c r="U32" i="15"/>
  <c r="W32" i="15"/>
  <c r="R17" i="15"/>
  <c r="R32" i="15" s="1"/>
  <c r="S32" i="15"/>
  <c r="Q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H13" i="16"/>
  <c r="H25" i="16"/>
  <c r="H27" i="16" s="1"/>
  <c r="G40" i="16" s="1"/>
  <c r="G46" i="16" s="1"/>
  <c r="G14" i="16"/>
  <c r="B13" i="16"/>
  <c r="B18" i="16" s="1"/>
  <c r="G7" i="4"/>
  <c r="I13" i="4" s="1"/>
  <c r="G19" i="4"/>
  <c r="H25" i="4" s="1"/>
  <c r="D15" i="4"/>
  <c r="B13" i="4"/>
  <c r="B18" i="4" s="1"/>
  <c r="F22" i="2"/>
  <c r="F23" i="2"/>
  <c r="F24" i="2"/>
  <c r="F7" i="2"/>
  <c r="F6" i="2"/>
  <c r="F5" i="2"/>
  <c r="F32" i="6"/>
  <c r="F40" i="6"/>
  <c r="E32" i="6"/>
  <c r="E40" i="6"/>
  <c r="G40" i="6"/>
  <c r="G44" i="6"/>
  <c r="D12" i="6"/>
  <c r="C12" i="6" s="1"/>
  <c r="C7" i="6"/>
  <c r="C11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D40" i="6"/>
  <c r="C39" i="6"/>
  <c r="C38" i="6"/>
  <c r="C37" i="6"/>
  <c r="C36" i="6"/>
  <c r="E28" i="5"/>
  <c r="E10" i="5"/>
  <c r="E18" i="5"/>
  <c r="P13" i="14"/>
  <c r="P22" i="14"/>
  <c r="P29" i="14" s="1"/>
  <c r="L8" i="14"/>
  <c r="L13" i="14" s="1"/>
  <c r="L19" i="14"/>
  <c r="L29" i="14" s="1"/>
  <c r="J13" i="14"/>
  <c r="J29" i="14"/>
  <c r="H13" i="14"/>
  <c r="H20" i="14"/>
  <c r="H29" i="14" s="1"/>
  <c r="F13" i="14"/>
  <c r="F21" i="14"/>
  <c r="F29" i="14" s="1"/>
  <c r="D13" i="14"/>
  <c r="D29" i="14"/>
  <c r="B13" i="14"/>
  <c r="B29" i="14"/>
  <c r="N8" i="14"/>
  <c r="N13" i="14" s="1"/>
  <c r="N29" i="14"/>
  <c r="X13" i="14"/>
  <c r="V13" i="14"/>
  <c r="T13" i="14"/>
  <c r="R13" i="14"/>
  <c r="R19" i="14"/>
  <c r="E17" i="5"/>
  <c r="AJ30" i="3"/>
  <c r="G87" i="11"/>
  <c r="T47" i="10"/>
  <c r="T66" i="10" s="1"/>
  <c r="T67" i="10" s="1"/>
  <c r="G321" i="12"/>
  <c r="J321" i="12" s="1"/>
  <c r="E358" i="12" s="1"/>
  <c r="AI467" i="1"/>
  <c r="AI468" i="1"/>
  <c r="AC153" i="3"/>
  <c r="T12" i="10"/>
  <c r="C162" i="3"/>
  <c r="C163" i="3" s="1"/>
  <c r="AD446" i="1"/>
  <c r="AD448" i="1"/>
  <c r="T13" i="10"/>
  <c r="U13" i="10" s="1"/>
  <c r="AD449" i="1"/>
  <c r="AE446" i="1"/>
  <c r="T10" i="10"/>
  <c r="AE448" i="1"/>
  <c r="AD445" i="1"/>
  <c r="T19" i="10"/>
  <c r="AH445" i="1"/>
  <c r="AF448" i="1"/>
  <c r="AF449" i="1"/>
  <c r="AH449" i="1"/>
  <c r="AF447" i="1"/>
  <c r="AH448" i="1"/>
  <c r="AH446" i="1"/>
  <c r="W19" i="10"/>
  <c r="J416" i="12"/>
  <c r="L416" i="12" s="1"/>
  <c r="M416" i="12" s="1"/>
  <c r="AF87" i="3"/>
  <c r="AF127" i="3"/>
  <c r="AH447" i="1"/>
  <c r="V11" i="10"/>
  <c r="AF446" i="1"/>
  <c r="W47" i="10"/>
  <c r="W66" i="10" s="1"/>
  <c r="W67" i="10" s="1"/>
  <c r="V17" i="10"/>
  <c r="AG127" i="3"/>
  <c r="AG87" i="3"/>
  <c r="V16" i="10"/>
  <c r="AH127" i="3"/>
  <c r="AH87" i="3"/>
  <c r="AP3" i="10"/>
  <c r="AI87" i="3"/>
  <c r="AI127" i="3"/>
  <c r="AJ87" i="3"/>
  <c r="AK87" i="3"/>
  <c r="AK127" i="3"/>
  <c r="AL127" i="3"/>
  <c r="AL87" i="3"/>
  <c r="AM87" i="3"/>
  <c r="AM127" i="3"/>
  <c r="AN127" i="3"/>
  <c r="AN87" i="3"/>
  <c r="AO87" i="3"/>
  <c r="AO127" i="3"/>
  <c r="AP87" i="3"/>
  <c r="AP127" i="3"/>
  <c r="AQ127" i="3"/>
  <c r="AQ87" i="3"/>
  <c r="AR127" i="3"/>
  <c r="AR87" i="3"/>
  <c r="AS87" i="3"/>
  <c r="AS127" i="3"/>
  <c r="AT87" i="3"/>
  <c r="AT127" i="3"/>
  <c r="AU127" i="3"/>
  <c r="AU87" i="3"/>
  <c r="AV127" i="3"/>
  <c r="AV87" i="3"/>
  <c r="AW87" i="3"/>
  <c r="AW127" i="3"/>
  <c r="AX127" i="3"/>
  <c r="AX87" i="3"/>
  <c r="AY87" i="3"/>
  <c r="AZ127" i="3"/>
  <c r="AY127" i="3"/>
  <c r="AZ87" i="3"/>
  <c r="BA127" i="3"/>
  <c r="BA129" i="3" s="1"/>
  <c r="AC87" i="3"/>
  <c r="I373" i="12" l="1"/>
  <c r="AE214" i="3"/>
  <c r="Y295" i="1"/>
  <c r="C65" i="11"/>
  <c r="I29" i="17"/>
  <c r="D12" i="17" s="1"/>
  <c r="D16" i="17" s="1"/>
  <c r="D21" i="17" s="1"/>
  <c r="G34" i="17" s="1"/>
  <c r="Z35" i="14"/>
  <c r="N129" i="3"/>
  <c r="AI8" i="15"/>
  <c r="M42" i="10"/>
  <c r="J409" i="12"/>
  <c r="O42" i="10"/>
  <c r="AJ104" i="3"/>
  <c r="AQ25" i="10"/>
  <c r="AR25" i="10" s="1"/>
  <c r="AS25" i="10" s="1"/>
  <c r="T40" i="10"/>
  <c r="N42" i="10"/>
  <c r="AJ21" i="15"/>
  <c r="F447" i="12"/>
  <c r="J12" i="10"/>
  <c r="AB31" i="14"/>
  <c r="I42" i="10"/>
  <c r="F324" i="12"/>
  <c r="V42" i="10"/>
  <c r="K42" i="10"/>
  <c r="AP33" i="10"/>
  <c r="I418" i="12"/>
  <c r="T42" i="10"/>
  <c r="K17" i="10"/>
  <c r="AQ39" i="10"/>
  <c r="AQ28" i="10"/>
  <c r="AQ33" i="10"/>
  <c r="AQ22" i="10"/>
  <c r="AP28" i="10"/>
  <c r="J19" i="10"/>
  <c r="AP31" i="10"/>
  <c r="AQ23" i="10"/>
  <c r="AQ36" i="10"/>
  <c r="AR36" i="10" s="1"/>
  <c r="AS36" i="10" s="1"/>
  <c r="AP29" i="10"/>
  <c r="K19" i="10"/>
  <c r="AP21" i="10"/>
  <c r="S19" i="10"/>
  <c r="AQ37" i="10"/>
  <c r="AR37" i="10" s="1"/>
  <c r="AS37" i="10" s="1"/>
  <c r="AP23" i="10"/>
  <c r="I19" i="10"/>
  <c r="I12" i="10"/>
  <c r="AQ29" i="10"/>
  <c r="AQ31" i="10"/>
  <c r="AP39" i="10"/>
  <c r="F395" i="12"/>
  <c r="G402" i="12"/>
  <c r="J402" i="12" s="1"/>
  <c r="E447" i="12" s="1"/>
  <c r="G317" i="12"/>
  <c r="J317" i="12" s="1"/>
  <c r="E354" i="12" s="1"/>
  <c r="F28" i="2"/>
  <c r="F255" i="12"/>
  <c r="H35" i="14"/>
  <c r="V370" i="1"/>
  <c r="Y370" i="1"/>
  <c r="AI17" i="15"/>
  <c r="AI24" i="15"/>
  <c r="F286" i="12"/>
  <c r="AJ14" i="15"/>
  <c r="Z356" i="1"/>
  <c r="Z363" i="1" s="1"/>
  <c r="Y87" i="3"/>
  <c r="G293" i="12"/>
  <c r="J293" i="12" s="1"/>
  <c r="E324" i="12" s="1"/>
  <c r="F290" i="12"/>
  <c r="AI13" i="15"/>
  <c r="F440" i="12"/>
  <c r="I127" i="1"/>
  <c r="D15" i="16"/>
  <c r="AA356" i="1"/>
  <c r="AA363" i="1" s="1"/>
  <c r="O168" i="1"/>
  <c r="O446" i="1" s="1"/>
  <c r="N460" i="1" s="1"/>
  <c r="R22" i="14"/>
  <c r="T22" i="14" s="1"/>
  <c r="V22" i="14" s="1"/>
  <c r="R355" i="1"/>
  <c r="R363" i="1" s="1"/>
  <c r="R386" i="1" s="1"/>
  <c r="AJ27" i="15"/>
  <c r="G25" i="4"/>
  <c r="AC295" i="1"/>
  <c r="AD13" i="14"/>
  <c r="AD31" i="14" s="1"/>
  <c r="I26" i="16"/>
  <c r="AC369" i="1"/>
  <c r="AC376" i="1" s="1"/>
  <c r="G32" i="16"/>
  <c r="C104" i="3"/>
  <c r="C59" i="11"/>
  <c r="E67" i="11"/>
  <c r="E84" i="11" s="1"/>
  <c r="G286" i="12"/>
  <c r="J286" i="12" s="1"/>
  <c r="E317" i="12" s="1"/>
  <c r="E41" i="6"/>
  <c r="C100" i="3"/>
  <c r="AJ103" i="3"/>
  <c r="G358" i="12"/>
  <c r="J358" i="12" s="1"/>
  <c r="E399" i="12" s="1"/>
  <c r="Z370" i="1"/>
  <c r="W87" i="3"/>
  <c r="G309" i="12"/>
  <c r="J309" i="12" s="1"/>
  <c r="E345" i="12" s="1"/>
  <c r="J188" i="12"/>
  <c r="J208" i="12" s="1"/>
  <c r="V20" i="13" s="1"/>
  <c r="AV12" i="10"/>
  <c r="AR13" i="10"/>
  <c r="AS13" i="10" s="1"/>
  <c r="L37" i="10"/>
  <c r="L52" i="10" s="1"/>
  <c r="D9" i="4"/>
  <c r="D13" i="4" s="1"/>
  <c r="D18" i="4" s="1"/>
  <c r="G31" i="4" s="1"/>
  <c r="I26" i="4"/>
  <c r="W127" i="3"/>
  <c r="AE127" i="3"/>
  <c r="AE129" i="3" s="1"/>
  <c r="G532" i="12"/>
  <c r="J532" i="12" s="1"/>
  <c r="AM370" i="1"/>
  <c r="AM376" i="1" s="1"/>
  <c r="AM386" i="1" s="1"/>
  <c r="AI45" i="3"/>
  <c r="G345" i="12"/>
  <c r="J345" i="12" s="1"/>
  <c r="E386" i="12" s="1"/>
  <c r="AA370" i="1"/>
  <c r="Z127" i="3"/>
  <c r="F493" i="12"/>
  <c r="F633" i="12"/>
  <c r="F586" i="12"/>
  <c r="F539" i="12"/>
  <c r="F500" i="12"/>
  <c r="F640" i="12"/>
  <c r="F593" i="12"/>
  <c r="F546" i="12"/>
  <c r="F354" i="12"/>
  <c r="J146" i="12"/>
  <c r="R20" i="13" s="1"/>
  <c r="AG45" i="3"/>
  <c r="F231" i="12"/>
  <c r="V356" i="1"/>
  <c r="V363" i="1" s="1"/>
  <c r="X356" i="1"/>
  <c r="X363" i="1" s="1"/>
  <c r="AP12" i="10"/>
  <c r="D9" i="16"/>
  <c r="D13" i="16" s="1"/>
  <c r="C103" i="3"/>
  <c r="G231" i="12"/>
  <c r="J231" i="12" s="1"/>
  <c r="H31" i="14"/>
  <c r="F11" i="2"/>
  <c r="F490" i="12"/>
  <c r="F630" i="12"/>
  <c r="F583" i="12"/>
  <c r="F536" i="12"/>
  <c r="F486" i="12"/>
  <c r="F626" i="12"/>
  <c r="F579" i="12"/>
  <c r="F532" i="12"/>
  <c r="G262" i="12"/>
  <c r="J262" i="12" s="1"/>
  <c r="E293" i="12" s="1"/>
  <c r="J68" i="12"/>
  <c r="G41" i="6"/>
  <c r="F262" i="12"/>
  <c r="P226" i="1"/>
  <c r="Q226" i="1" s="1"/>
  <c r="X370" i="1"/>
  <c r="AB370" i="1"/>
  <c r="G208" i="12"/>
  <c r="J210" i="12" s="1"/>
  <c r="V87" i="3"/>
  <c r="H15" i="4"/>
  <c r="H27" i="4" s="1"/>
  <c r="X87" i="3"/>
  <c r="N117" i="1"/>
  <c r="P116" i="1"/>
  <c r="V45" i="3"/>
  <c r="L45" i="3"/>
  <c r="P129" i="3"/>
  <c r="AF45" i="3"/>
  <c r="O129" i="3"/>
  <c r="AS45" i="3"/>
  <c r="M129" i="3"/>
  <c r="C44" i="3"/>
  <c r="S45" i="3"/>
  <c r="AJ43" i="3"/>
  <c r="AJ45" i="3" s="1"/>
  <c r="U45" i="3"/>
  <c r="G129" i="3"/>
  <c r="I129" i="3"/>
  <c r="AC235" i="1"/>
  <c r="AA154" i="1"/>
  <c r="W35" i="1"/>
  <c r="M106" i="1"/>
  <c r="I69" i="1"/>
  <c r="AC57" i="1"/>
  <c r="AV19" i="10"/>
  <c r="W291" i="1"/>
  <c r="V448" i="1" s="1"/>
  <c r="AW12" i="10"/>
  <c r="AW11" i="10"/>
  <c r="S73" i="10"/>
  <c r="Z245" i="1"/>
  <c r="Z247" i="1" s="1"/>
  <c r="O230" i="1"/>
  <c r="R143" i="1"/>
  <c r="S143" i="1" s="1"/>
  <c r="R168" i="1"/>
  <c r="S446" i="1" s="1"/>
  <c r="AW17" i="10"/>
  <c r="AW19" i="10"/>
  <c r="L245" i="1"/>
  <c r="L247" i="1" s="1"/>
  <c r="AA228" i="1"/>
  <c r="AA230" i="1" s="1"/>
  <c r="P115" i="1"/>
  <c r="I57" i="1"/>
  <c r="AP47" i="10"/>
  <c r="AP42" i="10"/>
  <c r="G574" i="12"/>
  <c r="AF211" i="3"/>
  <c r="AF214" i="3" s="1"/>
  <c r="E20" i="7"/>
  <c r="P31" i="14"/>
  <c r="P35" i="14"/>
  <c r="B31" i="14"/>
  <c r="L35" i="14"/>
  <c r="Z31" i="14"/>
  <c r="F31" i="14"/>
  <c r="F35" i="14"/>
  <c r="AH31" i="14"/>
  <c r="B35" i="14"/>
  <c r="K67" i="10"/>
  <c r="L6" i="13"/>
  <c r="L8" i="13" s="1"/>
  <c r="J19" i="13"/>
  <c r="AV11" i="15"/>
  <c r="AT32" i="15"/>
  <c r="AR32" i="15"/>
  <c r="V117" i="1"/>
  <c r="AB398" i="1"/>
  <c r="AB412" i="1" s="1"/>
  <c r="N245" i="1"/>
  <c r="N247" i="1" s="1"/>
  <c r="I262" i="1"/>
  <c r="Z183" i="1"/>
  <c r="W363" i="1"/>
  <c r="W398" i="1"/>
  <c r="W412" i="1" s="1"/>
  <c r="V96" i="1"/>
  <c r="R167" i="1"/>
  <c r="R446" i="1" s="1"/>
  <c r="X96" i="1"/>
  <c r="AB363" i="1"/>
  <c r="O321" i="1"/>
  <c r="Q117" i="1"/>
  <c r="D117" i="1"/>
  <c r="D120" i="1" s="1"/>
  <c r="C133" i="1"/>
  <c r="D133" i="1"/>
  <c r="I143" i="1"/>
  <c r="I169" i="1"/>
  <c r="G345" i="1"/>
  <c r="G347" i="1" s="1"/>
  <c r="G350" i="1" s="1"/>
  <c r="I117" i="1"/>
  <c r="I116" i="1"/>
  <c r="I115" i="1"/>
  <c r="R133" i="1"/>
  <c r="S133" i="1" s="1"/>
  <c r="C273" i="1"/>
  <c r="C117" i="1"/>
  <c r="C120" i="1" s="1"/>
  <c r="I20" i="1"/>
  <c r="C345" i="1"/>
  <c r="C347" i="1" s="1"/>
  <c r="C350" i="1" s="1"/>
  <c r="V64" i="1"/>
  <c r="N456" i="1"/>
  <c r="G169" i="1"/>
  <c r="G170" i="1" s="1"/>
  <c r="I167" i="1"/>
  <c r="Q244" i="1"/>
  <c r="Q447" i="1" s="1"/>
  <c r="Q451" i="1" s="1"/>
  <c r="O293" i="1"/>
  <c r="AA62" i="1"/>
  <c r="AA117" i="1" s="1"/>
  <c r="V116" i="1"/>
  <c r="L127" i="1"/>
  <c r="E20" i="5"/>
  <c r="H22" i="10"/>
  <c r="H37" i="10" s="1"/>
  <c r="H52" i="10" s="1"/>
  <c r="AI12" i="15"/>
  <c r="AJ19" i="15"/>
  <c r="AI16" i="15"/>
  <c r="AB294" i="1"/>
  <c r="X412" i="1"/>
  <c r="Y247" i="1"/>
  <c r="AC438" i="1"/>
  <c r="AC291" i="1"/>
  <c r="AB448" i="1" s="1"/>
  <c r="P106" i="1"/>
  <c r="AC35" i="1"/>
  <c r="AB45" i="1"/>
  <c r="AA344" i="1"/>
  <c r="AA449" i="1" s="1"/>
  <c r="W303" i="1"/>
  <c r="W305" i="1" s="1"/>
  <c r="V106" i="1"/>
  <c r="E563" i="12"/>
  <c r="AX129" i="3"/>
  <c r="AT129" i="3"/>
  <c r="G45" i="3"/>
  <c r="AC45" i="3"/>
  <c r="AZ129" i="3"/>
  <c r="AK129" i="3"/>
  <c r="Z45" i="3"/>
  <c r="Y45" i="3"/>
  <c r="H45" i="3"/>
  <c r="K129" i="3"/>
  <c r="J370" i="12"/>
  <c r="BA45" i="3"/>
  <c r="AX45" i="3"/>
  <c r="AY45" i="3"/>
  <c r="Y363" i="1"/>
  <c r="AF129" i="3"/>
  <c r="T129" i="3"/>
  <c r="AB43" i="3"/>
  <c r="AB45" i="3" s="1"/>
  <c r="AU129" i="3"/>
  <c r="X45" i="3"/>
  <c r="P45" i="3"/>
  <c r="N45" i="3"/>
  <c r="S129" i="3"/>
  <c r="H129" i="3"/>
  <c r="F129" i="3"/>
  <c r="AM437" i="1"/>
  <c r="AR129" i="3"/>
  <c r="AN129" i="3"/>
  <c r="W45" i="3"/>
  <c r="Q45" i="3"/>
  <c r="O427" i="1"/>
  <c r="O431" i="1" s="1"/>
  <c r="M12" i="10"/>
  <c r="W154" i="1"/>
  <c r="S45" i="1"/>
  <c r="W133" i="1"/>
  <c r="Y169" i="1"/>
  <c r="Y170" i="1" s="1"/>
  <c r="Q363" i="1"/>
  <c r="AB293" i="1"/>
  <c r="Y293" i="1"/>
  <c r="Y296" i="1" s="1"/>
  <c r="AA253" i="1"/>
  <c r="W45" i="1"/>
  <c r="S284" i="1"/>
  <c r="AC153" i="1"/>
  <c r="AC154" i="1" s="1"/>
  <c r="Z153" i="1"/>
  <c r="Z154" i="1" s="1"/>
  <c r="N462" i="1"/>
  <c r="AC398" i="1"/>
  <c r="N412" i="1"/>
  <c r="Y412" i="1"/>
  <c r="Z412" i="1"/>
  <c r="N386" i="1"/>
  <c r="AA40" i="1"/>
  <c r="AA321" i="1"/>
  <c r="AA343" i="1"/>
  <c r="Z449" i="1" s="1"/>
  <c r="AA292" i="1"/>
  <c r="AA448" i="1" s="1"/>
  <c r="AA127" i="1"/>
  <c r="AA84" i="1"/>
  <c r="I412" i="1"/>
  <c r="Q376" i="1"/>
  <c r="X347" i="1"/>
  <c r="X350" i="1" s="1"/>
  <c r="AA398" i="1"/>
  <c r="AA412" i="1" s="1"/>
  <c r="AA291" i="1"/>
  <c r="Z448" i="1" s="1"/>
  <c r="AA35" i="1"/>
  <c r="AC64" i="1"/>
  <c r="J412" i="1"/>
  <c r="W164" i="1"/>
  <c r="AP32" i="10"/>
  <c r="N19" i="10"/>
  <c r="R247" i="1"/>
  <c r="S247" i="1" s="1"/>
  <c r="AA327" i="1"/>
  <c r="S258" i="1"/>
  <c r="M170" i="1"/>
  <c r="Y69" i="1"/>
  <c r="V230" i="1"/>
  <c r="AC228" i="1"/>
  <c r="AC230" i="1" s="1"/>
  <c r="F412" i="1"/>
  <c r="K247" i="1"/>
  <c r="L412" i="1"/>
  <c r="M386" i="1"/>
  <c r="M247" i="1"/>
  <c r="P412" i="1"/>
  <c r="Q438" i="1"/>
  <c r="V247" i="1"/>
  <c r="W438" i="1"/>
  <c r="W343" i="1"/>
  <c r="V449" i="1" s="1"/>
  <c r="W51" i="1"/>
  <c r="W327" i="1"/>
  <c r="W292" i="1"/>
  <c r="W448" i="1" s="1"/>
  <c r="W40" i="1"/>
  <c r="AA294" i="1"/>
  <c r="AA235" i="1"/>
  <c r="AA51" i="1"/>
  <c r="AC327" i="1"/>
  <c r="AC253" i="1"/>
  <c r="AC20" i="1"/>
  <c r="AA303" i="1"/>
  <c r="AA305" i="1" s="1"/>
  <c r="AA143" i="1"/>
  <c r="AC427" i="1"/>
  <c r="AC431" i="1" s="1"/>
  <c r="G412" i="1"/>
  <c r="K386" i="1"/>
  <c r="J347" i="1"/>
  <c r="J350" i="1" s="1"/>
  <c r="AC303" i="1"/>
  <c r="AC305" i="1" s="1"/>
  <c r="Y117" i="1"/>
  <c r="N12" i="10"/>
  <c r="AC343" i="1"/>
  <c r="AB449" i="1" s="1"/>
  <c r="AC345" i="1"/>
  <c r="O463" i="1"/>
  <c r="D296" i="1"/>
  <c r="H386" i="1"/>
  <c r="Y347" i="1"/>
  <c r="Y350" i="1" s="1"/>
  <c r="Y96" i="1"/>
  <c r="Z96" i="1"/>
  <c r="D8" i="6"/>
  <c r="C8" i="6" s="1"/>
  <c r="C33" i="6" s="1"/>
  <c r="H412" i="1"/>
  <c r="AA345" i="1"/>
  <c r="W344" i="1"/>
  <c r="W449" i="1" s="1"/>
  <c r="W230" i="1"/>
  <c r="R412" i="1"/>
  <c r="Q398" i="1"/>
  <c r="Q412" i="1" s="1"/>
  <c r="P288" i="1"/>
  <c r="P294" i="1"/>
  <c r="W253" i="1"/>
  <c r="J247" i="1"/>
  <c r="AA159" i="1"/>
  <c r="X293" i="1"/>
  <c r="X296" i="1" s="1"/>
  <c r="X116" i="1"/>
  <c r="AA273" i="1"/>
  <c r="W345" i="1"/>
  <c r="I386" i="1"/>
  <c r="Q347" i="1"/>
  <c r="Q350" i="1" s="1"/>
  <c r="E412" i="1"/>
  <c r="C247" i="1"/>
  <c r="B412" i="1"/>
  <c r="H347" i="1"/>
  <c r="H350" i="1" s="1"/>
  <c r="G247" i="1"/>
  <c r="P347" i="1"/>
  <c r="P350" i="1" s="1"/>
  <c r="S427" i="1"/>
  <c r="S431" i="1" s="1"/>
  <c r="W106" i="1"/>
  <c r="O461" i="1"/>
  <c r="O464" i="1"/>
  <c r="B386" i="1"/>
  <c r="W96" i="1"/>
  <c r="AA57" i="1"/>
  <c r="H170" i="1"/>
  <c r="W169" i="1"/>
  <c r="W57" i="1"/>
  <c r="AA244" i="1"/>
  <c r="AA447" i="1" s="1"/>
  <c r="AA169" i="1"/>
  <c r="AA168" i="1"/>
  <c r="AA446" i="1" s="1"/>
  <c r="AA164" i="1"/>
  <c r="AC159" i="1"/>
  <c r="AC84" i="1"/>
  <c r="P458" i="1"/>
  <c r="Q458" i="1" s="1"/>
  <c r="R458" i="1" s="1"/>
  <c r="R462" i="1" s="1"/>
  <c r="C412" i="1"/>
  <c r="E347" i="1"/>
  <c r="E350" i="1" s="1"/>
  <c r="D247" i="1"/>
  <c r="B247" i="1"/>
  <c r="AC164" i="1"/>
  <c r="O460" i="1"/>
  <c r="D412" i="1"/>
  <c r="E247" i="1"/>
  <c r="F247" i="1"/>
  <c r="I347" i="1"/>
  <c r="I350" i="1" s="1"/>
  <c r="R431" i="1"/>
  <c r="W427" i="1"/>
  <c r="W431" i="1" s="1"/>
  <c r="W116" i="1"/>
  <c r="W445" i="1" s="1"/>
  <c r="AC106" i="1"/>
  <c r="N296" i="1"/>
  <c r="S412" i="1"/>
  <c r="AB347" i="1"/>
  <c r="AB350" i="1" s="1"/>
  <c r="AC293" i="1"/>
  <c r="D347" i="1"/>
  <c r="D350" i="1" s="1"/>
  <c r="B347" i="1"/>
  <c r="B350" i="1" s="1"/>
  <c r="B296" i="1"/>
  <c r="H296" i="1"/>
  <c r="O386" i="1"/>
  <c r="AB90" i="1"/>
  <c r="O462" i="1"/>
  <c r="F347" i="1"/>
  <c r="F350" i="1" s="1"/>
  <c r="E296" i="1"/>
  <c r="F296" i="1"/>
  <c r="I296" i="1"/>
  <c r="G296" i="1"/>
  <c r="E386" i="1"/>
  <c r="J386" i="1"/>
  <c r="G386" i="1"/>
  <c r="W117" i="1"/>
  <c r="W273" i="1"/>
  <c r="AC168" i="1"/>
  <c r="AC446" i="1" s="1"/>
  <c r="E170" i="1"/>
  <c r="N170" i="1"/>
  <c r="Q127" i="1"/>
  <c r="Q170" i="1"/>
  <c r="L170" i="1"/>
  <c r="W168" i="1"/>
  <c r="W446" i="1" s="1"/>
  <c r="O438" i="1"/>
  <c r="N468" i="1" s="1"/>
  <c r="G43" i="6"/>
  <c r="G45" i="6" s="1"/>
  <c r="C9" i="6"/>
  <c r="Z431" i="1"/>
  <c r="AA431" i="1"/>
  <c r="BB431" i="1" s="1"/>
  <c r="V412" i="1"/>
  <c r="D386" i="1"/>
  <c r="P386" i="1"/>
  <c r="F386" i="1"/>
  <c r="G451" i="1"/>
  <c r="AC294" i="1"/>
  <c r="W258" i="1"/>
  <c r="W293" i="1" s="1"/>
  <c r="P293" i="1"/>
  <c r="W294" i="1"/>
  <c r="H247" i="1"/>
  <c r="I247" i="1"/>
  <c r="AR27" i="10"/>
  <c r="AS27" i="10" s="1"/>
  <c r="AB245" i="1"/>
  <c r="AB247" i="1" s="1"/>
  <c r="AC143" i="1"/>
  <c r="AC167" i="1"/>
  <c r="AB446" i="1" s="1"/>
  <c r="AA167" i="1"/>
  <c r="Z446" i="1" s="1"/>
  <c r="C170" i="1"/>
  <c r="N154" i="1"/>
  <c r="W127" i="1"/>
  <c r="J170" i="1"/>
  <c r="AA133" i="1"/>
  <c r="W143" i="1"/>
  <c r="AC127" i="1"/>
  <c r="X154" i="1"/>
  <c r="AR18" i="10"/>
  <c r="W69" i="1"/>
  <c r="Y104" i="1"/>
  <c r="Y106" i="1" s="1"/>
  <c r="M116" i="1"/>
  <c r="M455" i="1" s="1"/>
  <c r="N88" i="1"/>
  <c r="N90" i="1" s="1"/>
  <c r="AA115" i="1"/>
  <c r="Z445" i="1" s="1"/>
  <c r="AA20" i="1"/>
  <c r="W20" i="1"/>
  <c r="H120" i="1"/>
  <c r="E120" i="1"/>
  <c r="J120" i="1"/>
  <c r="O120" i="1"/>
  <c r="N454" i="1"/>
  <c r="L454" i="1"/>
  <c r="L120" i="1"/>
  <c r="L445" i="1"/>
  <c r="X451" i="1"/>
  <c r="B120" i="1"/>
  <c r="J120" i="12"/>
  <c r="P20" i="13" s="1"/>
  <c r="J177" i="12"/>
  <c r="T20" i="13" s="1"/>
  <c r="AW129" i="3"/>
  <c r="AS129" i="3"/>
  <c r="AP129" i="3"/>
  <c r="AL129" i="3"/>
  <c r="AG129" i="3"/>
  <c r="AG214" i="3" s="1"/>
  <c r="M45" i="3"/>
  <c r="O45" i="3"/>
  <c r="J129" i="3"/>
  <c r="Q129" i="3"/>
  <c r="AA45" i="3"/>
  <c r="AP45" i="3"/>
  <c r="AJ105" i="3"/>
  <c r="O444" i="12"/>
  <c r="R129" i="3"/>
  <c r="E486" i="12"/>
  <c r="AY129" i="3"/>
  <c r="AV129" i="3"/>
  <c r="AQ129" i="3"/>
  <c r="AO129" i="3"/>
  <c r="AM129" i="3"/>
  <c r="T45" i="3"/>
  <c r="R45" i="3"/>
  <c r="K45" i="3"/>
  <c r="I45" i="3"/>
  <c r="AJ100" i="3"/>
  <c r="O454" i="12"/>
  <c r="E496" i="12"/>
  <c r="E395" i="12"/>
  <c r="J440" i="12"/>
  <c r="O440" i="12" s="1"/>
  <c r="C87" i="3"/>
  <c r="AA127" i="3"/>
  <c r="AA129" i="3" s="1"/>
  <c r="G238" i="12"/>
  <c r="J238" i="12" s="1"/>
  <c r="C105" i="3"/>
  <c r="C52" i="3"/>
  <c r="F293" i="12"/>
  <c r="L129" i="3"/>
  <c r="U87" i="3"/>
  <c r="V369" i="1"/>
  <c r="AT45" i="3"/>
  <c r="AC127" i="3"/>
  <c r="AC129" i="3" s="1"/>
  <c r="G399" i="12"/>
  <c r="F45" i="3"/>
  <c r="U127" i="3"/>
  <c r="AI129" i="3"/>
  <c r="AH129" i="3"/>
  <c r="G368" i="12"/>
  <c r="J368" i="12" s="1"/>
  <c r="E409" i="12" s="1"/>
  <c r="W370" i="1"/>
  <c r="F402" i="12"/>
  <c r="F418" i="12" s="1"/>
  <c r="F444" i="12"/>
  <c r="G216" i="12"/>
  <c r="J216" i="12" s="1"/>
  <c r="AB127" i="3"/>
  <c r="AB129" i="3" s="1"/>
  <c r="G361" i="12"/>
  <c r="J45" i="3"/>
  <c r="F454" i="12"/>
  <c r="AU45" i="3"/>
  <c r="AQ45" i="3"/>
  <c r="AH45" i="3"/>
  <c r="O245" i="1"/>
  <c r="O247" i="1" s="1"/>
  <c r="P227" i="1"/>
  <c r="P245" i="1" s="1"/>
  <c r="AE451" i="1"/>
  <c r="N461" i="1"/>
  <c r="R154" i="1"/>
  <c r="S154" i="1" s="1"/>
  <c r="R169" i="1"/>
  <c r="AC40" i="1"/>
  <c r="F120" i="1"/>
  <c r="D170" i="1"/>
  <c r="F170" i="1"/>
  <c r="N347" i="1"/>
  <c r="N350" i="1" s="1"/>
  <c r="L386" i="1"/>
  <c r="AC321" i="1"/>
  <c r="AC344" i="1"/>
  <c r="M296" i="1"/>
  <c r="W159" i="1"/>
  <c r="AC133" i="1"/>
  <c r="X245" i="1"/>
  <c r="X247" i="1" s="1"/>
  <c r="B170" i="1"/>
  <c r="C296" i="1"/>
  <c r="O412" i="1"/>
  <c r="X170" i="1"/>
  <c r="Y438" i="1"/>
  <c r="X468" i="1" s="1"/>
  <c r="AM233" i="1"/>
  <c r="AM225" i="1"/>
  <c r="AM213" i="1"/>
  <c r="AM193" i="1"/>
  <c r="AM299" i="1"/>
  <c r="AM271" i="1"/>
  <c r="AM250" i="1"/>
  <c r="AM162" i="1"/>
  <c r="AM146" i="1"/>
  <c r="AM110" i="1"/>
  <c r="AM94" i="1"/>
  <c r="AM81" i="1"/>
  <c r="AM61" i="1"/>
  <c r="AM54" i="1"/>
  <c r="AM17" i="1"/>
  <c r="AM270" i="1"/>
  <c r="AM224" i="1"/>
  <c r="AM152" i="1"/>
  <c r="AM123" i="1"/>
  <c r="AM109" i="1"/>
  <c r="AM93" i="1"/>
  <c r="AM60" i="1"/>
  <c r="AM18" i="1"/>
  <c r="AM212" i="1"/>
  <c r="AM141" i="1"/>
  <c r="AM130" i="1"/>
  <c r="AM49" i="1"/>
  <c r="AM32" i="1"/>
  <c r="AM38" i="1"/>
  <c r="AM300" i="1"/>
  <c r="AM251" i="1"/>
  <c r="AM157" i="1"/>
  <c r="AM147" i="1"/>
  <c r="AM140" i="1"/>
  <c r="AM82" i="1"/>
  <c r="AM55" i="1"/>
  <c r="AM48" i="1"/>
  <c r="AM394" i="1"/>
  <c r="AM433" i="1"/>
  <c r="B37" i="10"/>
  <c r="B52" i="10" s="1"/>
  <c r="E37" i="10"/>
  <c r="E54" i="10" s="1"/>
  <c r="W10" i="10"/>
  <c r="Q106" i="1"/>
  <c r="R103" i="1"/>
  <c r="Q115" i="1"/>
  <c r="J451" i="1"/>
  <c r="N451" i="1"/>
  <c r="J296" i="1"/>
  <c r="V347" i="1"/>
  <c r="V350" i="1" s="1"/>
  <c r="V296" i="1"/>
  <c r="T14" i="10"/>
  <c r="U14" i="10" s="1"/>
  <c r="R104" i="1"/>
  <c r="R116" i="1" s="1"/>
  <c r="S445" i="1" s="1"/>
  <c r="M347" i="1"/>
  <c r="M350" i="1" s="1"/>
  <c r="S65" i="1"/>
  <c r="AC244" i="1"/>
  <c r="AJ451" i="1"/>
  <c r="C386" i="1"/>
  <c r="V15" i="10"/>
  <c r="AH451" i="1"/>
  <c r="AH452" i="1" s="1"/>
  <c r="F228" i="12"/>
  <c r="X369" i="1"/>
  <c r="V127" i="3"/>
  <c r="Y369" i="1"/>
  <c r="T15" i="10"/>
  <c r="U15" i="10" s="1"/>
  <c r="AF445" i="1"/>
  <c r="N35" i="14"/>
  <c r="N31" i="14"/>
  <c r="D31" i="14"/>
  <c r="D35" i="14"/>
  <c r="J31" i="14"/>
  <c r="J35" i="14"/>
  <c r="AJ10" i="15"/>
  <c r="AH32" i="15"/>
  <c r="AI10" i="15"/>
  <c r="V13" i="10"/>
  <c r="V14" i="10"/>
  <c r="AD451" i="1"/>
  <c r="L31" i="14"/>
  <c r="C23" i="3"/>
  <c r="AE45" i="3"/>
  <c r="C40" i="6"/>
  <c r="C44" i="6" s="1"/>
  <c r="F41" i="6"/>
  <c r="T16" i="10"/>
  <c r="AV16" i="10" s="1"/>
  <c r="T17" i="10"/>
  <c r="AV17" i="10" s="1"/>
  <c r="G300" i="12"/>
  <c r="J300" i="12" s="1"/>
  <c r="E331" i="12" s="1"/>
  <c r="F331" i="12"/>
  <c r="Y127" i="3"/>
  <c r="G25" i="1"/>
  <c r="G117" i="1"/>
  <c r="G120" i="1" s="1"/>
  <c r="H448" i="1"/>
  <c r="H451" i="1" s="1"/>
  <c r="O450" i="1"/>
  <c r="N464" i="1" s="1"/>
  <c r="Q294" i="1"/>
  <c r="Q296" i="1" s="1"/>
  <c r="R287" i="1"/>
  <c r="Q288" i="1"/>
  <c r="AC115" i="1"/>
  <c r="AB445" i="1" s="1"/>
  <c r="AC51" i="1"/>
  <c r="L42" i="10"/>
  <c r="AQ12" i="10"/>
  <c r="AJ18" i="15"/>
  <c r="AI18" i="15"/>
  <c r="AI15" i="15"/>
  <c r="AJ15" i="15"/>
  <c r="G269" i="12"/>
  <c r="J269" i="12" s="1"/>
  <c r="E300" i="12" s="1"/>
  <c r="X127" i="3"/>
  <c r="F300" i="12"/>
  <c r="C101" i="3"/>
  <c r="Z8" i="13"/>
  <c r="Z13" i="13" s="1"/>
  <c r="Z15" i="13" s="1"/>
  <c r="J36" i="12"/>
  <c r="J20" i="13" s="1"/>
  <c r="L267" i="1"/>
  <c r="L292" i="1"/>
  <c r="L296" i="1" s="1"/>
  <c r="M84" i="1"/>
  <c r="M115" i="1"/>
  <c r="Z115" i="1"/>
  <c r="Z90" i="1"/>
  <c r="W321" i="1"/>
  <c r="W167" i="1"/>
  <c r="W115" i="1"/>
  <c r="W64" i="1"/>
  <c r="AC273" i="1"/>
  <c r="AC292" i="1"/>
  <c r="AF31" i="14"/>
  <c r="AF35" i="14"/>
  <c r="G278" i="12"/>
  <c r="AA369" i="1"/>
  <c r="Z369" i="1"/>
  <c r="L449" i="1"/>
  <c r="L347" i="1"/>
  <c r="L350" i="1" s="1"/>
  <c r="O449" i="1"/>
  <c r="N463" i="1" s="1"/>
  <c r="O347" i="1"/>
  <c r="O350" i="1" s="1"/>
  <c r="O294" i="1"/>
  <c r="O253" i="1"/>
  <c r="Q428" i="1"/>
  <c r="Q431" i="1" s="1"/>
  <c r="P431" i="1"/>
  <c r="V169" i="1"/>
  <c r="V170" i="1" s="1"/>
  <c r="V154" i="1"/>
  <c r="W245" i="1"/>
  <c r="W247" i="1" s="1"/>
  <c r="AJ20" i="15"/>
  <c r="AI20" i="15"/>
  <c r="H30" i="17"/>
  <c r="F278" i="12"/>
  <c r="G247" i="12"/>
  <c r="G228" i="12"/>
  <c r="J228" i="12" s="1"/>
  <c r="W369" i="1"/>
  <c r="G331" i="12"/>
  <c r="J331" i="12" s="1"/>
  <c r="E368" i="12" s="1"/>
  <c r="F368" i="12"/>
  <c r="AB369" i="1"/>
  <c r="J94" i="12"/>
  <c r="N20" i="13" s="1"/>
  <c r="I183" i="1"/>
  <c r="N459" i="1"/>
  <c r="R345" i="1"/>
  <c r="R347" i="1" s="1"/>
  <c r="R303" i="1"/>
  <c r="R305" i="1" s="1"/>
  <c r="S305" i="1" s="1"/>
  <c r="R117" i="1"/>
  <c r="O442" i="12"/>
  <c r="E481" i="12"/>
  <c r="F321" i="12"/>
  <c r="AJ101" i="3"/>
  <c r="Z87" i="3"/>
  <c r="AC356" i="1"/>
  <c r="AC363" i="1" s="1"/>
  <c r="F361" i="12"/>
  <c r="G324" i="12"/>
  <c r="AC155" i="3"/>
  <c r="AP32" i="15"/>
  <c r="AE31" i="14"/>
  <c r="AE35" i="14"/>
  <c r="G460" i="12"/>
  <c r="D37" i="10"/>
  <c r="D54" i="10" s="1"/>
  <c r="G37" i="10"/>
  <c r="G52" i="10" s="1"/>
  <c r="G490" i="12"/>
  <c r="J490" i="12" s="1"/>
  <c r="P117" i="1"/>
  <c r="AI448" i="1"/>
  <c r="W14" i="10"/>
  <c r="C37" i="10"/>
  <c r="C52" i="10" s="1"/>
  <c r="Z347" i="1"/>
  <c r="Z350" i="1" s="1"/>
  <c r="AH35" i="14"/>
  <c r="Y45" i="1"/>
  <c r="AM45" i="3"/>
  <c r="O435" i="12"/>
  <c r="F84" i="11"/>
  <c r="N106" i="1"/>
  <c r="Z294" i="1"/>
  <c r="Z258" i="1"/>
  <c r="P154" i="1"/>
  <c r="P169" i="1"/>
  <c r="P170" i="1" s="1"/>
  <c r="Z137" i="1"/>
  <c r="AA137" i="1" s="1"/>
  <c r="AB137" i="1"/>
  <c r="AC137" i="1" s="1"/>
  <c r="AB169" i="1"/>
  <c r="AB170" i="1" s="1"/>
  <c r="AA67" i="1"/>
  <c r="Z69" i="1"/>
  <c r="X35" i="1"/>
  <c r="X117" i="1"/>
  <c r="AA45" i="1"/>
  <c r="Z117" i="1"/>
  <c r="T11" i="10"/>
  <c r="U11" i="10" s="1"/>
  <c r="AV11" i="10" s="1"/>
  <c r="Q45" i="1"/>
  <c r="AA96" i="1"/>
  <c r="AB95" i="1"/>
  <c r="F52" i="10"/>
  <c r="F54" i="10"/>
  <c r="V66" i="10"/>
  <c r="V67" i="10" s="1"/>
  <c r="X12" i="10"/>
  <c r="AX12" i="10" s="1"/>
  <c r="C83" i="11"/>
  <c r="F11" i="8"/>
  <c r="X42" i="10" l="1"/>
  <c r="AR23" i="10"/>
  <c r="AS23" i="10" s="1"/>
  <c r="T48" i="10"/>
  <c r="T53" i="10" s="1"/>
  <c r="W129" i="3"/>
  <c r="AR39" i="10"/>
  <c r="AS39" i="10" s="1"/>
  <c r="AR28" i="10"/>
  <c r="AS28" i="10" s="1"/>
  <c r="AR31" i="10"/>
  <c r="AS31" i="10" s="1"/>
  <c r="AR33" i="10"/>
  <c r="AS33" i="10" s="1"/>
  <c r="AR29" i="10"/>
  <c r="AS29" i="10" s="1"/>
  <c r="I40" i="10"/>
  <c r="I48" i="10" s="1"/>
  <c r="I53" i="10" s="1"/>
  <c r="W42" i="10"/>
  <c r="K40" i="10"/>
  <c r="K48" i="10" s="1"/>
  <c r="K53" i="10" s="1"/>
  <c r="AB46" i="10"/>
  <c r="AC46" i="10" s="1"/>
  <c r="AD46" i="10" s="1"/>
  <c r="V376" i="1"/>
  <c r="V386" i="1" s="1"/>
  <c r="H40" i="10"/>
  <c r="H48" i="10" s="1"/>
  <c r="H53" i="10" s="1"/>
  <c r="O40" i="10"/>
  <c r="O48" i="10" s="1"/>
  <c r="O53" i="10" s="1"/>
  <c r="AB45" i="10"/>
  <c r="AC45" i="10" s="1"/>
  <c r="AD45" i="10" s="1"/>
  <c r="L40" i="10"/>
  <c r="J40" i="10"/>
  <c r="J48" i="10" s="1"/>
  <c r="J53" i="10" s="1"/>
  <c r="F270" i="12"/>
  <c r="N40" i="10"/>
  <c r="N48" i="10" s="1"/>
  <c r="N53" i="10" s="1"/>
  <c r="AQ11" i="10"/>
  <c r="Y42" i="10"/>
  <c r="K16" i="10"/>
  <c r="I11" i="10"/>
  <c r="I15" i="10"/>
  <c r="J11" i="10"/>
  <c r="I13" i="10"/>
  <c r="K15" i="10"/>
  <c r="M15" i="10"/>
  <c r="Y16" i="10"/>
  <c r="AZ16" i="10" s="1"/>
  <c r="M11" i="10"/>
  <c r="AQ21" i="10"/>
  <c r="AR21" i="10" s="1"/>
  <c r="AS21" i="10" s="1"/>
  <c r="N17" i="10"/>
  <c r="AQ32" i="10"/>
  <c r="AR32" i="10" s="1"/>
  <c r="AS32" i="10" s="1"/>
  <c r="J13" i="10"/>
  <c r="J17" i="10"/>
  <c r="I16" i="10"/>
  <c r="J10" i="10"/>
  <c r="I17" i="10"/>
  <c r="I10" i="10"/>
  <c r="N13" i="10"/>
  <c r="J15" i="10"/>
  <c r="J16" i="10"/>
  <c r="J14" i="10"/>
  <c r="M14" i="10"/>
  <c r="K14" i="10"/>
  <c r="M17" i="10"/>
  <c r="K13" i="10"/>
  <c r="K11" i="10"/>
  <c r="AP22" i="10"/>
  <c r="AR22" i="10" s="1"/>
  <c r="AS22" i="10" s="1"/>
  <c r="R29" i="14"/>
  <c r="R31" i="14" s="1"/>
  <c r="Y376" i="1"/>
  <c r="Y386" i="1" s="1"/>
  <c r="T29" i="14"/>
  <c r="T35" i="14" s="1"/>
  <c r="D18" i="16"/>
  <c r="G31" i="16" s="1"/>
  <c r="S363" i="1"/>
  <c r="S386" i="1" s="1"/>
  <c r="AP35" i="10" s="1"/>
  <c r="O170" i="1"/>
  <c r="X129" i="3"/>
  <c r="AD35" i="14"/>
  <c r="V40" i="10" s="1"/>
  <c r="V48" i="10" s="1"/>
  <c r="V53" i="10" s="1"/>
  <c r="F239" i="12"/>
  <c r="Z129" i="3"/>
  <c r="AR12" i="10"/>
  <c r="AS12" i="10" s="1"/>
  <c r="Z376" i="1"/>
  <c r="Z386" i="1" s="1"/>
  <c r="Y129" i="3"/>
  <c r="AC412" i="1"/>
  <c r="AA376" i="1"/>
  <c r="AA386" i="1" s="1"/>
  <c r="X376" i="1"/>
  <c r="X386" i="1" s="1"/>
  <c r="AB376" i="1"/>
  <c r="AB386" i="1" s="1"/>
  <c r="F517" i="12"/>
  <c r="F563" i="12"/>
  <c r="F610" i="12"/>
  <c r="P246" i="1"/>
  <c r="P247" i="1" s="1"/>
  <c r="G40" i="4"/>
  <c r="G46" i="4" s="1"/>
  <c r="G32" i="4"/>
  <c r="F657" i="12"/>
  <c r="F681" i="12" s="1"/>
  <c r="J26" i="13"/>
  <c r="J30" i="13" s="1"/>
  <c r="L13" i="13"/>
  <c r="L15" i="13" s="1"/>
  <c r="N6" i="13" s="1"/>
  <c r="V129" i="3"/>
  <c r="AX11" i="15"/>
  <c r="AV32" i="15"/>
  <c r="AV13" i="10"/>
  <c r="C43" i="3"/>
  <c r="C46" i="3" s="1"/>
  <c r="B54" i="10"/>
  <c r="B58" i="10" s="1"/>
  <c r="F301" i="12"/>
  <c r="P120" i="1"/>
  <c r="S451" i="1"/>
  <c r="S452" i="1" s="1"/>
  <c r="AA245" i="1"/>
  <c r="AA247" i="1" s="1"/>
  <c r="AV14" i="10"/>
  <c r="AV15" i="10"/>
  <c r="AW15" i="10"/>
  <c r="AW13" i="10"/>
  <c r="AW14" i="10"/>
  <c r="G610" i="12"/>
  <c r="AP438" i="1"/>
  <c r="Z47" i="10"/>
  <c r="E52" i="10"/>
  <c r="X40" i="10"/>
  <c r="AQ35" i="14"/>
  <c r="V29" i="14"/>
  <c r="X22" i="14"/>
  <c r="X29" i="14" s="1"/>
  <c r="V120" i="1"/>
  <c r="Q120" i="1"/>
  <c r="R170" i="1"/>
  <c r="S170" i="1" s="1"/>
  <c r="AB296" i="1"/>
  <c r="AA64" i="1"/>
  <c r="I170" i="1"/>
  <c r="N116" i="1"/>
  <c r="N455" i="1" s="1"/>
  <c r="I120" i="1"/>
  <c r="D52" i="10"/>
  <c r="O296" i="1"/>
  <c r="C54" i="10"/>
  <c r="C58" i="10" s="1"/>
  <c r="AM235" i="1"/>
  <c r="AM159" i="1"/>
  <c r="AM344" i="1"/>
  <c r="AM154" i="1"/>
  <c r="AM35" i="1"/>
  <c r="AM164" i="1"/>
  <c r="AM40" i="1"/>
  <c r="AJ127" i="3"/>
  <c r="AJ129" i="3" s="1"/>
  <c r="AC386" i="1"/>
  <c r="J527" i="12"/>
  <c r="G563" i="12"/>
  <c r="C45" i="3"/>
  <c r="R461" i="1"/>
  <c r="AC245" i="1"/>
  <c r="AC247" i="1" s="1"/>
  <c r="Q386" i="1"/>
  <c r="AC169" i="1"/>
  <c r="AC170" i="1" s="1"/>
  <c r="Z169" i="1"/>
  <c r="Z170" i="1" s="1"/>
  <c r="AA347" i="1"/>
  <c r="AA350" i="1" s="1"/>
  <c r="Q459" i="1"/>
  <c r="P461" i="1"/>
  <c r="C43" i="6"/>
  <c r="C45" i="6" s="1"/>
  <c r="X120" i="1"/>
  <c r="AA170" i="1"/>
  <c r="Q461" i="1"/>
  <c r="M19" i="10"/>
  <c r="K413" i="1"/>
  <c r="D32" i="6"/>
  <c r="D41" i="6" s="1"/>
  <c r="C41" i="6" s="1"/>
  <c r="P296" i="1"/>
  <c r="W347" i="1"/>
  <c r="W350" i="1" s="1"/>
  <c r="W451" i="1"/>
  <c r="W452" i="1" s="1"/>
  <c r="Q460" i="1"/>
  <c r="Q462" i="1"/>
  <c r="R463" i="1"/>
  <c r="P460" i="1"/>
  <c r="R464" i="1"/>
  <c r="R460" i="1"/>
  <c r="P463" i="1"/>
  <c r="P464" i="1"/>
  <c r="Q464" i="1"/>
  <c r="Q463" i="1"/>
  <c r="S458" i="1"/>
  <c r="S460" i="1" s="1"/>
  <c r="P230" i="1"/>
  <c r="Q227" i="1"/>
  <c r="Z451" i="1"/>
  <c r="Z452" i="1" s="1"/>
  <c r="P462" i="1"/>
  <c r="O466" i="1"/>
  <c r="G413" i="1"/>
  <c r="C413" i="1"/>
  <c r="W296" i="1"/>
  <c r="H413" i="1"/>
  <c r="E413" i="1"/>
  <c r="H452" i="1"/>
  <c r="AB451" i="1"/>
  <c r="AD452" i="1" s="1"/>
  <c r="B413" i="1"/>
  <c r="F413" i="1"/>
  <c r="Z104" i="1"/>
  <c r="Y116" i="1"/>
  <c r="L451" i="1"/>
  <c r="L452" i="1" s="1"/>
  <c r="D413" i="1"/>
  <c r="P445" i="1"/>
  <c r="P451" i="1" s="1"/>
  <c r="Y47" i="10"/>
  <c r="AM230" i="1"/>
  <c r="E517" i="12"/>
  <c r="AM143" i="1"/>
  <c r="AM64" i="1"/>
  <c r="AM133" i="1"/>
  <c r="C128" i="3"/>
  <c r="F373" i="12"/>
  <c r="W376" i="1"/>
  <c r="W386" i="1" s="1"/>
  <c r="G239" i="12"/>
  <c r="F470" i="12"/>
  <c r="F332" i="12"/>
  <c r="J361" i="12"/>
  <c r="G373" i="12"/>
  <c r="G418" i="12"/>
  <c r="J399" i="12"/>
  <c r="U129" i="3"/>
  <c r="AM57" i="1"/>
  <c r="AM243" i="1"/>
  <c r="AM217" i="1"/>
  <c r="AC449" i="1"/>
  <c r="AC347" i="1"/>
  <c r="AC350" i="1" s="1"/>
  <c r="AM51" i="1"/>
  <c r="AM96" i="1"/>
  <c r="AM149" i="1"/>
  <c r="AM303" i="1"/>
  <c r="AM343" i="1"/>
  <c r="AM168" i="1"/>
  <c r="AM112" i="1"/>
  <c r="AM273" i="1"/>
  <c r="AM84" i="1"/>
  <c r="AM195" i="1"/>
  <c r="AM244" i="1"/>
  <c r="AM398" i="1"/>
  <c r="AM292" i="1"/>
  <c r="AM116" i="1"/>
  <c r="AM127" i="1"/>
  <c r="AM167" i="1"/>
  <c r="AM115" i="1"/>
  <c r="AM20" i="1"/>
  <c r="AM291" i="1"/>
  <c r="AM253" i="1"/>
  <c r="L48" i="10"/>
  <c r="L54" i="10" s="1"/>
  <c r="AQ14" i="10"/>
  <c r="G54" i="10"/>
  <c r="G58" i="10" s="1"/>
  <c r="AI451" i="1"/>
  <c r="I14" i="10"/>
  <c r="J413" i="1"/>
  <c r="T18" i="10"/>
  <c r="T22" i="10" s="1"/>
  <c r="T37" i="10" s="1"/>
  <c r="T54" i="10" s="1"/>
  <c r="T62" i="10" s="1"/>
  <c r="AD62" i="10" s="1"/>
  <c r="AC447" i="1"/>
  <c r="R115" i="1"/>
  <c r="R445" i="1" s="1"/>
  <c r="R451" i="1" s="1"/>
  <c r="T452" i="1" s="1"/>
  <c r="R106" i="1"/>
  <c r="S106" i="1" s="1"/>
  <c r="R350" i="1"/>
  <c r="S347" i="1"/>
  <c r="S350" i="1" s="1"/>
  <c r="G43" i="17"/>
  <c r="G49" i="17" s="1"/>
  <c r="G35" i="17"/>
  <c r="R294" i="1"/>
  <c r="R296" i="1" s="1"/>
  <c r="S296" i="1" s="1"/>
  <c r="R288" i="1"/>
  <c r="AP11" i="10"/>
  <c r="M40" i="10"/>
  <c r="M48" i="10" s="1"/>
  <c r="M53" i="10" s="1"/>
  <c r="N466" i="1"/>
  <c r="AC296" i="1"/>
  <c r="AC448" i="1"/>
  <c r="V446" i="1"/>
  <c r="W170" i="1"/>
  <c r="Q246" i="1"/>
  <c r="J239" i="12"/>
  <c r="O451" i="1"/>
  <c r="AI32" i="15"/>
  <c r="J481" i="12"/>
  <c r="J517" i="12" s="1"/>
  <c r="AL20" i="13" s="1"/>
  <c r="G517" i="12"/>
  <c r="J247" i="12"/>
  <c r="G270" i="12"/>
  <c r="V10" i="10"/>
  <c r="V445" i="1"/>
  <c r="W120" i="1"/>
  <c r="Z19" i="13"/>
  <c r="AB6" i="13"/>
  <c r="J324" i="12"/>
  <c r="G332" i="12"/>
  <c r="J278" i="12"/>
  <c r="G301" i="12"/>
  <c r="M445" i="1"/>
  <c r="M451" i="1" s="1"/>
  <c r="M120" i="1"/>
  <c r="M454" i="1"/>
  <c r="J460" i="12"/>
  <c r="O460" i="12" s="1"/>
  <c r="G470" i="12"/>
  <c r="W40" i="10"/>
  <c r="AJ32" i="15"/>
  <c r="L413" i="1"/>
  <c r="AF451" i="1"/>
  <c r="Z293" i="1"/>
  <c r="Z296" i="1" s="1"/>
  <c r="AA258" i="1"/>
  <c r="AA293" i="1" s="1"/>
  <c r="AA296" i="1" s="1"/>
  <c r="AB96" i="1"/>
  <c r="AB117" i="1"/>
  <c r="AC95" i="1"/>
  <c r="AB67" i="1"/>
  <c r="AA69" i="1"/>
  <c r="C87" i="11"/>
  <c r="D58" i="10"/>
  <c r="D62" i="10"/>
  <c r="E62" i="10"/>
  <c r="E58" i="10"/>
  <c r="F58" i="10"/>
  <c r="F62" i="10"/>
  <c r="H18" i="9"/>
  <c r="H30" i="9" s="1"/>
  <c r="X47" i="10"/>
  <c r="G86" i="11"/>
  <c r="G88" i="11" s="1"/>
  <c r="C12" i="11"/>
  <c r="D12" i="32" s="1"/>
  <c r="G67" i="11"/>
  <c r="G84" i="11" s="1"/>
  <c r="X17" i="10"/>
  <c r="AX17" i="10" s="1"/>
  <c r="AX32" i="15" l="1"/>
  <c r="AX36" i="15" s="1"/>
  <c r="AB47" i="10"/>
  <c r="H54" i="10"/>
  <c r="H58" i="10" s="1"/>
  <c r="R35" i="14"/>
  <c r="L19" i="13"/>
  <c r="L26" i="13" s="1"/>
  <c r="L30" i="13" s="1"/>
  <c r="I18" i="10"/>
  <c r="I22" i="10" s="1"/>
  <c r="I37" i="10" s="1"/>
  <c r="I52" i="10" s="1"/>
  <c r="I56" i="10"/>
  <c r="S42" i="10"/>
  <c r="Z42" i="10"/>
  <c r="AY16" i="10"/>
  <c r="AS35" i="14"/>
  <c r="J18" i="10"/>
  <c r="J22" i="10" s="1"/>
  <c r="J37" i="10" s="1"/>
  <c r="J52" i="10" s="1"/>
  <c r="O54" i="10"/>
  <c r="O62" i="10" s="1"/>
  <c r="T31" i="14"/>
  <c r="AQ35" i="10"/>
  <c r="AR35" i="10" s="1"/>
  <c r="AS35" i="10" s="1"/>
  <c r="S17" i="10"/>
  <c r="Q245" i="1"/>
  <c r="Q247" i="1" s="1"/>
  <c r="N11" i="10"/>
  <c r="N16" i="10"/>
  <c r="S15" i="10"/>
  <c r="M10" i="10"/>
  <c r="N15" i="10"/>
  <c r="N14" i="10"/>
  <c r="S11" i="10"/>
  <c r="S16" i="10"/>
  <c r="O413" i="1"/>
  <c r="C130" i="3"/>
  <c r="S14" i="10"/>
  <c r="S13" i="10"/>
  <c r="D69" i="11"/>
  <c r="C62" i="10"/>
  <c r="B62" i="10"/>
  <c r="AA47" i="10"/>
  <c r="AC47" i="10" s="1"/>
  <c r="AD47" i="10" s="1"/>
  <c r="AV10" i="10"/>
  <c r="AW10" i="10"/>
  <c r="C127" i="3"/>
  <c r="C129" i="3" s="1"/>
  <c r="H62" i="10"/>
  <c r="Z66" i="10"/>
  <c r="C433" i="31"/>
  <c r="U452" i="1"/>
  <c r="X413" i="1"/>
  <c r="Z19" i="10"/>
  <c r="J610" i="12"/>
  <c r="I413" i="1"/>
  <c r="X35" i="14"/>
  <c r="X31" i="14"/>
  <c r="V31" i="14"/>
  <c r="V35" i="14"/>
  <c r="G62" i="10"/>
  <c r="V413" i="1"/>
  <c r="M16" i="10"/>
  <c r="N120" i="1"/>
  <c r="N413" i="1" s="1"/>
  <c r="AP51" i="10"/>
  <c r="L62" i="10"/>
  <c r="L53" i="10"/>
  <c r="J563" i="12"/>
  <c r="K563" i="12" s="1"/>
  <c r="AM412" i="1"/>
  <c r="AM347" i="1"/>
  <c r="AM305" i="1"/>
  <c r="AQ26" i="10"/>
  <c r="AR26" i="10" s="1"/>
  <c r="AS26" i="10" s="1"/>
  <c r="Q230" i="1"/>
  <c r="P413" i="1"/>
  <c r="C32" i="6"/>
  <c r="C34" i="6" s="1"/>
  <c r="S459" i="1"/>
  <c r="S461" i="1"/>
  <c r="AB452" i="1"/>
  <c r="Q466" i="1"/>
  <c r="S464" i="1"/>
  <c r="S462" i="1"/>
  <c r="T458" i="1"/>
  <c r="T464" i="1" s="1"/>
  <c r="S463" i="1"/>
  <c r="P459" i="1"/>
  <c r="P466" i="1" s="1"/>
  <c r="AM247" i="1"/>
  <c r="Y445" i="1"/>
  <c r="Y451" i="1" s="1"/>
  <c r="Y452" i="1" s="1"/>
  <c r="Y120" i="1"/>
  <c r="Y413" i="1" s="1"/>
  <c r="Z106" i="1"/>
  <c r="AA104" i="1"/>
  <c r="Z116" i="1"/>
  <c r="Z120" i="1" s="1"/>
  <c r="Z413" i="1" s="1"/>
  <c r="R459" i="1"/>
  <c r="R466" i="1" s="1"/>
  <c r="Y66" i="10"/>
  <c r="Y67" i="10" s="1"/>
  <c r="AM170" i="1"/>
  <c r="E444" i="12"/>
  <c r="E470" i="12" s="1"/>
  <c r="J418" i="12"/>
  <c r="AH20" i="13" s="1"/>
  <c r="E402" i="12"/>
  <c r="E418" i="12" s="1"/>
  <c r="L373" i="12"/>
  <c r="M373" i="12" s="1"/>
  <c r="J373" i="12"/>
  <c r="AF20" i="13" s="1"/>
  <c r="R120" i="1"/>
  <c r="S120" i="1" s="1"/>
  <c r="AM120" i="1"/>
  <c r="AM296" i="1"/>
  <c r="W413" i="1"/>
  <c r="T52" i="10"/>
  <c r="N8" i="13"/>
  <c r="N13" i="13" s="1"/>
  <c r="N15" i="13" s="1"/>
  <c r="E309" i="12"/>
  <c r="E332" i="12" s="1"/>
  <c r="J301" i="12"/>
  <c r="AB20" i="13" s="1"/>
  <c r="AR11" i="10"/>
  <c r="AP14" i="10"/>
  <c r="R452" i="1"/>
  <c r="P452" i="1"/>
  <c r="E278" i="12"/>
  <c r="E301" i="12" s="1"/>
  <c r="J270" i="12"/>
  <c r="Z20" i="13" s="1"/>
  <c r="Z26" i="13" s="1"/>
  <c r="Z30" i="13" s="1"/>
  <c r="O452" i="1"/>
  <c r="AF452" i="1"/>
  <c r="K10" i="10"/>
  <c r="K18" i="10" s="1"/>
  <c r="K22" i="10" s="1"/>
  <c r="K37" i="10" s="1"/>
  <c r="M413" i="1"/>
  <c r="V451" i="1"/>
  <c r="S70" i="10"/>
  <c r="V18" i="10"/>
  <c r="Q452" i="1"/>
  <c r="W48" i="10"/>
  <c r="W53" i="10" s="1"/>
  <c r="M452" i="1"/>
  <c r="N452" i="1"/>
  <c r="E361" i="12"/>
  <c r="E373" i="12" s="1"/>
  <c r="J332" i="12"/>
  <c r="AD20" i="13" s="1"/>
  <c r="AB8" i="13"/>
  <c r="AB13" i="13" s="1"/>
  <c r="AB15" i="13" s="1"/>
  <c r="X11" i="10"/>
  <c r="AX11" i="10" s="1"/>
  <c r="AB69" i="1"/>
  <c r="AC67" i="1"/>
  <c r="AB116" i="1"/>
  <c r="AB120" i="1" s="1"/>
  <c r="AB413" i="1" s="1"/>
  <c r="AC117" i="1"/>
  <c r="AC96" i="1"/>
  <c r="I16" i="9"/>
  <c r="X66" i="10"/>
  <c r="X67" i="10" s="1"/>
  <c r="G43" i="9"/>
  <c r="G49" i="9" s="1"/>
  <c r="G35" i="9"/>
  <c r="X10" i="10"/>
  <c r="AX10" i="10" s="1"/>
  <c r="X13" i="10"/>
  <c r="AX13" i="10" s="1"/>
  <c r="X14" i="10"/>
  <c r="AX14" i="10" s="1"/>
  <c r="J56" i="10" l="1"/>
  <c r="J54" i="10"/>
  <c r="J58" i="10" s="1"/>
  <c r="I54" i="10"/>
  <c r="I62" i="10" s="1"/>
  <c r="S40" i="10"/>
  <c r="S48" i="10" s="1"/>
  <c r="S53" i="10" s="1"/>
  <c r="S413" i="1"/>
  <c r="AQ40" i="10"/>
  <c r="O415" i="1"/>
  <c r="D12" i="9"/>
  <c r="D16" i="9" s="1"/>
  <c r="D21" i="9" s="1"/>
  <c r="AA66" i="10"/>
  <c r="AZ19" i="10"/>
  <c r="V22" i="10"/>
  <c r="V37" i="10" s="1"/>
  <c r="V52" i="10" s="1"/>
  <c r="AV18" i="10"/>
  <c r="N610" i="12"/>
  <c r="AP20" i="13"/>
  <c r="K610" i="12"/>
  <c r="Z48" i="10"/>
  <c r="AN20" i="13"/>
  <c r="AM350" i="1"/>
  <c r="AM413" i="1" s="1"/>
  <c r="U458" i="1"/>
  <c r="U461" i="1" s="1"/>
  <c r="S466" i="1"/>
  <c r="T463" i="1"/>
  <c r="T460" i="1"/>
  <c r="T462" i="1"/>
  <c r="T459" i="1"/>
  <c r="T461" i="1"/>
  <c r="AA106" i="1"/>
  <c r="AA116" i="1"/>
  <c r="N10" i="10"/>
  <c r="N18" i="10" s="1"/>
  <c r="N22" i="10" s="1"/>
  <c r="N37" i="10" s="1"/>
  <c r="N52" i="10" s="1"/>
  <c r="X48" i="10"/>
  <c r="R413" i="1"/>
  <c r="N19" i="13"/>
  <c r="N26" i="13" s="1"/>
  <c r="N30" i="13" s="1"/>
  <c r="P6" i="13"/>
  <c r="W16" i="10"/>
  <c r="AS11" i="10"/>
  <c r="AR14" i="10"/>
  <c r="AS14" i="10" s="1"/>
  <c r="AD6" i="13"/>
  <c r="AB19" i="13"/>
  <c r="AB26" i="13" s="1"/>
  <c r="AB30" i="13" s="1"/>
  <c r="K52" i="10"/>
  <c r="K54" i="10"/>
  <c r="J467" i="12"/>
  <c r="J470" i="12" s="1"/>
  <c r="V452" i="1"/>
  <c r="X452" i="1"/>
  <c r="M13" i="10"/>
  <c r="M18" i="10" s="1"/>
  <c r="M22" i="10" s="1"/>
  <c r="M37" i="10" s="1"/>
  <c r="Q413" i="1"/>
  <c r="AC116" i="1"/>
  <c r="AC69" i="1"/>
  <c r="X15" i="10"/>
  <c r="AX15" i="10" s="1"/>
  <c r="I58" i="10" l="1"/>
  <c r="J62" i="10"/>
  <c r="AQ51" i="10"/>
  <c r="K56" i="10"/>
  <c r="K58" i="10" s="1"/>
  <c r="AP40" i="10"/>
  <c r="AR40" i="10" s="1"/>
  <c r="AS40" i="10" s="1"/>
  <c r="AB43" i="10"/>
  <c r="AC43" i="10" s="1"/>
  <c r="AD43" i="10" s="1"/>
  <c r="G34" i="9"/>
  <c r="G38" i="9" s="1"/>
  <c r="Z53" i="10"/>
  <c r="V54" i="10"/>
  <c r="AV54" i="10" s="1"/>
  <c r="AW16" i="10"/>
  <c r="AX16" i="10"/>
  <c r="U463" i="1"/>
  <c r="U459" i="1"/>
  <c r="V458" i="1"/>
  <c r="V461" i="1" s="1"/>
  <c r="U464" i="1"/>
  <c r="U462" i="1"/>
  <c r="U460" i="1"/>
  <c r="X53" i="10"/>
  <c r="T466" i="1"/>
  <c r="Y48" i="10"/>
  <c r="AA445" i="1"/>
  <c r="AA451" i="1" s="1"/>
  <c r="AA452" i="1" s="1"/>
  <c r="AA120" i="1"/>
  <c r="AA413" i="1" s="1"/>
  <c r="N54" i="10"/>
  <c r="N62" i="10" s="1"/>
  <c r="AM438" i="1"/>
  <c r="X19" i="10"/>
  <c r="AJ20" i="13"/>
  <c r="M469" i="12"/>
  <c r="K470" i="12"/>
  <c r="AD8" i="13"/>
  <c r="AD13" i="13" s="1"/>
  <c r="AD15" i="13" s="1"/>
  <c r="W18" i="10"/>
  <c r="P8" i="13"/>
  <c r="P13" i="13" s="1"/>
  <c r="P15" i="13" s="1"/>
  <c r="M52" i="10"/>
  <c r="M54" i="10"/>
  <c r="K62" i="10"/>
  <c r="AC120" i="1"/>
  <c r="AC445" i="1"/>
  <c r="V62" i="10" l="1"/>
  <c r="AX19" i="10"/>
  <c r="AY19" i="10"/>
  <c r="W22" i="10"/>
  <c r="W37" i="10" s="1"/>
  <c r="W52" i="10" s="1"/>
  <c r="AW18" i="10"/>
  <c r="V462" i="1"/>
  <c r="V463" i="1"/>
  <c r="V464" i="1"/>
  <c r="U466" i="1"/>
  <c r="V459" i="1"/>
  <c r="W458" i="1"/>
  <c r="W462" i="1" s="1"/>
  <c r="V460" i="1"/>
  <c r="Y53" i="10"/>
  <c r="P19" i="13"/>
  <c r="P26" i="13" s="1"/>
  <c r="P30" i="13" s="1"/>
  <c r="R6" i="13"/>
  <c r="M62" i="10"/>
  <c r="AF6" i="13"/>
  <c r="AD19" i="13"/>
  <c r="AD26" i="13" s="1"/>
  <c r="AD30" i="13" s="1"/>
  <c r="AC451" i="1"/>
  <c r="S10" i="10"/>
  <c r="S18" i="10" s="1"/>
  <c r="S22" i="10" s="1"/>
  <c r="S37" i="10" s="1"/>
  <c r="AC413" i="1"/>
  <c r="L56" i="10" l="1"/>
  <c r="L58" i="10" s="1"/>
  <c r="W464" i="1"/>
  <c r="W54" i="10"/>
  <c r="AW54" i="10" s="1"/>
  <c r="W461" i="1"/>
  <c r="W460" i="1"/>
  <c r="W463" i="1"/>
  <c r="X458" i="1"/>
  <c r="X464" i="1" s="1"/>
  <c r="W459" i="1"/>
  <c r="V466" i="1"/>
  <c r="R8" i="13"/>
  <c r="R13" i="13" s="1"/>
  <c r="R15" i="13" s="1"/>
  <c r="AF8" i="13"/>
  <c r="AF13" i="13" s="1"/>
  <c r="AF15" i="13" s="1"/>
  <c r="S54" i="10"/>
  <c r="S52" i="10"/>
  <c r="AE452" i="1"/>
  <c r="AC452" i="1"/>
  <c r="X18" i="10"/>
  <c r="AX18" i="10" s="1"/>
  <c r="W62" i="10" l="1"/>
  <c r="X459" i="1"/>
  <c r="X460" i="1"/>
  <c r="Y458" i="1"/>
  <c r="Z458" i="1" s="1"/>
  <c r="X461" i="1"/>
  <c r="X462" i="1"/>
  <c r="X463" i="1"/>
  <c r="W466" i="1"/>
  <c r="R19" i="13"/>
  <c r="R26" i="13" s="1"/>
  <c r="R30" i="13" s="1"/>
  <c r="T6" i="13"/>
  <c r="AH6" i="13"/>
  <c r="AF19" i="13"/>
  <c r="AF26" i="13" s="1"/>
  <c r="AF30" i="13" s="1"/>
  <c r="S58" i="10"/>
  <c r="S62" i="10"/>
  <c r="X22" i="10"/>
  <c r="T56" i="10" l="1"/>
  <c r="T58" i="10" s="1"/>
  <c r="AD58" i="10" s="1"/>
  <c r="M56" i="10"/>
  <c r="Y464" i="1"/>
  <c r="Y463" i="1"/>
  <c r="Y462" i="1"/>
  <c r="X466" i="1"/>
  <c r="Y460" i="1"/>
  <c r="Y461" i="1"/>
  <c r="Y459" i="1"/>
  <c r="X37" i="10"/>
  <c r="AH8" i="13"/>
  <c r="AH13" i="13" s="1"/>
  <c r="AH15" i="13" s="1"/>
  <c r="AA458" i="1"/>
  <c r="Z461" i="1"/>
  <c r="Z464" i="1"/>
  <c r="Z462" i="1"/>
  <c r="Z460" i="1"/>
  <c r="Z463" i="1"/>
  <c r="Z459" i="1"/>
  <c r="T8" i="13"/>
  <c r="T13" i="13" s="1"/>
  <c r="T15" i="13" s="1"/>
  <c r="AQ50" i="10"/>
  <c r="M58" i="10"/>
  <c r="AQ52" i="10" s="1"/>
  <c r="Y466" i="1" l="1"/>
  <c r="X54" i="10"/>
  <c r="X52" i="10"/>
  <c r="V6" i="13"/>
  <c r="T19" i="13"/>
  <c r="T26" i="13" s="1"/>
  <c r="T30" i="13" s="1"/>
  <c r="AB458" i="1"/>
  <c r="AA461" i="1"/>
  <c r="AA460" i="1"/>
  <c r="AA462" i="1"/>
  <c r="AA463" i="1"/>
  <c r="AA464" i="1"/>
  <c r="AA459" i="1"/>
  <c r="Z466" i="1"/>
  <c r="AJ6" i="13"/>
  <c r="AH19" i="13"/>
  <c r="AH26" i="13" s="1"/>
  <c r="AH30" i="13" s="1"/>
  <c r="N56" i="10" l="1"/>
  <c r="V56" i="10"/>
  <c r="V58" i="10" s="1"/>
  <c r="X62" i="10"/>
  <c r="AX54" i="10"/>
  <c r="AJ8" i="13"/>
  <c r="AJ13" i="13" s="1"/>
  <c r="AJ15" i="13" s="1"/>
  <c r="AC458" i="1"/>
  <c r="AB461" i="1"/>
  <c r="AB464" i="1"/>
  <c r="AB462" i="1"/>
  <c r="AB460" i="1"/>
  <c r="AB463" i="1"/>
  <c r="AB459" i="1"/>
  <c r="AP50" i="10"/>
  <c r="N58" i="10"/>
  <c r="AP52" i="10" s="1"/>
  <c r="AA466" i="1"/>
  <c r="V8" i="13"/>
  <c r="V13" i="13" s="1"/>
  <c r="V15" i="13" s="1"/>
  <c r="V19" i="13" s="1"/>
  <c r="V26" i="13" s="1"/>
  <c r="V30" i="13" s="1"/>
  <c r="O56" i="10" l="1"/>
  <c r="O58" i="10" s="1"/>
  <c r="AL6" i="13"/>
  <c r="AJ19" i="13"/>
  <c r="AJ26" i="13" s="1"/>
  <c r="AJ30" i="13" s="1"/>
  <c r="AC460" i="1"/>
  <c r="AC459" i="1"/>
  <c r="AC463" i="1"/>
  <c r="AC461" i="1"/>
  <c r="AC462" i="1"/>
  <c r="AC464" i="1"/>
  <c r="AD458" i="1"/>
  <c r="AS50" i="10"/>
  <c r="AR50" i="10"/>
  <c r="AB466" i="1"/>
  <c r="W56" i="10" l="1"/>
  <c r="W58" i="10" s="1"/>
  <c r="AC466" i="1"/>
  <c r="AE458" i="1"/>
  <c r="AD461" i="1"/>
  <c r="AD464" i="1"/>
  <c r="AD460" i="1"/>
  <c r="AD459" i="1"/>
  <c r="AD463" i="1"/>
  <c r="AD462" i="1"/>
  <c r="AL8" i="13"/>
  <c r="AL13" i="13" s="1"/>
  <c r="AL15" i="13" s="1"/>
  <c r="AN6" i="13" s="1"/>
  <c r="AL19" i="13" l="1"/>
  <c r="AL26" i="13" s="1"/>
  <c r="AL30" i="13" s="1"/>
  <c r="AN8" i="13"/>
  <c r="AN13" i="13" s="1"/>
  <c r="AN15" i="13" s="1"/>
  <c r="AD466" i="1"/>
  <c r="AE459" i="1"/>
  <c r="AE463" i="1"/>
  <c r="AE464" i="1"/>
  <c r="AE462" i="1"/>
  <c r="AE460" i="1"/>
  <c r="AE461" i="1"/>
  <c r="AF458" i="1"/>
  <c r="X56" i="10" l="1"/>
  <c r="X58" i="10" s="1"/>
  <c r="AP6" i="13"/>
  <c r="AN19" i="13"/>
  <c r="AE466" i="1"/>
  <c r="AH458" i="1"/>
  <c r="AF464" i="1"/>
  <c r="AF460" i="1"/>
  <c r="AF463" i="1"/>
  <c r="AF461" i="1"/>
  <c r="AF462" i="1"/>
  <c r="AF459" i="1"/>
  <c r="AP8" i="13" l="1"/>
  <c r="AP13" i="13"/>
  <c r="AN26" i="13"/>
  <c r="AF466" i="1"/>
  <c r="AH459" i="1"/>
  <c r="AH463" i="1"/>
  <c r="AI458" i="1"/>
  <c r="AH462" i="1"/>
  <c r="AH460" i="1"/>
  <c r="AH461" i="1"/>
  <c r="AH464" i="1"/>
  <c r="AP15" i="13" l="1"/>
  <c r="AN30" i="13"/>
  <c r="AI464" i="1"/>
  <c r="AI462" i="1"/>
  <c r="AI459" i="1"/>
  <c r="AI460" i="1"/>
  <c r="AI461" i="1"/>
  <c r="AI463" i="1"/>
  <c r="AH466" i="1"/>
  <c r="Y56" i="10" l="1"/>
  <c r="AP19" i="13"/>
  <c r="AP26" i="13" s="1"/>
  <c r="AP30" i="13" s="1"/>
  <c r="AR6" i="13"/>
  <c r="AI466" i="1"/>
  <c r="Z56" i="10" l="1"/>
  <c r="AR8" i="13"/>
  <c r="AR13" i="13" s="1"/>
  <c r="AR15" i="13" s="1"/>
  <c r="AR19" i="13" l="1"/>
  <c r="AR26" i="13" s="1"/>
  <c r="AR30" i="13" s="1"/>
  <c r="AT6" i="13"/>
  <c r="AN407" i="1"/>
  <c r="AA56" i="10" l="1"/>
  <c r="AT8" i="13"/>
  <c r="AT13" i="13" s="1"/>
  <c r="AT15" i="13" s="1"/>
  <c r="AT19" i="13" s="1"/>
  <c r="AT26" i="13" s="1"/>
  <c r="AT30" i="13" s="1"/>
  <c r="AN221" i="1"/>
  <c r="AB56" i="10" l="1"/>
  <c r="AC56" i="10" s="1"/>
  <c r="AD56" i="10" s="1"/>
  <c r="AP183" i="1"/>
  <c r="AQ183" i="1" l="1"/>
  <c r="C183" i="31"/>
  <c r="Z12" i="10"/>
  <c r="BA12" i="10" s="1"/>
  <c r="AP413" i="1"/>
  <c r="AN344" i="1"/>
  <c r="AN343" i="1"/>
  <c r="Y12" i="10"/>
  <c r="AY12" i="10" s="1"/>
  <c r="AN284" i="1"/>
  <c r="AN40" i="1"/>
  <c r="AN149" i="1"/>
  <c r="AN106" i="1"/>
  <c r="AN73" i="1"/>
  <c r="AN51" i="1"/>
  <c r="AN240" i="1"/>
  <c r="AN235" i="1"/>
  <c r="AN288" i="1"/>
  <c r="AN217" i="1"/>
  <c r="AN243" i="1"/>
  <c r="AN164" i="1"/>
  <c r="AN168" i="1"/>
  <c r="AN291" i="1"/>
  <c r="AN154" i="1"/>
  <c r="AN167" i="1"/>
  <c r="AN127" i="1"/>
  <c r="AN57" i="1"/>
  <c r="AN303" i="1"/>
  <c r="AN292" i="1"/>
  <c r="AN199" i="1"/>
  <c r="AN159" i="1"/>
  <c r="AN96" i="1"/>
  <c r="AN64" i="1"/>
  <c r="AN345" i="1"/>
  <c r="AN245" i="1"/>
  <c r="AN195" i="1"/>
  <c r="AN273" i="1"/>
  <c r="AN230" i="1"/>
  <c r="AN133" i="1"/>
  <c r="AN244" i="1"/>
  <c r="AN398" i="1"/>
  <c r="AN112" i="1"/>
  <c r="AN253" i="1"/>
  <c r="AN294" i="1"/>
  <c r="AM449" i="1" l="1"/>
  <c r="AM447" i="1"/>
  <c r="AM446" i="1"/>
  <c r="AZ12" i="10"/>
  <c r="C408" i="31"/>
  <c r="AN449" i="1"/>
  <c r="AN447" i="1"/>
  <c r="AN448" i="1"/>
  <c r="AM448" i="1"/>
  <c r="AN446" i="1"/>
  <c r="AN169" i="1"/>
  <c r="AN69" i="1"/>
  <c r="AN412" i="1"/>
  <c r="AN118" i="1"/>
  <c r="AN116" i="1"/>
  <c r="AN305" i="1"/>
  <c r="AN84" i="1"/>
  <c r="AN295" i="1"/>
  <c r="AN331" i="1"/>
  <c r="AN143" i="1"/>
  <c r="AN25" i="1"/>
  <c r="AN347" i="1"/>
  <c r="AN247" i="1"/>
  <c r="AN35" i="1"/>
  <c r="AN117" i="1"/>
  <c r="AN20" i="1"/>
  <c r="AN115" i="1"/>
  <c r="Y17" i="10" l="1"/>
  <c r="AY17" i="10" s="1"/>
  <c r="AM445" i="1"/>
  <c r="AM451" i="1" s="1"/>
  <c r="AN445" i="1"/>
  <c r="AN451" i="1" s="1"/>
  <c r="AN170" i="1"/>
  <c r="AN296" i="1"/>
  <c r="Y13" i="10"/>
  <c r="AN120" i="1"/>
  <c r="AN350" i="1"/>
  <c r="AZ17" i="10" l="1"/>
  <c r="Y11" i="10"/>
  <c r="Y14" i="10"/>
  <c r="AY14" i="10" s="1"/>
  <c r="AY13" i="10"/>
  <c r="AZ13" i="10"/>
  <c r="AN413" i="1"/>
  <c r="Y15" i="10"/>
  <c r="Y10" i="10"/>
  <c r="AZ11" i="10" l="1"/>
  <c r="AZ14" i="10"/>
  <c r="AY11" i="10"/>
  <c r="AY10" i="10"/>
  <c r="AY15" i="10"/>
  <c r="AZ15" i="10"/>
  <c r="Y18" i="10"/>
  <c r="AY18" i="10" s="1"/>
  <c r="Y22" i="10" l="1"/>
  <c r="Y37" i="10" l="1"/>
  <c r="Y52" i="10" s="1"/>
  <c r="Y54" i="10" l="1"/>
  <c r="AY54" i="10" l="1"/>
  <c r="Y62" i="10"/>
  <c r="Y58" i="10"/>
  <c r="AZ10" i="10"/>
  <c r="Z18" i="10"/>
  <c r="Z22" i="10" l="1"/>
  <c r="AZ18" i="10"/>
  <c r="Z37" i="10" l="1"/>
  <c r="Z54" i="10" l="1"/>
  <c r="Z52" i="10"/>
  <c r="AZ54" i="10" l="1"/>
  <c r="Z62" i="10"/>
  <c r="Z58" i="10"/>
  <c r="AA42" i="10"/>
  <c r="AC42" i="10" l="1"/>
  <c r="AD42" i="10" s="1"/>
  <c r="AB48" i="10"/>
  <c r="AB53" i="10" s="1"/>
  <c r="AA48" i="10"/>
  <c r="AC48" i="10" l="1"/>
  <c r="AD48" i="10" s="1"/>
  <c r="AA53" i="10"/>
  <c r="AC53" i="10" s="1"/>
  <c r="AD53" i="10" s="1"/>
  <c r="F283" i="29" l="1"/>
  <c r="F253" i="29"/>
  <c r="F347" i="29"/>
  <c r="F432" i="29"/>
  <c r="F416" i="29"/>
  <c r="F389" i="29"/>
  <c r="F409" i="29"/>
  <c r="F297" i="29"/>
  <c r="F221" i="29"/>
  <c r="F270" i="29"/>
  <c r="F282" i="29"/>
  <c r="F240" i="29"/>
  <c r="F414" i="29"/>
  <c r="F244" i="29"/>
  <c r="F392" i="29"/>
  <c r="F278" i="29"/>
  <c r="F234" i="29"/>
  <c r="F288" i="29"/>
  <c r="F313" i="29"/>
  <c r="F294" i="29"/>
  <c r="F224" i="29"/>
  <c r="F312" i="29"/>
  <c r="F267" i="29"/>
  <c r="F423" i="29"/>
  <c r="F346" i="29"/>
  <c r="F302" i="29"/>
  <c r="F345" i="29"/>
  <c r="F245" i="29"/>
  <c r="F178" i="29"/>
  <c r="F433" i="29"/>
  <c r="F258" i="29"/>
  <c r="F434" i="29"/>
  <c r="F421" i="29"/>
  <c r="F320" i="29"/>
  <c r="F422" i="29"/>
  <c r="F377" i="29"/>
  <c r="F175" i="29"/>
  <c r="F191" i="29"/>
  <c r="F378" i="29"/>
  <c r="F286" i="29"/>
  <c r="F232" i="29"/>
  <c r="F311" i="29"/>
  <c r="F277" i="29"/>
  <c r="F271" i="29"/>
  <c r="F299" i="29"/>
  <c r="F222" i="29"/>
  <c r="F399" i="29"/>
  <c r="F431" i="29"/>
  <c r="F174" i="29"/>
  <c r="F230" i="29"/>
  <c r="F172" i="29"/>
  <c r="F229" i="29"/>
  <c r="F411" i="29"/>
  <c r="F372" i="29"/>
  <c r="F287" i="29"/>
  <c r="F336" i="29"/>
  <c r="F397" i="29"/>
  <c r="F438" i="29"/>
  <c r="F300" i="29"/>
  <c r="F255" i="29"/>
  <c r="F212" i="29"/>
  <c r="F323" i="29"/>
  <c r="F202" i="29"/>
  <c r="F199" i="29"/>
  <c r="F337" i="29"/>
  <c r="F308" i="29"/>
  <c r="F386" i="29"/>
  <c r="F256" i="29"/>
  <c r="F405" i="29"/>
  <c r="F424" i="29"/>
  <c r="F195" i="29"/>
  <c r="F318" i="29"/>
  <c r="F393" i="29"/>
  <c r="F263" i="29"/>
  <c r="F291" i="29"/>
  <c r="F197" i="29"/>
  <c r="F403" i="29"/>
  <c r="F400" i="29"/>
  <c r="F404" i="29"/>
  <c r="F295" i="29"/>
  <c r="F373" i="29"/>
  <c r="F332" i="29"/>
  <c r="F235" i="29"/>
  <c r="F324" i="29"/>
  <c r="F360" i="29"/>
  <c r="F284" i="29"/>
  <c r="F353" i="29"/>
  <c r="F233" i="29"/>
  <c r="F333" i="29"/>
  <c r="F368" i="29"/>
  <c r="F406" i="29"/>
  <c r="F317" i="29"/>
  <c r="F217" i="29"/>
  <c r="F186" i="29"/>
  <c r="F216" i="29"/>
  <c r="F407" i="29"/>
  <c r="F355" i="29"/>
  <c r="F342" i="29"/>
  <c r="F292" i="29"/>
  <c r="F171" i="29"/>
  <c r="F189" i="29"/>
  <c r="F350" i="29"/>
  <c r="F359" i="29"/>
  <c r="F196" i="29"/>
  <c r="F387" i="29"/>
  <c r="F382" i="29"/>
  <c r="F374" i="29"/>
  <c r="F415" i="29"/>
  <c r="F269" i="29"/>
  <c r="F188" i="29"/>
  <c r="F275" i="29"/>
  <c r="F192" i="29"/>
  <c r="F265" i="29"/>
  <c r="F352" i="29"/>
  <c r="F223" i="29"/>
  <c r="F348" i="29"/>
  <c r="F173" i="29"/>
  <c r="F246" i="29"/>
  <c r="F228" i="29"/>
  <c r="F272" i="29"/>
  <c r="F290" i="29"/>
  <c r="F330" i="29"/>
  <c r="F316" i="29"/>
  <c r="F182" i="29"/>
  <c r="F268" i="29"/>
  <c r="F254" i="29"/>
  <c r="F326" i="29"/>
  <c r="F426" i="29"/>
  <c r="F383" i="29"/>
  <c r="F225" i="29"/>
  <c r="F365" i="29"/>
  <c r="F435" i="29"/>
  <c r="F343" i="29"/>
  <c r="F184" i="29"/>
  <c r="F358" i="29"/>
  <c r="F379" i="29"/>
  <c r="F236" i="29"/>
  <c r="F322" i="29"/>
  <c r="F427" i="29"/>
  <c r="F219" i="29"/>
  <c r="F335" i="29"/>
  <c r="F349" i="29"/>
  <c r="F264" i="29"/>
  <c r="F357" i="29"/>
  <c r="F247" i="29"/>
  <c r="F419" i="29"/>
  <c r="F285" i="29"/>
  <c r="F262" i="29"/>
  <c r="F257" i="29"/>
  <c r="F428" i="29"/>
  <c r="F327" i="29"/>
  <c r="F340" i="29"/>
  <c r="F371" i="29"/>
  <c r="F261" i="29"/>
  <c r="F370" i="29"/>
  <c r="F250" i="29"/>
  <c r="F309" i="29"/>
  <c r="F369" i="29"/>
  <c r="F329" i="29"/>
  <c r="F334" i="29"/>
  <c r="F339" i="29"/>
  <c r="F325" i="29"/>
  <c r="F187" i="29"/>
  <c r="F413" i="29"/>
  <c r="F276" i="29"/>
  <c r="F249" i="29"/>
  <c r="F279" i="29"/>
  <c r="F259" i="29"/>
  <c r="F204" i="29"/>
  <c r="F361" i="29"/>
  <c r="F266" i="29"/>
  <c r="F344" i="29"/>
  <c r="F341" i="29"/>
  <c r="F274" i="29"/>
  <c r="F203" i="29"/>
  <c r="F328" i="29"/>
  <c r="F430" i="29"/>
  <c r="F273" i="29"/>
  <c r="F306" i="29"/>
  <c r="F237" i="29"/>
  <c r="F338" i="29"/>
  <c r="F298" i="29"/>
  <c r="F366" i="29"/>
  <c r="F362" i="29"/>
  <c r="F364" i="29"/>
  <c r="F226" i="29"/>
  <c r="F408" i="29"/>
  <c r="F385" i="29"/>
  <c r="F307" i="29"/>
  <c r="F305" i="29"/>
  <c r="F201" i="29"/>
  <c r="F231" i="29"/>
  <c r="F281" i="29"/>
  <c r="F293" i="29"/>
  <c r="F429" i="29"/>
  <c r="F395" i="29"/>
  <c r="F384" i="29"/>
  <c r="F315" i="29"/>
  <c r="F248" i="29"/>
  <c r="F303" i="29"/>
  <c r="F218" i="29"/>
  <c r="F396" i="29"/>
  <c r="F375" i="29"/>
  <c r="F394" i="29"/>
  <c r="F319" i="29"/>
  <c r="F381" i="29"/>
  <c r="F418" i="29"/>
  <c r="F190" i="29"/>
  <c r="F242" i="29"/>
  <c r="F205" i="29"/>
  <c r="F176" i="29"/>
  <c r="F179" i="29"/>
  <c r="F289" i="29"/>
  <c r="F181" i="29"/>
  <c r="F402" i="29"/>
  <c r="F314" i="29"/>
  <c r="F238" i="29"/>
  <c r="F200" i="29"/>
  <c r="F241" i="29"/>
  <c r="F185" i="29"/>
  <c r="F398" i="29"/>
  <c r="F260" i="29"/>
  <c r="F280" i="29"/>
  <c r="F354" i="29"/>
  <c r="F388" i="29"/>
  <c r="F425" i="29"/>
  <c r="F177" i="29"/>
  <c r="F227" i="29"/>
  <c r="F304" i="29"/>
  <c r="F363" i="29"/>
  <c r="F193" i="29"/>
  <c r="F420" i="29"/>
  <c r="F356" i="29"/>
  <c r="F331" i="29"/>
  <c r="F180" i="29"/>
  <c r="F321" i="29"/>
  <c r="F243" i="29"/>
  <c r="F296" i="29"/>
  <c r="F437" i="29"/>
  <c r="F351" i="29"/>
  <c r="F390" i="29"/>
  <c r="F380" i="29"/>
  <c r="F367" i="29"/>
  <c r="F215" i="29"/>
  <c r="AR106" i="1"/>
  <c r="AR84" i="1"/>
  <c r="AS82" i="1"/>
  <c r="AS84" i="1" l="1"/>
  <c r="I82" i="29"/>
  <c r="AR40" i="1"/>
  <c r="AS40" i="1" l="1"/>
  <c r="AQ120" i="1" l="1"/>
  <c r="AQ413" i="1" s="1"/>
  <c r="AQ40" i="1"/>
  <c r="AR112" i="1"/>
  <c r="AR116" i="1"/>
  <c r="AS110" i="1"/>
  <c r="AS116" i="1" l="1"/>
  <c r="I110" i="29"/>
  <c r="I444" i="29" s="1"/>
  <c r="I445" i="29" s="1"/>
  <c r="AS112" i="1"/>
  <c r="AR57" i="1"/>
  <c r="AS56" i="1"/>
  <c r="AS57" i="1" l="1"/>
  <c r="AR69" i="1"/>
  <c r="AS68" i="1"/>
  <c r="AS69" i="1" s="1"/>
  <c r="AR117" i="1"/>
  <c r="AS117" i="1" l="1"/>
  <c r="AR120" i="1"/>
  <c r="AR413" i="1" l="1"/>
  <c r="AR458" i="1" s="1"/>
  <c r="AA10" i="10"/>
  <c r="BA10" i="10" s="1"/>
  <c r="AS120" i="1"/>
  <c r="AS413" i="1" l="1"/>
  <c r="AA18" i="10"/>
  <c r="AJ10" i="10"/>
  <c r="AK10" i="10" s="1"/>
  <c r="BA18" i="10" l="1"/>
  <c r="AJ18" i="10"/>
  <c r="AK18" i="10" s="1"/>
  <c r="F436" i="29" l="1"/>
  <c r="AR438" i="1"/>
  <c r="AU438" i="1" l="1"/>
  <c r="AV438" i="1" s="1"/>
  <c r="AA19" i="10"/>
  <c r="AC19" i="10" l="1"/>
  <c r="AD19" i="10" s="1"/>
  <c r="BA19" i="10"/>
  <c r="BB19" i="10"/>
  <c r="AI19" i="10"/>
  <c r="AJ19" i="10" s="1"/>
  <c r="AM19" i="10" s="1"/>
  <c r="AA22" i="10"/>
  <c r="C13" i="11"/>
  <c r="D13" i="32" s="1"/>
  <c r="AK19" i="10" l="1"/>
  <c r="AA37" i="10"/>
  <c r="AA54" i="10" l="1"/>
  <c r="AA52" i="10"/>
  <c r="AA62" i="10" l="1"/>
  <c r="AA58" i="10"/>
  <c r="AU58" i="10" s="1"/>
  <c r="AF58" i="10" l="1"/>
  <c r="AG58" i="10" s="1"/>
  <c r="AH58" i="10" s="1"/>
  <c r="AI12" i="10" s="1"/>
  <c r="AI57" i="10" s="1"/>
  <c r="AI58" i="10" s="1"/>
  <c r="AJ58" i="10" s="1"/>
  <c r="AJ12" i="10" l="1"/>
  <c r="AK12" i="10" l="1"/>
  <c r="AM12" i="10"/>
  <c r="AM57" i="10" s="1"/>
  <c r="AT18" i="10" l="1"/>
  <c r="AT374" i="1" l="1"/>
  <c r="AU374" i="1" s="1"/>
  <c r="AV374" i="1" s="1"/>
  <c r="AT373" i="1"/>
  <c r="AU373" i="1" s="1"/>
  <c r="AV373" i="1" s="1"/>
  <c r="AT372" i="1"/>
  <c r="AT361" i="1"/>
  <c r="AU361" i="1" s="1"/>
  <c r="AV361" i="1" s="1"/>
  <c r="AT360" i="1"/>
  <c r="AU360" i="1" s="1"/>
  <c r="AV360" i="1" s="1"/>
  <c r="AT382" i="1"/>
  <c r="AT250" i="1"/>
  <c r="AT227" i="1"/>
  <c r="AU227" i="1" s="1"/>
  <c r="AV227" i="1" s="1"/>
  <c r="AT193" i="1"/>
  <c r="AU433" i="1"/>
  <c r="AV433" i="1" s="1"/>
  <c r="AT157" i="1"/>
  <c r="AT32" i="1"/>
  <c r="AU32" i="1" l="1"/>
  <c r="AV32" i="1" s="1"/>
  <c r="AT359" i="1"/>
  <c r="AU250" i="1"/>
  <c r="AV250" i="1" s="1"/>
  <c r="AT228" i="1"/>
  <c r="AU228" i="1" s="1"/>
  <c r="AV228" i="1" s="1"/>
  <c r="AU372" i="1"/>
  <c r="AV372" i="1" s="1"/>
  <c r="AT376" i="1"/>
  <c r="AU157" i="1"/>
  <c r="AV157" i="1" s="1"/>
  <c r="AT159" i="1"/>
  <c r="AU193" i="1"/>
  <c r="AV193" i="1" s="1"/>
  <c r="AT384" i="1"/>
  <c r="AU382" i="1"/>
  <c r="AV382" i="1" s="1"/>
  <c r="AT104" i="1"/>
  <c r="AU104" i="1" s="1"/>
  <c r="AV104" i="1" s="1"/>
  <c r="AT213" i="1"/>
  <c r="AU213" i="1" s="1"/>
  <c r="AV213" i="1" s="1"/>
  <c r="AT110" i="1"/>
  <c r="AT49" i="1"/>
  <c r="AU49" i="1" s="1"/>
  <c r="AV49" i="1" s="1"/>
  <c r="AT48" i="1"/>
  <c r="AT310" i="1"/>
  <c r="AU310" i="1" s="1"/>
  <c r="AV310" i="1" s="1"/>
  <c r="AT56" i="1"/>
  <c r="AU56" i="1" s="1"/>
  <c r="AV56" i="1" s="1"/>
  <c r="AT158" i="1"/>
  <c r="AU158" i="1" s="1"/>
  <c r="AV158" i="1" s="1"/>
  <c r="AT309" i="1"/>
  <c r="AT251" i="1"/>
  <c r="AT17" i="1"/>
  <c r="AT271" i="1"/>
  <c r="AU271" i="1" s="1"/>
  <c r="AV271" i="1" s="1"/>
  <c r="AT225" i="1"/>
  <c r="AU225" i="1" s="1"/>
  <c r="AV225" i="1" s="1"/>
  <c r="AT142" i="1"/>
  <c r="AU142" i="1" s="1"/>
  <c r="AV142" i="1" s="1"/>
  <c r="AT81" i="1"/>
  <c r="AT24" i="1"/>
  <c r="AT252" i="1"/>
  <c r="AT220" i="1"/>
  <c r="AT239" i="1"/>
  <c r="AT234" i="1"/>
  <c r="AU234" i="1" s="1"/>
  <c r="AV234" i="1" s="1"/>
  <c r="AT233" i="1"/>
  <c r="AT194" i="1"/>
  <c r="AT152" i="1"/>
  <c r="AT131" i="1"/>
  <c r="BA131" i="1" s="1"/>
  <c r="AT130" i="1"/>
  <c r="AT126" i="1"/>
  <c r="AT123" i="1"/>
  <c r="AU123" i="1" s="1"/>
  <c r="AV123" i="1" s="1"/>
  <c r="AT103" i="1"/>
  <c r="AT93" i="1"/>
  <c r="AT83" i="1"/>
  <c r="AU83" i="1" s="1"/>
  <c r="AV83" i="1" s="1"/>
  <c r="AT39" i="1"/>
  <c r="AU39" i="1" s="1"/>
  <c r="AV39" i="1" s="1"/>
  <c r="AT60" i="1"/>
  <c r="AT19" i="1"/>
  <c r="AU19" i="1" s="1"/>
  <c r="AV19" i="1" s="1"/>
  <c r="AT14" i="1"/>
  <c r="AT147" i="1"/>
  <c r="AU147" i="1" s="1"/>
  <c r="AV147" i="1" s="1"/>
  <c r="AT299" i="1"/>
  <c r="AT18" i="1"/>
  <c r="AT55" i="1"/>
  <c r="AU55" i="1" s="1"/>
  <c r="AV55" i="1" s="1"/>
  <c r="AT33" i="1"/>
  <c r="AU33" i="1" s="1"/>
  <c r="AV33" i="1" s="1"/>
  <c r="AT163" i="1"/>
  <c r="AU163" i="1" s="1"/>
  <c r="AV163" i="1" s="1"/>
  <c r="AT38" i="1"/>
  <c r="AT111" i="1"/>
  <c r="AU111" i="1" s="1"/>
  <c r="AV111" i="1" s="1"/>
  <c r="AT162" i="1"/>
  <c r="AT300" i="1"/>
  <c r="AT50" i="1"/>
  <c r="AU50" i="1" s="1"/>
  <c r="AV50" i="1" s="1"/>
  <c r="AT54" i="1"/>
  <c r="AT94" i="1"/>
  <c r="AU94" i="1" s="1"/>
  <c r="AV94" i="1" s="1"/>
  <c r="AT105" i="1"/>
  <c r="AU105" i="1" s="1"/>
  <c r="AV105" i="1" s="1"/>
  <c r="AT146" i="1"/>
  <c r="AT148" i="1"/>
  <c r="AU148" i="1" s="1"/>
  <c r="AV148" i="1" s="1"/>
  <c r="AT61" i="1"/>
  <c r="AU61" i="1" s="1"/>
  <c r="AV61" i="1" s="1"/>
  <c r="AT141" i="1"/>
  <c r="AU141" i="1" s="1"/>
  <c r="AV141" i="1" s="1"/>
  <c r="AT335" i="1"/>
  <c r="AT214" i="1"/>
  <c r="AU214" i="1" s="1"/>
  <c r="AV214" i="1" s="1"/>
  <c r="AT287" i="1"/>
  <c r="AT283" i="1"/>
  <c r="AT62" i="1"/>
  <c r="AU62" i="1" s="1"/>
  <c r="AV62" i="1" s="1"/>
  <c r="AT72" i="1"/>
  <c r="AT224" i="1"/>
  <c r="AT272" i="1"/>
  <c r="AU272" i="1" s="1"/>
  <c r="AV272" i="1" s="1"/>
  <c r="AT390" i="1"/>
  <c r="BB130" i="1" l="1"/>
  <c r="BA130" i="1"/>
  <c r="BB159" i="1"/>
  <c r="BA159" i="1"/>
  <c r="AU131" i="1"/>
  <c r="AV131" i="1" s="1"/>
  <c r="BB131" i="1"/>
  <c r="AU159" i="1"/>
  <c r="AV159" i="1" s="1"/>
  <c r="AU376" i="1"/>
  <c r="AV376" i="1" s="1"/>
  <c r="AU384" i="1"/>
  <c r="AV384" i="1" s="1"/>
  <c r="AT244" i="1"/>
  <c r="AU244" i="1" s="1"/>
  <c r="AV244" i="1" s="1"/>
  <c r="AT253" i="1"/>
  <c r="AU24" i="1"/>
  <c r="AV24" i="1" s="1"/>
  <c r="AT25" i="1"/>
  <c r="AT344" i="1"/>
  <c r="AU344" i="1" s="1"/>
  <c r="AV344" i="1" s="1"/>
  <c r="AU300" i="1"/>
  <c r="AV300" i="1" s="1"/>
  <c r="AT208" i="1"/>
  <c r="AU335" i="1"/>
  <c r="AV335" i="1" s="1"/>
  <c r="AT336" i="1"/>
  <c r="AT106" i="1"/>
  <c r="AU103" i="1"/>
  <c r="AV103" i="1" s="1"/>
  <c r="AU81" i="1"/>
  <c r="AV81" i="1" s="1"/>
  <c r="AU60" i="1"/>
  <c r="AV60" i="1" s="1"/>
  <c r="AT64" i="1"/>
  <c r="AT294" i="1"/>
  <c r="AU294" i="1" s="1"/>
  <c r="AV294" i="1" s="1"/>
  <c r="AU252" i="1"/>
  <c r="AV252" i="1" s="1"/>
  <c r="AT212" i="1"/>
  <c r="AT34" i="1"/>
  <c r="AU18" i="1"/>
  <c r="AV18" i="1" s="1"/>
  <c r="AU390" i="1"/>
  <c r="AV390" i="1" s="1"/>
  <c r="AT391" i="1"/>
  <c r="AU162" i="1"/>
  <c r="AV162" i="1" s="1"/>
  <c r="AT164" i="1"/>
  <c r="AT15" i="1"/>
  <c r="AU14" i="1"/>
  <c r="AV14" i="1" s="1"/>
  <c r="AT112" i="1"/>
  <c r="AU110" i="1"/>
  <c r="AV110" i="1" s="1"/>
  <c r="AU287" i="1"/>
  <c r="AV287" i="1" s="1"/>
  <c r="AT288" i="1"/>
  <c r="AU299" i="1"/>
  <c r="AV299" i="1" s="1"/>
  <c r="AT343" i="1"/>
  <c r="AT20" i="1"/>
  <c r="AU17" i="1"/>
  <c r="AV17" i="1" s="1"/>
  <c r="AU239" i="1"/>
  <c r="AV239" i="1" s="1"/>
  <c r="AT240" i="1"/>
  <c r="AU126" i="1"/>
  <c r="AV126" i="1" s="1"/>
  <c r="AT292" i="1"/>
  <c r="AU292" i="1" s="1"/>
  <c r="AV292" i="1" s="1"/>
  <c r="AU251" i="1"/>
  <c r="AV251" i="1" s="1"/>
  <c r="AT270" i="1"/>
  <c r="AT73" i="1"/>
  <c r="AU72" i="1"/>
  <c r="AV72" i="1" s="1"/>
  <c r="AU130" i="1"/>
  <c r="AV130" i="1" s="1"/>
  <c r="AT154" i="1"/>
  <c r="AU152" i="1"/>
  <c r="AV152" i="1" s="1"/>
  <c r="AT40" i="1"/>
  <c r="AU38" i="1"/>
  <c r="AV38" i="1" s="1"/>
  <c r="AT195" i="1"/>
  <c r="AU194" i="1"/>
  <c r="AV194" i="1" s="1"/>
  <c r="AT235" i="1"/>
  <c r="AU233" i="1"/>
  <c r="AV233" i="1" s="1"/>
  <c r="AU359" i="1"/>
  <c r="AV359" i="1" s="1"/>
  <c r="AT363" i="1"/>
  <c r="AT284" i="1"/>
  <c r="AU283" i="1"/>
  <c r="AV283" i="1" s="1"/>
  <c r="AU93" i="1"/>
  <c r="AV93" i="1" s="1"/>
  <c r="AT96" i="1"/>
  <c r="AU224" i="1"/>
  <c r="AV224" i="1" s="1"/>
  <c r="AT230" i="1"/>
  <c r="AU54" i="1"/>
  <c r="AV54" i="1" s="1"/>
  <c r="AT57" i="1"/>
  <c r="AT221" i="1"/>
  <c r="AU220" i="1"/>
  <c r="AV220" i="1" s="1"/>
  <c r="AT115" i="1"/>
  <c r="AU48" i="1"/>
  <c r="AV48" i="1" s="1"/>
  <c r="AT51" i="1"/>
  <c r="AT203" i="1"/>
  <c r="AT149" i="1"/>
  <c r="AU146" i="1"/>
  <c r="AV146" i="1" s="1"/>
  <c r="AT311" i="1"/>
  <c r="AU309" i="1"/>
  <c r="AV309" i="1" s="1"/>
  <c r="AT198" i="1"/>
  <c r="AU396" i="1"/>
  <c r="AV396" i="1" s="1"/>
  <c r="AT132" i="1"/>
  <c r="BA132" i="1" s="1"/>
  <c r="AT68" i="1"/>
  <c r="AT82" i="1"/>
  <c r="AU82" i="1" s="1"/>
  <c r="AV82" i="1" s="1"/>
  <c r="AT301" i="1"/>
  <c r="AT303" i="1" s="1"/>
  <c r="AT330" i="1"/>
  <c r="AT124" i="1"/>
  <c r="AT140" i="1"/>
  <c r="BB235" i="1" l="1"/>
  <c r="BA235" i="1"/>
  <c r="BB20" i="1"/>
  <c r="BA20" i="1"/>
  <c r="BB64" i="1"/>
  <c r="BA64" i="1"/>
  <c r="BB336" i="1"/>
  <c r="BA336" i="1"/>
  <c r="BB391" i="1"/>
  <c r="BA391" i="1"/>
  <c r="BB96" i="1"/>
  <c r="BA96" i="1"/>
  <c r="BA15" i="1"/>
  <c r="BB15" i="1"/>
  <c r="BB164" i="1"/>
  <c r="BA164" i="1"/>
  <c r="BB284" i="1"/>
  <c r="BA284" i="1"/>
  <c r="BB363" i="1"/>
  <c r="BA363" i="1"/>
  <c r="BB25" i="1"/>
  <c r="BA25" i="1"/>
  <c r="BB51" i="1"/>
  <c r="BA51" i="1"/>
  <c r="BB40" i="1"/>
  <c r="BA40" i="1"/>
  <c r="BB154" i="1"/>
  <c r="BA154" i="1"/>
  <c r="BB240" i="1"/>
  <c r="BA240" i="1"/>
  <c r="BB73" i="1"/>
  <c r="BA73" i="1"/>
  <c r="BB288" i="1"/>
  <c r="BA288" i="1"/>
  <c r="BB57" i="1"/>
  <c r="BA57" i="1"/>
  <c r="BB230" i="1"/>
  <c r="BA230" i="1"/>
  <c r="BB112" i="1"/>
  <c r="BA112" i="1"/>
  <c r="BB106" i="1"/>
  <c r="BA106" i="1"/>
  <c r="BB253" i="1"/>
  <c r="BA253" i="1"/>
  <c r="AU132" i="1"/>
  <c r="AV132" i="1" s="1"/>
  <c r="BB132" i="1"/>
  <c r="AU64" i="1"/>
  <c r="AV64" i="1" s="1"/>
  <c r="AU230" i="1"/>
  <c r="AV230" i="1" s="1"/>
  <c r="AU235" i="1"/>
  <c r="AV235" i="1" s="1"/>
  <c r="AU106" i="1"/>
  <c r="AV106" i="1" s="1"/>
  <c r="AU20" i="1"/>
  <c r="AV20" i="1" s="1"/>
  <c r="AU112" i="1"/>
  <c r="AV112" i="1" s="1"/>
  <c r="AU96" i="1"/>
  <c r="AV96" i="1" s="1"/>
  <c r="AU288" i="1"/>
  <c r="AV288" i="1" s="1"/>
  <c r="AU51" i="1"/>
  <c r="AV51" i="1" s="1"/>
  <c r="AU336" i="1"/>
  <c r="AV336" i="1" s="1"/>
  <c r="AU15" i="1"/>
  <c r="AV15" i="1" s="1"/>
  <c r="AU57" i="1"/>
  <c r="AV57" i="1" s="1"/>
  <c r="AU25" i="1"/>
  <c r="AV25" i="1" s="1"/>
  <c r="AU253" i="1"/>
  <c r="AV253" i="1" s="1"/>
  <c r="AU73" i="1"/>
  <c r="AV73" i="1" s="1"/>
  <c r="AU195" i="1"/>
  <c r="AV195" i="1" s="1"/>
  <c r="AU164" i="1"/>
  <c r="AV164" i="1" s="1"/>
  <c r="AU311" i="1"/>
  <c r="AV311" i="1" s="1"/>
  <c r="AU221" i="1"/>
  <c r="AV221" i="1" s="1"/>
  <c r="AU40" i="1"/>
  <c r="AV40" i="1" s="1"/>
  <c r="AU149" i="1"/>
  <c r="AV149" i="1" s="1"/>
  <c r="AU154" i="1"/>
  <c r="AV154" i="1" s="1"/>
  <c r="AU240" i="1"/>
  <c r="AV240" i="1" s="1"/>
  <c r="AT116" i="1"/>
  <c r="AU116" i="1" s="1"/>
  <c r="AV116" i="1" s="1"/>
  <c r="AU343" i="1"/>
  <c r="AV343" i="1" s="1"/>
  <c r="AT217" i="1"/>
  <c r="AT243" i="1"/>
  <c r="AU212" i="1"/>
  <c r="AV212" i="1" s="1"/>
  <c r="AU208" i="1"/>
  <c r="AV208" i="1" s="1"/>
  <c r="AT209" i="1"/>
  <c r="AT305" i="1"/>
  <c r="AU303" i="1"/>
  <c r="AV303" i="1" s="1"/>
  <c r="AT169" i="1"/>
  <c r="AU169" i="1" s="1"/>
  <c r="AV169" i="1" s="1"/>
  <c r="AT118" i="1"/>
  <c r="AU118" i="1" s="1"/>
  <c r="AV118" i="1" s="1"/>
  <c r="AU34" i="1"/>
  <c r="AV34" i="1" s="1"/>
  <c r="AT167" i="1"/>
  <c r="AT143" i="1"/>
  <c r="AU140" i="1"/>
  <c r="AV140" i="1" s="1"/>
  <c r="AT331" i="1"/>
  <c r="AU330" i="1"/>
  <c r="AV330" i="1" s="1"/>
  <c r="AU203" i="1"/>
  <c r="AV203" i="1" s="1"/>
  <c r="AT204" i="1"/>
  <c r="AU115" i="1"/>
  <c r="AV115" i="1" s="1"/>
  <c r="AT291" i="1"/>
  <c r="AT273" i="1"/>
  <c r="AU270" i="1"/>
  <c r="AV270" i="1" s="1"/>
  <c r="AT127" i="1"/>
  <c r="AU124" i="1"/>
  <c r="AV124" i="1" s="1"/>
  <c r="AT168" i="1"/>
  <c r="AU168" i="1" s="1"/>
  <c r="AV168" i="1" s="1"/>
  <c r="AT117" i="1"/>
  <c r="AU117" i="1" s="1"/>
  <c r="AV117" i="1" s="1"/>
  <c r="AT69" i="1"/>
  <c r="AU68" i="1"/>
  <c r="AV68" i="1" s="1"/>
  <c r="AT394" i="1"/>
  <c r="AT35" i="1"/>
  <c r="AU284" i="1"/>
  <c r="AV284" i="1" s="1"/>
  <c r="AT295" i="1"/>
  <c r="AU295" i="1" s="1"/>
  <c r="AV295" i="1" s="1"/>
  <c r="AT133" i="1"/>
  <c r="AT345" i="1"/>
  <c r="AU345" i="1" s="1"/>
  <c r="AV345" i="1" s="1"/>
  <c r="AU301" i="1"/>
  <c r="AV301" i="1" s="1"/>
  <c r="AU198" i="1"/>
  <c r="AV198" i="1" s="1"/>
  <c r="AT199" i="1"/>
  <c r="AT386" i="1"/>
  <c r="AB16" i="10" s="1"/>
  <c r="AU363" i="1"/>
  <c r="AV363" i="1" s="1"/>
  <c r="AU391" i="1"/>
  <c r="AV391" i="1" s="1"/>
  <c r="AT84" i="1"/>
  <c r="BB217" i="1" l="1"/>
  <c r="BA217" i="1"/>
  <c r="BB133" i="1"/>
  <c r="BA133" i="1"/>
  <c r="BB331" i="1"/>
  <c r="BA331" i="1"/>
  <c r="BB127" i="1"/>
  <c r="BA127" i="1"/>
  <c r="BB386" i="1"/>
  <c r="BA386" i="1"/>
  <c r="BB35" i="1"/>
  <c r="BA35" i="1"/>
  <c r="BB273" i="1"/>
  <c r="BA273" i="1"/>
  <c r="BB143" i="1"/>
  <c r="BA143" i="1"/>
  <c r="BB84" i="1"/>
  <c r="BA84" i="1"/>
  <c r="BB305" i="1"/>
  <c r="BA305" i="1"/>
  <c r="BB69" i="1"/>
  <c r="BA69" i="1"/>
  <c r="AU305" i="1"/>
  <c r="AV305" i="1" s="1"/>
  <c r="AU35" i="1"/>
  <c r="AV35" i="1" s="1"/>
  <c r="AU204" i="1"/>
  <c r="AV204" i="1" s="1"/>
  <c r="AU217" i="1"/>
  <c r="AV217" i="1" s="1"/>
  <c r="AU84" i="1"/>
  <c r="AV84" i="1" s="1"/>
  <c r="AU331" i="1"/>
  <c r="AV331" i="1" s="1"/>
  <c r="AU199" i="1"/>
  <c r="AV199" i="1" s="1"/>
  <c r="AU143" i="1"/>
  <c r="AV143" i="1" s="1"/>
  <c r="AU69" i="1"/>
  <c r="AV69" i="1" s="1"/>
  <c r="AU127" i="1"/>
  <c r="AV127" i="1" s="1"/>
  <c r="AU273" i="1"/>
  <c r="AV273" i="1" s="1"/>
  <c r="AU133" i="1"/>
  <c r="AV133" i="1" s="1"/>
  <c r="AU291" i="1"/>
  <c r="AV291" i="1" s="1"/>
  <c r="AT296" i="1"/>
  <c r="AT398" i="1"/>
  <c r="AU394" i="1"/>
  <c r="AV394" i="1" s="1"/>
  <c r="AU386" i="1"/>
  <c r="AV386" i="1" s="1"/>
  <c r="AU209" i="1"/>
  <c r="AV209" i="1" s="1"/>
  <c r="AT245" i="1"/>
  <c r="AU245" i="1" s="1"/>
  <c r="AV245" i="1" s="1"/>
  <c r="AU243" i="1"/>
  <c r="AV243" i="1" s="1"/>
  <c r="AT120" i="1"/>
  <c r="AT347" i="1"/>
  <c r="AU167" i="1"/>
  <c r="AV167" i="1" s="1"/>
  <c r="AT170" i="1"/>
  <c r="BB120" i="1" l="1"/>
  <c r="BA120" i="1"/>
  <c r="BB398" i="1"/>
  <c r="BA398" i="1"/>
  <c r="BB170" i="1"/>
  <c r="BA170" i="1"/>
  <c r="BB296" i="1"/>
  <c r="BA296" i="1"/>
  <c r="AT247" i="1"/>
  <c r="BA247" i="1" s="1"/>
  <c r="AB11" i="10"/>
  <c r="AU170" i="1"/>
  <c r="AV170" i="1" s="1"/>
  <c r="AC16" i="10"/>
  <c r="AD16" i="10" s="1"/>
  <c r="BB16" i="10"/>
  <c r="BC16" i="10"/>
  <c r="BD16" i="10" s="1"/>
  <c r="AT350" i="1"/>
  <c r="AU347" i="1"/>
  <c r="AV347" i="1" s="1"/>
  <c r="AU398" i="1"/>
  <c r="AV398" i="1" s="1"/>
  <c r="AT412" i="1"/>
  <c r="AB17" i="10" s="1"/>
  <c r="AB14" i="10"/>
  <c r="AU296" i="1"/>
  <c r="AV296" i="1" s="1"/>
  <c r="AB10" i="10"/>
  <c r="AU120" i="1"/>
  <c r="AV120" i="1" s="1"/>
  <c r="BB412" i="1" l="1"/>
  <c r="BA412" i="1"/>
  <c r="BB350" i="1"/>
  <c r="BA350" i="1"/>
  <c r="AU247" i="1"/>
  <c r="AV247" i="1" s="1"/>
  <c r="BB247" i="1"/>
  <c r="AB13" i="10"/>
  <c r="AC13" i="10" s="1"/>
  <c r="AD13" i="10" s="1"/>
  <c r="AT413" i="1"/>
  <c r="BA413" i="1" s="1"/>
  <c r="BC10" i="10"/>
  <c r="BD10" i="10" s="1"/>
  <c r="AC10" i="10"/>
  <c r="BB10" i="10"/>
  <c r="AU350" i="1"/>
  <c r="AV350" i="1" s="1"/>
  <c r="AB15" i="10"/>
  <c r="BB11" i="10"/>
  <c r="BC11" i="10"/>
  <c r="BD11" i="10" s="1"/>
  <c r="AC11" i="10"/>
  <c r="AD11" i="10" s="1"/>
  <c r="BB14" i="10"/>
  <c r="AC14" i="10"/>
  <c r="AD14" i="10" s="1"/>
  <c r="BC14" i="10"/>
  <c r="BD14" i="10" s="1"/>
  <c r="AU412" i="1"/>
  <c r="AV412" i="1" s="1"/>
  <c r="BC13" i="10" l="1"/>
  <c r="BD13" i="10" s="1"/>
  <c r="BB13" i="10"/>
  <c r="AT458" i="1"/>
  <c r="BB413" i="1"/>
  <c r="D11" i="11"/>
  <c r="E11" i="32" s="1"/>
  <c r="AU413" i="1"/>
  <c r="AV413" i="1" s="1"/>
  <c r="AB18" i="10"/>
  <c r="BC15" i="10"/>
  <c r="BD15" i="10" s="1"/>
  <c r="AC15" i="10"/>
  <c r="AD15" i="10" s="1"/>
  <c r="BB15" i="10"/>
  <c r="BB17" i="10"/>
  <c r="AC17" i="10"/>
  <c r="AD17" i="10" s="1"/>
  <c r="BC17" i="10"/>
  <c r="BD17" i="10" s="1"/>
  <c r="AO17" i="10"/>
  <c r="AD10" i="10"/>
  <c r="BC18" i="10" l="1"/>
  <c r="BD18" i="10" s="1"/>
  <c r="AN20" i="10"/>
  <c r="C11" i="11"/>
  <c r="D67" i="11"/>
  <c r="D84" i="11" s="1"/>
  <c r="C84" i="11" s="1"/>
  <c r="AC18" i="10"/>
  <c r="AD18" i="10" s="1"/>
  <c r="BB18" i="10"/>
  <c r="AQ17" i="10"/>
  <c r="AP17" i="10"/>
  <c r="C86" i="11" l="1"/>
  <c r="C88" i="11" s="1"/>
  <c r="D11" i="32"/>
  <c r="C68" i="11"/>
  <c r="C67" i="11"/>
  <c r="C69" i="11" l="1"/>
  <c r="AB20" i="10" s="1"/>
  <c r="AC20" i="10" s="1"/>
  <c r="AD20" i="10" s="1"/>
  <c r="AB22" i="10" l="1"/>
  <c r="AB37" i="10" l="1"/>
  <c r="AC37" i="10" s="1"/>
  <c r="AD37" i="10" s="1"/>
  <c r="AC22" i="10"/>
  <c r="AD22" i="10" s="1"/>
  <c r="AB54" i="10"/>
  <c r="AB62" i="10" s="1"/>
  <c r="AB52" i="10"/>
  <c r="AC52" i="10" s="1"/>
  <c r="AD52" i="10" s="1"/>
  <c r="AB58" i="10" l="1"/>
  <c r="AC54" i="10"/>
  <c r="AD54" i="10" s="1"/>
  <c r="AT58" i="10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ETAIL BUDGET LINE ITEMS" description="Connection to the 'DETAIL BUDGET LINE ITEMS' query in the workbook." type="5" refreshedVersion="0" background="1">
    <dbPr connection="Provider=Microsoft.Mashup.OleDb.1;Data Source=$Workbook$;Location=DETAIL BUDGET LINE ITEMS;Extended Properties=&quot;&quot;" command="SELECT * FROM [DETAIL BUDGET LINE ITEMS]"/>
  </connection>
  <connection id="2" xr16:uid="{00000000-0015-0000-FFFF-FFFF01000000}" keepAlive="1" name="Query - DETAIL BUDGET LINE ITEMS (2)" description="Connection to the 'DETAIL BUDGET LINE ITEMS (2)' query in the workbook." type="5" refreshedVersion="0" background="1">
    <dbPr connection="Provider=Microsoft.Mashup.OleDb.1;Data Source=$Workbook$;Location=DETAIL BUDGET LINE ITEMS (2);Extended Properties=&quot;&quot;" command="SELECT * FROM [DETAIL BUDGET LINE ITEMS (2)]"/>
  </connection>
</connections>
</file>

<file path=xl/sharedStrings.xml><?xml version="1.0" encoding="utf-8"?>
<sst xmlns="http://schemas.openxmlformats.org/spreadsheetml/2006/main" count="4639" uniqueCount="1315">
  <si>
    <t>FY-2010-final</t>
  </si>
  <si>
    <t>OK, revote for</t>
  </si>
  <si>
    <t>second cruiser</t>
  </si>
  <si>
    <t>$99 vote:</t>
  </si>
  <si>
    <t>Needs vote</t>
  </si>
  <si>
    <t>Same</t>
  </si>
  <si>
    <t>Memorandum: Current certified Free Cash:</t>
  </si>
  <si>
    <t xml:space="preserve">     a.  Cost appropriated in the enterprise fund</t>
  </si>
  <si>
    <t>PROOF</t>
  </si>
  <si>
    <t xml:space="preserve">F.    FISCAL YEAR LEVY CEILING </t>
  </si>
  <si>
    <t>Gasoline/Diesel:</t>
  </si>
  <si>
    <t>FY10 NEDSV</t>
  </si>
  <si>
    <t>Budgetary Model 0:</t>
  </si>
  <si>
    <t>FY-2012</t>
    <phoneticPr fontId="39" type="noConversion"/>
  </si>
  <si>
    <t>FY-2013</t>
    <phoneticPr fontId="39" type="noConversion"/>
  </si>
  <si>
    <t>Pension</t>
  </si>
  <si>
    <t>Projected 2013</t>
    <phoneticPr fontId="39" type="noConversion"/>
  </si>
  <si>
    <t>FY-2008</t>
  </si>
  <si>
    <t>FY-2009</t>
  </si>
  <si>
    <t>Projected 2008</t>
  </si>
  <si>
    <t>Projected 2011</t>
  </si>
  <si>
    <t>FY-2011</t>
  </si>
  <si>
    <t>Indirect cost $110,116, don't know details</t>
    <phoneticPr fontId="39" type="noConversion"/>
  </si>
  <si>
    <t>Review</t>
  </si>
  <si>
    <t>Reimbursements</t>
  </si>
  <si>
    <t>FY08NEDS</t>
  </si>
  <si>
    <t>FY07GDSEXP</t>
  </si>
  <si>
    <t>check:</t>
  </si>
  <si>
    <t>FY12NEDS</t>
  </si>
  <si>
    <t>A1.  ADD AMENDED NEW GROWTH</t>
  </si>
  <si>
    <t>D.    ADD OVERRIDE(s)</t>
  </si>
  <si>
    <t>E.    FISCAL YEAR SUBTOTAL</t>
  </si>
  <si>
    <t>FY12GDSEXP</t>
    <phoneticPr fontId="39" type="noConversion"/>
  </si>
  <si>
    <t>FY13DSEXC</t>
    <phoneticPr fontId="39" type="noConversion"/>
  </si>
  <si>
    <t>GENERAL LONG-TERM DEBT</t>
  </si>
  <si>
    <t xml:space="preserve">   Total Revenues</t>
  </si>
  <si>
    <t xml:space="preserve">          Other DEBT SERVICE PRIN &amp; INT </t>
  </si>
  <si>
    <r>
      <t xml:space="preserve">       </t>
    </r>
    <r>
      <rPr>
        <i/>
        <sz val="8"/>
        <rFont val="Arial"/>
        <family val="2"/>
      </rPr>
      <t>Other : Retained Earnings ATM Sp. Arts.</t>
    </r>
  </si>
  <si>
    <t>NB: Numbers from Nina,</t>
  </si>
  <si>
    <t>OF FUNDING: PLANNING PURPOSES</t>
  </si>
  <si>
    <t>2. School Transportation Programs Ch. 71, 71A, 71B and 74</t>
  </si>
  <si>
    <t>FY09 NEDSV</t>
  </si>
  <si>
    <t>Projected 2010</t>
  </si>
  <si>
    <t>CAPITAL EQUIP.</t>
  </si>
  <si>
    <t xml:space="preserve"> DIESEL &amp; GASOLINE</t>
  </si>
  <si>
    <t xml:space="preserve">  (To Recap, Sch. B, col (e)</t>
  </si>
  <si>
    <t>a</t>
  </si>
  <si>
    <t>To Recap Summary IIA</t>
    <phoneticPr fontId="39" type="noConversion"/>
  </si>
  <si>
    <t>FISCAL 17</t>
    <phoneticPr fontId="39" type="noConversion"/>
  </si>
  <si>
    <t>Bridges/Roads:</t>
  </si>
  <si>
    <t>Exclusive of Water Dep't articles</t>
  </si>
  <si>
    <t>All Dep'ts</t>
  </si>
  <si>
    <t>BUDGET FISCAL YEAR 20011</t>
  </si>
  <si>
    <t>BUDGET FISCAL YEAR 2011</t>
  </si>
  <si>
    <t>APPROVED</t>
  </si>
  <si>
    <t>(date)</t>
  </si>
  <si>
    <t>2010 BUDGET</t>
  </si>
  <si>
    <t>C.  TOTAL ESTIMATED RECEIPTS</t>
  </si>
  <si>
    <t>FISCAL 06</t>
  </si>
  <si>
    <t>SALARY</t>
  </si>
  <si>
    <t>Replace &amp; Repair 2 Bridges</t>
  </si>
  <si>
    <t>EST.</t>
    <phoneticPr fontId="39" type="noConversion"/>
  </si>
  <si>
    <t>5-YR ROLLING AVG</t>
  </si>
  <si>
    <t>C.  CAPITAL EXCLUSIONS(S)</t>
  </si>
  <si>
    <t>ATM Art's</t>
  </si>
  <si>
    <t xml:space="preserve"> Difference</t>
  </si>
  <si>
    <t>ACTUAL</t>
    <phoneticPr fontId="39" type="noConversion"/>
  </si>
  <si>
    <t>FY-2014</t>
    <phoneticPr fontId="39" type="noConversion"/>
  </si>
  <si>
    <t>Police:</t>
  </si>
  <si>
    <t>Fire:</t>
  </si>
  <si>
    <t>Ambulance contract</t>
  </si>
  <si>
    <t>Sub-Total:  All General Government</t>
  </si>
  <si>
    <t>FY-10 App.</t>
  </si>
  <si>
    <t>Budgetary increases FY-10 to FY-11</t>
  </si>
  <si>
    <t>Pension liability</t>
  </si>
  <si>
    <t>10.  Exemptions:  Elderly Ch. 59, s5 cl 41, 41B, 41C</t>
  </si>
  <si>
    <t>FY-2010</t>
  </si>
  <si>
    <t>FY09GDSEXP</t>
  </si>
  <si>
    <t>FY10DSEXC</t>
  </si>
  <si>
    <t>DISCLAIMER: THIS DOCUMENT IS A "WORK-IN-PROGRESS'. IT HAS BEEN PREPARED FOR AND IS INTENDED</t>
  </si>
  <si>
    <t>1.  7/1/07 FREE CASH CERTIFICATION</t>
  </si>
  <si>
    <t>Net delta:</t>
  </si>
  <si>
    <t>D.  OTHER ADJUSTMENT</t>
  </si>
  <si>
    <t>E.  WATER/SEWER</t>
  </si>
  <si>
    <t xml:space="preserve"> CONTRACT SERVICES</t>
  </si>
  <si>
    <t>A.  LEVY LIMIT FROM 1 ABOVE</t>
  </si>
  <si>
    <t>B.  DEBT EXCLUSION(S)(PREVIOUSLY APPROVED)</t>
  </si>
  <si>
    <t>BUDGET FISCALYEAR 2008 FIN COM RECOMMENDED</t>
  </si>
  <si>
    <t>2.  TO CALCULATE THE MAXIMUM ALLOWABLE LEVY</t>
  </si>
  <si>
    <t xml:space="preserve">    ( WATER SHARE 1.57M) </t>
  </si>
  <si>
    <t xml:space="preserve">    WATER MAIN 8/11/94</t>
  </si>
  <si>
    <t xml:space="preserve">     PW BLDG WATER SHARE 03/01/01</t>
  </si>
  <si>
    <t xml:space="preserve">          OTHER ATM WARRANT ARTICLES</t>
  </si>
  <si>
    <t xml:space="preserve">   SALE OF LOTS</t>
  </si>
  <si>
    <t>LONG-TERM DEBT INTEREST</t>
  </si>
  <si>
    <t xml:space="preserve">   LIFE/MEDICAL/MEDICARE</t>
  </si>
  <si>
    <t>Elementary:</t>
  </si>
  <si>
    <t>Masconomet (Op. Budget):</t>
  </si>
  <si>
    <t>North Shore Voc. Ed:</t>
  </si>
  <si>
    <t>IT IS NOT TO BE CONSIDERED AS A RECOMMENDATION OF THE FINANCE COMMITTEE.</t>
  </si>
  <si>
    <t xml:space="preserve">BUDGET FISCAL YEAR 2006 TO </t>
  </si>
  <si>
    <t>CERTIFICATION  of NOTES</t>
  </si>
  <si>
    <t xml:space="preserve">        </t>
  </si>
  <si>
    <t>GENERAL GOV'T:  SUB-TOTAL</t>
  </si>
  <si>
    <t>$ difference</t>
  </si>
  <si>
    <t>% Diff.</t>
  </si>
  <si>
    <t xml:space="preserve">  Receipts:</t>
  </si>
  <si>
    <t>State (Local aid):</t>
  </si>
  <si>
    <t>Local Receipts</t>
  </si>
  <si>
    <t>FY10NEDS</t>
  </si>
  <si>
    <t>Total income:</t>
  </si>
  <si>
    <t>Appropriations:</t>
  </si>
  <si>
    <t>% Increase</t>
  </si>
  <si>
    <t>Budgets as a whole:</t>
  </si>
  <si>
    <t>GASPE audit:</t>
  </si>
  <si>
    <t>ANNUAL ESSEX NORTH SHORE AG/Tech SCH DIST ASSM.</t>
    <phoneticPr fontId="39" type="noConversion"/>
  </si>
  <si>
    <t>ANNUAL MASCONOMET REGIONAL SCH. DIST. ASSMT</t>
    <phoneticPr fontId="39" type="noConversion"/>
  </si>
  <si>
    <t>Estim'd Receipts</t>
  </si>
  <si>
    <t>Act. Receipts</t>
  </si>
  <si>
    <t>Other</t>
  </si>
  <si>
    <t>FY-2011 Est.</t>
  </si>
  <si>
    <t>ATM 2009</t>
  </si>
  <si>
    <t>A. Unrestricted gen'l gov't assistance</t>
  </si>
  <si>
    <t>10.5. Exemptions - lump-sum</t>
  </si>
  <si>
    <t>FY14GDSEXP</t>
    <phoneticPr fontId="39" type="noConversion"/>
  </si>
  <si>
    <t>FY15DSEXC</t>
    <phoneticPr fontId="39" type="noConversion"/>
  </si>
  <si>
    <t>G.  MAXIMUM ALLOWABLE LEVY</t>
  </si>
  <si>
    <t>FY13NEDS</t>
    <phoneticPr fontId="39" type="noConversion"/>
  </si>
  <si>
    <t>Appropriated in the Enterprise Funds</t>
  </si>
  <si>
    <t>School bldg assist</t>
  </si>
  <si>
    <t xml:space="preserve">Total Sources of Funding for Costs </t>
  </si>
  <si>
    <t>FY08DSEXC</t>
  </si>
  <si>
    <t>FY07 NEDSV</t>
  </si>
  <si>
    <t>FY-06 actual</t>
  </si>
  <si>
    <t xml:space="preserve">     FIRE TRUCK 2010</t>
  </si>
  <si>
    <t xml:space="preserve">  DEBT INSURANCE</t>
  </si>
  <si>
    <t xml:space="preserve">   S.T. PRINC. PAY-DOWN</t>
  </si>
  <si>
    <t xml:space="preserve">   WATER ENTERPRISE</t>
  </si>
  <si>
    <t xml:space="preserve">To Schedule B, Col. (e) </t>
  </si>
  <si>
    <t>Sub-Total:  All Education Items</t>
  </si>
  <si>
    <t>ACTUAL</t>
    <phoneticPr fontId="39" type="noConversion"/>
  </si>
  <si>
    <t>was</t>
    <phoneticPr fontId="39" type="noConversion"/>
  </si>
  <si>
    <t>655066.07-357064.85</t>
    <phoneticPr fontId="39" type="noConversion"/>
  </si>
  <si>
    <t xml:space="preserve">     b.  Taxation </t>
  </si>
  <si>
    <t xml:space="preserve">     a.  Revenue and available funds</t>
  </si>
  <si>
    <t>B.    ADD (A &amp; A1) X 2.5%</t>
  </si>
  <si>
    <t>=</t>
  </si>
  <si>
    <t>(e)</t>
  </si>
  <si>
    <t xml:space="preserve">   TRUST FUNDS</t>
  </si>
  <si>
    <t>PARK AND CEMETERY</t>
  </si>
  <si>
    <t>+</t>
  </si>
  <si>
    <t>SALARIES AND WAGES</t>
  </si>
  <si>
    <t xml:space="preserve">   GENERAL GOVERNMENT</t>
  </si>
  <si>
    <t>CULTURE AND RECREATION</t>
  </si>
  <si>
    <t>LIBRARY</t>
  </si>
  <si>
    <t xml:space="preserve">   BOOKS</t>
  </si>
  <si>
    <t xml:space="preserve">   SUB-TOTAL</t>
  </si>
  <si>
    <t>$</t>
  </si>
  <si>
    <t>%</t>
  </si>
  <si>
    <t xml:space="preserve">DIFFERENCE </t>
  </si>
  <si>
    <t xml:space="preserve"> </t>
  </si>
  <si>
    <t xml:space="preserve">  (Must equal total part 2a)</t>
  </si>
  <si>
    <t>Snow and Ice:</t>
  </si>
  <si>
    <t xml:space="preserve">FY-09 </t>
  </si>
  <si>
    <t>VOTED</t>
  </si>
  <si>
    <t>SCHEDULE A-3:  REVOLVING FUNDS CH. 44 S53E 1/2</t>
  </si>
  <si>
    <t>DATE OF VOTE</t>
  </si>
  <si>
    <t>ART. 4TH: WATER DEP'T (ENTERPRISE)</t>
  </si>
  <si>
    <t>WAGES, NON-UNION</t>
  </si>
  <si>
    <t>WAGES, UNION:</t>
  </si>
  <si>
    <t>estimates based on refi.</t>
  </si>
  <si>
    <t xml:space="preserve">   LIAB./ACC./WORKM'S COMP., S.BONDS</t>
  </si>
  <si>
    <t xml:space="preserve">   CAPITAL  (LEASES)</t>
  </si>
  <si>
    <t xml:space="preserve">   ROADS &amp; BRIDGES</t>
  </si>
  <si>
    <t xml:space="preserve">   SUPPLIES, SERVICES</t>
  </si>
  <si>
    <t>Request</t>
  </si>
  <si>
    <t>Budget</t>
  </si>
  <si>
    <t>FISCAL 10</t>
  </si>
  <si>
    <t>FIN COM EST.</t>
  </si>
  <si>
    <t>FY14 NEDSV</t>
    <phoneticPr fontId="39" type="noConversion"/>
  </si>
  <si>
    <t xml:space="preserve">     c.  Free Cash</t>
  </si>
  <si>
    <t xml:space="preserve">     d.  Non-Enterprise Available Funds</t>
  </si>
  <si>
    <t>11. State Owned Lands</t>
  </si>
  <si>
    <t>Sub-Total:  Education and Alll General Government</t>
  </si>
  <si>
    <t>Indirect costs</t>
  </si>
  <si>
    <t>Minimum Free Cash Position:</t>
  </si>
  <si>
    <t>FISCAL 11</t>
  </si>
  <si>
    <t xml:space="preserve">     WATER MAINS 2010</t>
  </si>
  <si>
    <t>Check</t>
  </si>
  <si>
    <t>FY-07 actual</t>
  </si>
  <si>
    <t>Projected 2012</t>
  </si>
  <si>
    <t>FY-2012</t>
  </si>
  <si>
    <t>Projected 2014</t>
    <phoneticPr fontId="39" type="noConversion"/>
  </si>
  <si>
    <t>FY15NEDS</t>
    <phoneticPr fontId="39" type="noConversion"/>
  </si>
  <si>
    <t>FY2010</t>
  </si>
  <si>
    <t>CEMETERY REVOLVING FUND</t>
  </si>
  <si>
    <t>CONSERVATION COMMISSION REVOLVING FUND</t>
  </si>
  <si>
    <t>OK 03/25/06</t>
  </si>
  <si>
    <t>A.  EDUCATION</t>
  </si>
  <si>
    <t>Distributions and Reimbursements:</t>
  </si>
  <si>
    <t>FISCAL 12</t>
  </si>
  <si>
    <t>*b</t>
  </si>
  <si>
    <t>B.  DEBT EXCLUSION(S)(YET TO BE APPROVED)</t>
  </si>
  <si>
    <t>TOTAL LONG -TERM DEBT PRINCIPAL</t>
  </si>
  <si>
    <t>Other reductions</t>
  </si>
  <si>
    <t>SCHEDULE A-2, PAGE 2</t>
  </si>
  <si>
    <t xml:space="preserve">          TOTAL ARTICLE 3RD</t>
  </si>
  <si>
    <t xml:space="preserve">          DEBT SERVICE</t>
  </si>
  <si>
    <t>Public Works:</t>
  </si>
  <si>
    <t>Highway Dep't gen'l op.</t>
  </si>
  <si>
    <t>Park &amp; Cemetery:</t>
  </si>
  <si>
    <t>Education:</t>
  </si>
  <si>
    <t xml:space="preserve">          GENERAL GOVERNMENT</t>
  </si>
  <si>
    <t>2.  Total Cost Appropriated</t>
  </si>
  <si>
    <t>AMOUNT</t>
  </si>
  <si>
    <t>FY2008</t>
  </si>
  <si>
    <t>LONG -TERM DEBT PRINCIPAL</t>
  </si>
  <si>
    <t xml:space="preserve">    MUNICIPAL PURPOSE OF ' 87</t>
  </si>
  <si>
    <t>VETERANS BENEFITS</t>
  </si>
  <si>
    <t>SNOW AND ICE</t>
  </si>
  <si>
    <t>STREET LIGHTS</t>
  </si>
  <si>
    <t>PUBLIC WKS &amp; FACIL: SUB-TOTAL</t>
  </si>
  <si>
    <t>HUMAN SERVICES</t>
  </si>
  <si>
    <t>HUMAN SERVICES:  SUB-TOTAL</t>
  </si>
  <si>
    <t xml:space="preserve">          MASCONOMET REGIONAL SCHOOL</t>
  </si>
  <si>
    <t xml:space="preserve">   VET. BNFTS</t>
  </si>
  <si>
    <t>SOLDIERS &amp; SAILORS GRAVES</t>
  </si>
  <si>
    <t>SUBTOTAL:    HUMAN SERVICES</t>
  </si>
  <si>
    <t xml:space="preserve">   TOWN MAPPING/SCHOOL REMODEL</t>
  </si>
  <si>
    <t xml:space="preserve">   FIRE PUMPER [3.85%]</t>
  </si>
  <si>
    <t>Insurance (Health):</t>
  </si>
  <si>
    <t>Total Art. III:</t>
  </si>
  <si>
    <t>ATM Articles:</t>
  </si>
  <si>
    <t>Reserve fund:</t>
  </si>
  <si>
    <t xml:space="preserve"> Uncontrolled items:</t>
  </si>
  <si>
    <t>Debt service:</t>
  </si>
  <si>
    <t>Insurance (Liability):</t>
  </si>
  <si>
    <t>FY-2014</t>
  </si>
  <si>
    <t>FY-2015</t>
    <phoneticPr fontId="39" type="noConversion"/>
  </si>
  <si>
    <t>1.  Enterprise Revenues &amp; Available Funds</t>
  </si>
  <si>
    <t xml:space="preserve">          Salaries and wages</t>
  </si>
  <si>
    <t xml:space="preserve">      User Charges</t>
  </si>
  <si>
    <t xml:space="preserve">          Expenses</t>
  </si>
  <si>
    <t xml:space="preserve">           3.  FINAL COURT JUDGMENTS</t>
  </si>
  <si>
    <t xml:space="preserve">OTHER </t>
  </si>
  <si>
    <t>VET'S BENEFITS</t>
  </si>
  <si>
    <t xml:space="preserve">       FISCAL YEAR LEVY LIMIT</t>
  </si>
  <si>
    <t xml:space="preserve"> ADMIN. EXPENDITURES</t>
  </si>
  <si>
    <t xml:space="preserve">   </t>
  </si>
  <si>
    <t>MOSQUITO CONTROL</t>
  </si>
  <si>
    <t>Res. Police</t>
  </si>
  <si>
    <t>BUDGET FISCAL YEAR Projection</t>
  </si>
  <si>
    <t>TOTAL SALARIES (EX'T WATER DEP'T):</t>
  </si>
  <si>
    <t>14.  DEPARTMENTAL REVENUE--CEMETERIES</t>
  </si>
  <si>
    <t>A.    FISCAL LEVY LIMIT:</t>
  </si>
  <si>
    <t>FY08 NEDSV</t>
  </si>
  <si>
    <t>FY08GDSEXP</t>
  </si>
  <si>
    <t>FY09NEDS</t>
  </si>
  <si>
    <t>FY09DSEXC</t>
  </si>
  <si>
    <t>FY-08 act</t>
  </si>
  <si>
    <t>FY2009</t>
  </si>
  <si>
    <t>MINIMUM RESERVE LEVY CAPACITY TO MAINTAIN (new for FY12)</t>
  </si>
  <si>
    <t>Not sure where 10,500 belongs</t>
    <phoneticPr fontId="39" type="noConversion"/>
  </si>
  <si>
    <t>Asbury/Rowley bridge</t>
  </si>
  <si>
    <t>FISCAL 14</t>
    <phoneticPr fontId="39" type="noConversion"/>
  </si>
  <si>
    <t>FISCAL 14</t>
    <phoneticPr fontId="39" type="noConversion"/>
  </si>
  <si>
    <t>FISCAL 08</t>
  </si>
  <si>
    <t>6. Police Career Incentive, Ch. 41, s.108L</t>
  </si>
  <si>
    <t xml:space="preserve">   HUMAN SERVICES</t>
  </si>
  <si>
    <t xml:space="preserve">   CULTURE &amp; RECREATION</t>
  </si>
  <si>
    <t>EXCESS LEVY CAPACITY: (UNDER) OR OVER MAX. ALL. LEVY</t>
  </si>
  <si>
    <t>(Negative represents general fund subsidy)</t>
  </si>
  <si>
    <t>1. Lottery, Beano and Charity Games</t>
  </si>
  <si>
    <t>2. Additional Assistance</t>
  </si>
  <si>
    <t>MEMO ONLY</t>
  </si>
  <si>
    <t xml:space="preserve">  </t>
  </si>
  <si>
    <t>TOTAL ESTIMATED RECEIPTS AND REVENUE:</t>
  </si>
  <si>
    <t>TOTAL TAX LEVY:</t>
  </si>
  <si>
    <t>MAXIMUM ALLOWABLE LEVY:</t>
  </si>
  <si>
    <t xml:space="preserve">   PUBLIC SAFETY</t>
  </si>
  <si>
    <t xml:space="preserve">   PUBLIC WORKS</t>
  </si>
  <si>
    <t xml:space="preserve">    </t>
  </si>
  <si>
    <t>B.  GENERAL GOVERNMENT</t>
  </si>
  <si>
    <t>(d)</t>
  </si>
  <si>
    <t>TOTAL MASCO FIN COM ASSMNT</t>
  </si>
  <si>
    <t>COMPARISON OF</t>
  </si>
  <si>
    <t xml:space="preserve">  GASB-45</t>
  </si>
  <si>
    <t xml:space="preserve"> TOTAL-GASB-45</t>
  </si>
  <si>
    <t xml:space="preserve">   GASB-45</t>
  </si>
  <si>
    <t>EXPENDED</t>
  </si>
  <si>
    <t>BUDGET</t>
  </si>
  <si>
    <t xml:space="preserve">BUDGET </t>
  </si>
  <si>
    <t xml:space="preserve">       MULTIPURPOSE MARCH 2001</t>
  </si>
  <si>
    <t xml:space="preserve">    SALARY</t>
  </si>
  <si>
    <t>SELECTMEN</t>
  </si>
  <si>
    <t xml:space="preserve"> MODERATOR</t>
  </si>
  <si>
    <t>SCHEDULE DE-1</t>
  </si>
  <si>
    <t>SOLID WASTE FUND</t>
  </si>
  <si>
    <t>SELECTMEN'S SPECIAL</t>
  </si>
  <si>
    <t xml:space="preserve">   TOTAL </t>
  </si>
  <si>
    <t>DEBT EXCLUSION FORM</t>
  </si>
  <si>
    <t>DEPARTMENT</t>
  </si>
  <si>
    <t xml:space="preserve">TYPE OF </t>
  </si>
  <si>
    <t>Funds</t>
  </si>
  <si>
    <t>Enterprise Funds</t>
  </si>
  <si>
    <t>12.  Public Libraries, Ch. 78, s 19</t>
  </si>
  <si>
    <t>OF FUNDING:  BUDGET PLANNING PURPOSES</t>
  </si>
  <si>
    <t xml:space="preserve">APPROPRIATIONS AND SOURCES                                                                                                </t>
  </si>
  <si>
    <t>Total</t>
  </si>
  <si>
    <t>From Raise &amp;</t>
  </si>
  <si>
    <t>From</t>
  </si>
  <si>
    <t>From Other</t>
  </si>
  <si>
    <t>WAGES</t>
  </si>
  <si>
    <t>Library security:</t>
  </si>
  <si>
    <t>FY11GDSEXP</t>
  </si>
  <si>
    <t xml:space="preserve">      to deal with budgetary uncertainties.</t>
  </si>
  <si>
    <t>House voted:</t>
  </si>
  <si>
    <t>Subtotal ATM capital warrants:</t>
  </si>
  <si>
    <t xml:space="preserve">          Unanticipated emergencies</t>
  </si>
  <si>
    <t>FISCAL 07</t>
  </si>
  <si>
    <t>TOTAL:</t>
  </si>
  <si>
    <t>OK 3/25/06</t>
  </si>
  <si>
    <r>
      <t>T</t>
    </r>
    <r>
      <rPr>
        <b/>
        <sz val="8"/>
        <rFont val="Arial"/>
        <family val="2"/>
      </rPr>
      <t>OTAL</t>
    </r>
    <r>
      <rPr>
        <sz val="8"/>
        <rFont val="Arial"/>
        <family val="2"/>
      </rPr>
      <t>:</t>
    </r>
  </si>
  <si>
    <t>Insurance and pension projected from last year by % increases from Budget (R327, R334)</t>
  </si>
  <si>
    <t>FY10GDSEXP</t>
  </si>
  <si>
    <t>FY11NEDS</t>
  </si>
  <si>
    <t>FY11DSEXC</t>
  </si>
  <si>
    <t>SUBTOTAL DEBT SERVICE</t>
  </si>
  <si>
    <t>FY-11 Levy Limit:</t>
  </si>
  <si>
    <t>Tri-Town</t>
  </si>
  <si>
    <t>Source is Fiscal 2007 Recap Sheet</t>
  </si>
  <si>
    <t>3.  FY 2007 RECAP</t>
  </si>
  <si>
    <t>Free cash</t>
  </si>
  <si>
    <t>Approp.</t>
  </si>
  <si>
    <t>From:</t>
  </si>
  <si>
    <t>1.  CALCULATION OF THE FISCAL LEVY LIMIT</t>
  </si>
  <si>
    <t>F.  MAXIMUM ALLOWABLE LEVY</t>
  </si>
  <si>
    <t>-</t>
  </si>
  <si>
    <r>
      <t xml:space="preserve">  </t>
    </r>
    <r>
      <rPr>
        <b/>
        <u/>
        <sz val="8"/>
        <rFont val="Arial"/>
        <family val="2"/>
      </rPr>
      <t>LESS</t>
    </r>
    <r>
      <rPr>
        <sz val="8"/>
        <rFont val="Arial"/>
        <family val="2"/>
      </rPr>
      <t xml:space="preserve"> Indirect Costs.</t>
    </r>
  </si>
  <si>
    <t xml:space="preserve">FINANCE COMMITTEE PROJECTED </t>
  </si>
  <si>
    <t>SCHEDULE A-2 PAGE 1</t>
  </si>
  <si>
    <t>FINANCE COMMITTEE RECOMMENDED 2007</t>
  </si>
  <si>
    <t>3.  FISCAL 2007 RECAP</t>
  </si>
  <si>
    <t xml:space="preserve">          OTHER EXPENDITURES (PENSIONS/INSURANCE)</t>
  </si>
  <si>
    <t>proof total all town meetings</t>
  </si>
  <si>
    <t xml:space="preserve">          HUMAN SERVICES</t>
  </si>
  <si>
    <t xml:space="preserve">          CULTURE AND RECREATION</t>
  </si>
  <si>
    <t>FY2007 NET</t>
  </si>
  <si>
    <t>DIFFERENCE</t>
  </si>
  <si>
    <t>TAX RECAP</t>
  </si>
  <si>
    <t>Comments</t>
  </si>
  <si>
    <t>II.  AMOUNT TO BE RAISED:</t>
  </si>
  <si>
    <t xml:space="preserve">    A.  APPROPRIATIONS:</t>
  </si>
  <si>
    <t xml:space="preserve">         EDUCATION:  ELEMENTARY SCHOOLS</t>
  </si>
  <si>
    <t>RATE</t>
  </si>
  <si>
    <t>TERM</t>
  </si>
  <si>
    <t>HAWC</t>
  </si>
  <si>
    <t xml:space="preserve">  OTHER</t>
  </si>
  <si>
    <t>BUDGET</t>
    <phoneticPr fontId="39" type="noConversion"/>
  </si>
  <si>
    <t>APPROVED</t>
    <phoneticPr fontId="39" type="noConversion"/>
  </si>
  <si>
    <t>BOARD OF HEALTH</t>
  </si>
  <si>
    <t>LANDFILL</t>
    <phoneticPr fontId="39" type="noConversion"/>
  </si>
  <si>
    <t>FIRE EQUIPMENT</t>
    <phoneticPr fontId="39" type="noConversion"/>
  </si>
  <si>
    <t>PUBLIC WORKS &amp; FACILITIES</t>
  </si>
  <si>
    <t>TOWN ENGINEER</t>
  </si>
  <si>
    <t>GENERAL HIGHWAY</t>
  </si>
  <si>
    <t>CULTURAL COUNCIL</t>
  </si>
  <si>
    <t xml:space="preserve">    MULTIPURPOSE MUNICIPAL 03/01/01</t>
  </si>
  <si>
    <t xml:space="preserve">   MUNICIPAL PURPOSE OF '87</t>
  </si>
  <si>
    <t xml:space="preserve">   ( WATER SHARE 1.57 M)</t>
  </si>
  <si>
    <t>Elem Sch Renov &amp; Expan</t>
  </si>
  <si>
    <t>TOTAL LONG-TERM DEBT INTEREST</t>
  </si>
  <si>
    <t xml:space="preserve">      Connection Fees</t>
  </si>
  <si>
    <t xml:space="preserve">   WATER MAIN 8/11/94 </t>
  </si>
  <si>
    <t>WATER ENTERPRISE</t>
  </si>
  <si>
    <t>Actual Receipts</t>
  </si>
  <si>
    <t>Estimated Receipts</t>
  </si>
  <si>
    <t xml:space="preserve">          TOTAL:  APPROPRIATIONS</t>
  </si>
  <si>
    <t xml:space="preserve">    B.   OTHER AMOUNTS TO BE RAISED:</t>
  </si>
  <si>
    <t xml:space="preserve">           1.  AMOUNTS CERTIFIED FOR TAX TITLE PURPOSES</t>
  </si>
  <si>
    <t>Police Dep't</t>
  </si>
  <si>
    <t xml:space="preserve">   % CHANGE</t>
  </si>
  <si>
    <t>FISCAL 09</t>
  </si>
  <si>
    <t xml:space="preserve">           2.  DEBT &amp; INTEREST CHARGES NOT IN SCH. B</t>
  </si>
  <si>
    <t>7.   CHARGES FOR SERVICES--HOSPITAL</t>
  </si>
  <si>
    <t>3.   PENALTY AND INTEREST ON TAXES</t>
  </si>
  <si>
    <t>6.   CHARGES FOR SERVICES--SEWER</t>
  </si>
  <si>
    <t>8.   CHARGES FOR SERVICES--TRASH DISPOSAL</t>
  </si>
  <si>
    <t>To Recap Summary Part 3, B1, Estimated Local Receipts for appropriate Fiscal Year.</t>
  </si>
  <si>
    <t>1. Chapter 70 + charter tuition reimb</t>
    <phoneticPr fontId="39" type="noConversion"/>
  </si>
  <si>
    <t xml:space="preserve">   (Part 2)</t>
  </si>
  <si>
    <t xml:space="preserve">      less:   Prior year deficit</t>
  </si>
  <si>
    <t xml:space="preserve">      BRIDGE REPAIR 2010</t>
  </si>
  <si>
    <t xml:space="preserve">C.    ADD  NEW GROWTH  </t>
  </si>
  <si>
    <t>Projected 2009</t>
  </si>
  <si>
    <t>SOLELY FOR THE USE OF THE TOPSFIELD FINANCE COMMITTEE FOR MODELING AND PLANNING PURPOSES.</t>
  </si>
  <si>
    <t>FY-2013</t>
    <phoneticPr fontId="39" type="noConversion"/>
  </si>
  <si>
    <t>FY12 NEDSV</t>
    <phoneticPr fontId="39" type="noConversion"/>
  </si>
  <si>
    <t>4.  FY 2008 RECAP</t>
  </si>
  <si>
    <t>FY12DSEXC</t>
  </si>
  <si>
    <t>EST.</t>
  </si>
  <si>
    <t>TOTAL SCH A :  ESTIMATED LOCAL RECEIPTS</t>
  </si>
  <si>
    <t xml:space="preserve">     in the Enterprise Fund</t>
  </si>
  <si>
    <t>FY11 NEDSV</t>
  </si>
  <si>
    <t xml:space="preserve">      Revenue &amp; available funds</t>
  </si>
  <si>
    <t xml:space="preserve">          Other:  LEGAL</t>
  </si>
  <si>
    <r>
      <t xml:space="preserve">  </t>
    </r>
    <r>
      <rPr>
        <b/>
        <i/>
        <u/>
        <sz val="8"/>
        <rFont val="Arial"/>
        <family val="2"/>
      </rPr>
      <t>LESS</t>
    </r>
    <r>
      <rPr>
        <i/>
        <sz val="8"/>
        <rFont val="Arial"/>
        <family val="2"/>
      </rPr>
      <t xml:space="preserve"> Indirect Costs.</t>
    </r>
  </si>
  <si>
    <t>AMOUNT OVER/(UNDER) ALLOWABLE LEVY</t>
  </si>
  <si>
    <t xml:space="preserve">TOTAL VALUATION:  </t>
  </si>
  <si>
    <t>TAX RATE:</t>
  </si>
  <si>
    <t>3.  Calculation of the General Fund Subsidy</t>
  </si>
  <si>
    <t xml:space="preserve">     E.     TOTAL ESTIMATED RECEIPTS &amp; OTHER REV. SOURCES</t>
  </si>
  <si>
    <t>TOTAL AMOUNT TO BE RAISED</t>
  </si>
  <si>
    <t>ART. 4TH WATER DEPT:  TOTAL</t>
  </si>
  <si>
    <t>ART. 8TH NORTH SHORE VO-TECH</t>
  </si>
  <si>
    <t xml:space="preserve">ART.5TH MASCONOMET </t>
  </si>
  <si>
    <t xml:space="preserve">  SHARE OF OPER &amp; MAIN.</t>
  </si>
  <si>
    <t xml:space="preserve">  DEBT SERVICE</t>
  </si>
  <si>
    <t>APPROPRIATIONS</t>
  </si>
  <si>
    <t>AUTHORIZATIONS</t>
  </si>
  <si>
    <t>(a)</t>
  </si>
  <si>
    <t>(b)</t>
  </si>
  <si>
    <t>(c)</t>
  </si>
  <si>
    <t xml:space="preserve">       MULTIPURPOSE MARCH 2002</t>
  </si>
  <si>
    <t>CONSERVATION COMMISSION</t>
  </si>
  <si>
    <t>TOWN OF TOPSFIELD</t>
  </si>
  <si>
    <t xml:space="preserve">   PENSIONS</t>
  </si>
  <si>
    <t>MULTIPURPOSE 2011</t>
  </si>
  <si>
    <t>AUTHORIZED</t>
  </si>
  <si>
    <t>RECEIPTS</t>
  </si>
  <si>
    <t xml:space="preserve">ACTUAL </t>
  </si>
  <si>
    <t>See B-1</t>
  </si>
  <si>
    <t>CREDITED</t>
  </si>
  <si>
    <t>COMMENTS</t>
  </si>
  <si>
    <t>GENERAL GOVERNMENT</t>
  </si>
  <si>
    <t xml:space="preserve">    BUREAU OF ACCOUNTS</t>
  </si>
  <si>
    <t>BUDGET FISCAL YEAR 2007</t>
  </si>
  <si>
    <t>FY2007</t>
  </si>
  <si>
    <t xml:space="preserve"> 2/12/98</t>
  </si>
  <si>
    <t>Emerson field:</t>
  </si>
  <si>
    <t>Appropriation</t>
  </si>
  <si>
    <t>Total Tax levy:</t>
  </si>
  <si>
    <t>Variance: over-(under)</t>
  </si>
  <si>
    <t xml:space="preserve">Public Safety </t>
  </si>
  <si>
    <t xml:space="preserve">         Unanticipated emergency</t>
  </si>
  <si>
    <t>2.  Total Cost recommended</t>
  </si>
  <si>
    <t>FREE CASH CERTIFICATION &amp; APPROPRIATION</t>
  </si>
  <si>
    <t xml:space="preserve">Dep't </t>
  </si>
  <si>
    <t xml:space="preserve">     a.  FOR PARTICULAR PURPOSE</t>
  </si>
  <si>
    <t xml:space="preserve">    Veteran's benefits:</t>
  </si>
  <si>
    <t>1.  7/1/05 FREE CASH CERTIFICATION</t>
  </si>
  <si>
    <t>BUDGET FISCALYEAR 2007 FIN COM RECOMMENDED</t>
  </si>
  <si>
    <t xml:space="preserve">FINANCE COMMITTEE RECOMMENDED </t>
  </si>
  <si>
    <t>FINANCE COMMITTEE RECOMMENDED</t>
  </si>
  <si>
    <t>Prepared Oct. 3, 2009</t>
  </si>
  <si>
    <t>OK</t>
  </si>
  <si>
    <t xml:space="preserve">OK </t>
  </si>
  <si>
    <t>Draft II</t>
  </si>
  <si>
    <t>presented</t>
  </si>
  <si>
    <t xml:space="preserve">SUBTRACT FREE CASH APPROPRIATED  </t>
  </si>
  <si>
    <t>[ISSUED]</t>
  </si>
  <si>
    <t>StoC</t>
  </si>
  <si>
    <t>Truck and tank cleaning</t>
  </si>
  <si>
    <t>FY2011</t>
  </si>
  <si>
    <t>1250 GPM Combination Pumper</t>
  </si>
  <si>
    <t>proof for total stm</t>
  </si>
  <si>
    <t>TOTAL SOLID WASTE FUND</t>
  </si>
  <si>
    <t>To Recap Summary, Part IIA - STM Articles</t>
  </si>
  <si>
    <t>proof for total atm</t>
  </si>
  <si>
    <t>TOTAL WATER ENTERPRISE</t>
  </si>
  <si>
    <t>PARK REVOLVING FUND</t>
  </si>
  <si>
    <t>1.  7/1/06 FREE CASH CERTIFICATION</t>
  </si>
  <si>
    <r>
      <t xml:space="preserve">       </t>
    </r>
    <r>
      <rPr>
        <sz val="8"/>
        <rFont val="Arial"/>
        <family val="2"/>
      </rPr>
      <t>Other : Retained Earnings ATM Sp. Arts.</t>
    </r>
  </si>
  <si>
    <t>TOTALS: (ATM AND STMS)</t>
  </si>
  <si>
    <t>PRIOR YEARS BILLS</t>
  </si>
  <si>
    <t xml:space="preserve">TRANSFER OF FUNDS </t>
  </si>
  <si>
    <t>VOTED 4/7</t>
  </si>
  <si>
    <t>TOTAL STM ARTICLES</t>
  </si>
  <si>
    <t xml:space="preserve">(*)  REIMBURSEMENTS: </t>
  </si>
  <si>
    <t xml:space="preserve"> CEMETERY REVOLVING FUND</t>
  </si>
  <si>
    <t xml:space="preserve">See Recap Schedule A-3 </t>
  </si>
  <si>
    <t>CONSERVATION COMM REVOLVING FUND</t>
  </si>
  <si>
    <t>ENGINEERING &amp; LANDFILL MONITORING</t>
  </si>
  <si>
    <t xml:space="preserve">NET FIGURE </t>
  </si>
  <si>
    <t>ALSO SEE SCH A-2</t>
  </si>
  <si>
    <t>STABILIZATION FUND</t>
  </si>
  <si>
    <t xml:space="preserve">TOTAL ATM WARRANT </t>
  </si>
  <si>
    <t>LESS ART. 3 OMNIBUS BUDGET &amp; MASCO</t>
  </si>
  <si>
    <t>TOTAL OTHER ATM WARRANT ARTICLES</t>
  </si>
  <si>
    <t>CULTURAL &amp; RECREATION:  TOTAL</t>
  </si>
  <si>
    <t xml:space="preserve">          STM WARRANT ARTICLES</t>
  </si>
  <si>
    <t xml:space="preserve">MSW COLLECTION,HHW &amp; RECYCLING </t>
  </si>
  <si>
    <t>RECYCLING</t>
  </si>
  <si>
    <t>ESTIMATED</t>
  </si>
  <si>
    <t>TOTAL ENTERPRISE PRIN. &amp; INT.</t>
  </si>
  <si>
    <t>SCHEDULE A-2 - ENTERPRISE</t>
  </si>
  <si>
    <t>FY2006</t>
  </si>
  <si>
    <t>HISTORICAL COMMISSION</t>
  </si>
  <si>
    <t>TREE DEPARTMENT</t>
  </si>
  <si>
    <t>MEMORIAL DAY &amp; VETERANS DAY</t>
  </si>
  <si>
    <t xml:space="preserve">          Out-of-state travel</t>
  </si>
  <si>
    <t xml:space="preserve">    MULTIPURPOSE MUNICIPAL 03/15/02</t>
  </si>
  <si>
    <t xml:space="preserve">   TOWN MAPPING/SCHOOL REMODELING</t>
  </si>
  <si>
    <t xml:space="preserve">   FIRE PUMPER </t>
  </si>
  <si>
    <t>TOTAL GENERAL LONG-TERM DEBT</t>
  </si>
  <si>
    <t>ACTUAL</t>
  </si>
  <si>
    <t>RECAP</t>
  </si>
  <si>
    <t>1.   MOTOR VEHICLE EXCISE</t>
  </si>
  <si>
    <t>To Recap Sum. Part IIA - Other ATM War. Arts</t>
  </si>
  <si>
    <t xml:space="preserve">Free Cash expended above </t>
  </si>
  <si>
    <t>Net available Free Cash :</t>
  </si>
  <si>
    <t>Dep't</t>
  </si>
  <si>
    <t xml:space="preserve">           Specify__Prior Appropriation</t>
  </si>
  <si>
    <t>4.   PAYMENT IN LIEU OF TAXES</t>
  </si>
  <si>
    <t>13.  DEPARTMENTAL REVENUE--LIBRARIES</t>
  </si>
  <si>
    <t xml:space="preserve">          Shared Employees</t>
  </si>
  <si>
    <t xml:space="preserve">   (Part 1, col b.)</t>
  </si>
  <si>
    <t xml:space="preserve">      less:  Total Costs</t>
  </si>
  <si>
    <t xml:space="preserve">  D.  ALLOWANCE FOR ABATEM'TS &amp; EXEMP'S (OVERLAY)</t>
  </si>
  <si>
    <t xml:space="preserve">   Total Revenue and Available Funds</t>
  </si>
  <si>
    <t xml:space="preserve">           </t>
  </si>
  <si>
    <t>3. School Construction 1948, Ch. 645: 1976 Ch. 511</t>
  </si>
  <si>
    <t>8. School Lunch 1970, Ch. 871</t>
  </si>
  <si>
    <t>4.  Sources of Funding for Costs Appropriated</t>
  </si>
  <si>
    <t>16.  OTHER DEPARTMENTAL REVENUE</t>
  </si>
  <si>
    <t>17.  LICENSES AND PERMITS</t>
  </si>
  <si>
    <t>18.  SPECIAL ASSESSMENTS</t>
  </si>
  <si>
    <t>19.  FINES AND FORFEITS</t>
  </si>
  <si>
    <t>20.  INVESTMENT INCOME</t>
  </si>
  <si>
    <t>Proctor School Roof</t>
  </si>
  <si>
    <t>Q1</t>
  </si>
  <si>
    <t xml:space="preserve">          Other:  INSURANCE</t>
  </si>
  <si>
    <t xml:space="preserve">     Total costs appropriated in the general fund</t>
  </si>
  <si>
    <t>TOTAL ART 3RD OPERATING BGT</t>
  </si>
  <si>
    <t>To Recap Sch. B, Col. (b)</t>
  </si>
  <si>
    <t>proof</t>
  </si>
  <si>
    <t xml:space="preserve">   OTHER:  PUBLIC WORKS BLDG</t>
  </si>
  <si>
    <t xml:space="preserve">     B4.  REVOLVING FUNDS (SCHEDULE A-3)</t>
  </si>
  <si>
    <t xml:space="preserve">     C1.  FREE CASH FOR PARTICULAR PURPOSE</t>
  </si>
  <si>
    <t xml:space="preserve">     C2   OTHER AVAILABLE FUNDS FOR PART. PURPOSE</t>
  </si>
  <si>
    <t xml:space="preserve">                                              Total Costs</t>
  </si>
  <si>
    <t>SUMMARY OF AMTS TO BE RAISED &amp; ESTIMATED RECEIPTS</t>
  </si>
  <si>
    <t xml:space="preserve">   MAPC</t>
  </si>
  <si>
    <t xml:space="preserve">           4.  TOTAL OVERLAY DEFICITS OF PRIOR YEARS</t>
  </si>
  <si>
    <t>OPEN SPACE COMMITTEE</t>
  </si>
  <si>
    <t xml:space="preserve">   OTHER </t>
  </si>
  <si>
    <t xml:space="preserve">      TOTAL</t>
  </si>
  <si>
    <t>DE</t>
  </si>
  <si>
    <t>DE</t>
    <phoneticPr fontId="39" type="noConversion"/>
  </si>
  <si>
    <t>PARKING CLERK</t>
  </si>
  <si>
    <t>FINANCE COMMITTEE</t>
  </si>
  <si>
    <t xml:space="preserve">   WAGES</t>
  </si>
  <si>
    <t>9. Exemptions: Vets, Blind &amp; Surviving Spouse, Ch. 58, s8A &amp; Ch. 59, s5</t>
  </si>
  <si>
    <t xml:space="preserve">RECEIPTS </t>
  </si>
  <si>
    <t>TO SPEND</t>
  </si>
  <si>
    <t xml:space="preserve">    OTHER</t>
  </si>
  <si>
    <t>ESTIMATE ONLY STILL TO BE CERTIFIED</t>
  </si>
  <si>
    <t>Town Hall Renovations</t>
  </si>
  <si>
    <t xml:space="preserve">    TOTAL</t>
  </si>
  <si>
    <t>ACCOUNTANT</t>
  </si>
  <si>
    <t xml:space="preserve">   SALARIES</t>
  </si>
  <si>
    <t xml:space="preserve">From Offset </t>
  </si>
  <si>
    <t>(f)</t>
  </si>
  <si>
    <t>Authorization</t>
  </si>
  <si>
    <t>COMMENTS ON</t>
  </si>
  <si>
    <t>NO.</t>
  </si>
  <si>
    <t>This total should be same as total of REVOLVING FUNDS in Schedule B, Col. (e)</t>
  </si>
  <si>
    <t>DATE OF</t>
  </si>
  <si>
    <t>(g)</t>
  </si>
  <si>
    <t xml:space="preserve">TOWN MEETING DATES </t>
  </si>
  <si>
    <t>From Recap Summary Free Cash for Particular Purpose</t>
  </si>
  <si>
    <t xml:space="preserve">     b.  TO REDUCE TAX LEVY</t>
  </si>
  <si>
    <t>FinCom app.</t>
  </si>
  <si>
    <t>status</t>
  </si>
  <si>
    <t>2.  FREE CASH UPDATE</t>
  </si>
  <si>
    <t>TOTAL</t>
  </si>
  <si>
    <t>Total of Col. (e) to Recap, Part III, B4. PRIOR TO FY 1998</t>
  </si>
  <si>
    <t xml:space="preserve">   MISC.</t>
  </si>
  <si>
    <t>FY-2007</t>
  </si>
  <si>
    <t>CURRENT LONG TERM DEBT</t>
  </si>
  <si>
    <t>INT</t>
  </si>
  <si>
    <t>FISCAL</t>
  </si>
  <si>
    <t>PUBLIC WKS &amp; FACIL.:  SUB-TOTAL</t>
  </si>
  <si>
    <t>BUDGET FISCAL 2008</t>
  </si>
  <si>
    <t>BALANCE OF UNAPPROPRIATED FREE CASH</t>
  </si>
  <si>
    <t>Amount of Available Free Cash</t>
  </si>
  <si>
    <t>PART II</t>
  </si>
  <si>
    <t>ANNUAL NORTH SHORE REG. VOC. SCH. DIST. ASSMT.</t>
  </si>
  <si>
    <t>LEASE EMERSON FIELD</t>
  </si>
  <si>
    <t>FY-2016</t>
    <phoneticPr fontId="39" type="noConversion"/>
  </si>
  <si>
    <t>FY15 NEDSV</t>
    <phoneticPr fontId="39" type="noConversion"/>
  </si>
  <si>
    <t xml:space="preserve">  Landfill Capping</t>
  </si>
  <si>
    <t>Art. 2</t>
  </si>
  <si>
    <t>Public Works Facility</t>
  </si>
  <si>
    <t>Q4</t>
  </si>
  <si>
    <t>Art. 21</t>
  </si>
  <si>
    <t>TOTALS</t>
  </si>
  <si>
    <t>FROM THIS CERTIFICATION</t>
  </si>
  <si>
    <t>INSPECTIONAL SERVICES</t>
  </si>
  <si>
    <t>SEALER WEIGHTS &amp; MEASURE:</t>
  </si>
  <si>
    <t>ANIMAL CONTROL OFFICER</t>
  </si>
  <si>
    <t>ANIMAL INSPECTOR</t>
  </si>
  <si>
    <t>See A-3</t>
  </si>
  <si>
    <t>SOURCES OF FUNDING</t>
  </si>
  <si>
    <t>ANNUAL FINANCE COMMITTEE RESERVE FUND</t>
  </si>
  <si>
    <t xml:space="preserve">From Overlay Surplus Reserve </t>
  </si>
  <si>
    <t>ANNUAL OPERATING BUDGET</t>
  </si>
  <si>
    <t>*d</t>
  </si>
  <si>
    <t>SHORT TERM DEBT PAYDOWN FROM SBA FUNDS IN FY 2005</t>
  </si>
  <si>
    <t>Q2</t>
  </si>
  <si>
    <t>Art 18</t>
  </si>
  <si>
    <t xml:space="preserve">  Elem Sch Design</t>
  </si>
  <si>
    <t xml:space="preserve">      a.  School Building Assistance</t>
  </si>
  <si>
    <t xml:space="preserve">      b.  Water Enterprise</t>
  </si>
  <si>
    <t xml:space="preserve">      2.  Rate or Term Different Than Estimate</t>
  </si>
  <si>
    <t xml:space="preserve">FY2007 GROSS </t>
  </si>
  <si>
    <t>Reimbursements/Adjustments</t>
  </si>
  <si>
    <t xml:space="preserve"> Library Renov &amp; Expan</t>
  </si>
  <si>
    <t>Refunding bond issue</t>
  </si>
  <si>
    <t>f</t>
  </si>
  <si>
    <t>F</t>
  </si>
  <si>
    <t>COUNCIL ON AGING</t>
  </si>
  <si>
    <t xml:space="preserve">   PERPETUAL CARE TRUST FUND</t>
  </si>
  <si>
    <t xml:space="preserve">       MULTI-PURPOSE MARCH 2001</t>
  </si>
  <si>
    <t>SCHOOL STREET BUILDING</t>
  </si>
  <si>
    <t xml:space="preserve">  TOTAL</t>
  </si>
  <si>
    <t>still need to adjust for enroll</t>
    <phoneticPr fontId="39" type="noConversion"/>
  </si>
  <si>
    <t xml:space="preserve">    LONG-TERM DEBT INTEREST</t>
  </si>
  <si>
    <t xml:space="preserve">      Other Departmental Revenue</t>
  </si>
  <si>
    <t xml:space="preserve">          Capital Outlay</t>
  </si>
  <si>
    <t xml:space="preserve"> TOTAL LONG-TERM DEBT PRINCIPAL</t>
  </si>
  <si>
    <t xml:space="preserve">SCHEDULE A:  LOCAL ESTIMATED RECEIPTS </t>
  </si>
  <si>
    <t>LIBRARY</t>
    <phoneticPr fontId="39" type="noConversion"/>
  </si>
  <si>
    <t xml:space="preserve">       TOWN MAPS/ELEM. SCH RENOVA.</t>
  </si>
  <si>
    <t xml:space="preserve">       Investment Income</t>
  </si>
  <si>
    <t xml:space="preserve">     Total costs appropriated in enterprise fund</t>
  </si>
  <si>
    <t>2.   OTHER EXCISE</t>
  </si>
  <si>
    <t>5.   CHARGES OF SERVICES- -WATER</t>
  </si>
  <si>
    <t>Indirect Costs)</t>
  </si>
  <si>
    <t xml:space="preserve">          (To be transferred to enterprise)</t>
  </si>
  <si>
    <t xml:space="preserve">From Budget Worksheet  </t>
  </si>
  <si>
    <t xml:space="preserve">          Health Insurance</t>
  </si>
  <si>
    <t>9.   OTHER CHARGES FOR SERVICES</t>
  </si>
  <si>
    <t xml:space="preserve">   (To Recap Summary, Part IIB,</t>
  </si>
  <si>
    <t xml:space="preserve">    #6)</t>
  </si>
  <si>
    <t xml:space="preserve">          Pensions</t>
  </si>
  <si>
    <t>10.  FEES</t>
  </si>
  <si>
    <t>11.  RENTALS</t>
  </si>
  <si>
    <t>12.  DEPARTMENTAL REVENUE --SCHOOLS</t>
  </si>
  <si>
    <t xml:space="preserve">          Shared Facilities</t>
  </si>
  <si>
    <t>15.  DEPARTMENTAL REVENUE--RECREATION</t>
  </si>
  <si>
    <t>Receipts See A-1 or</t>
  </si>
  <si>
    <t>Revolving</t>
  </si>
  <si>
    <t xml:space="preserve">  E.   TOTAL AMOUNT TO BE RAISED:</t>
  </si>
  <si>
    <t>Borrowing</t>
  </si>
  <si>
    <t xml:space="preserve">   UNANTICIPATED EMERGENCY</t>
  </si>
  <si>
    <t>Art 2</t>
  </si>
  <si>
    <t xml:space="preserve">  Library Renov &amp; Expan</t>
  </si>
  <si>
    <t>*c</t>
  </si>
  <si>
    <t>Q 1</t>
  </si>
  <si>
    <t>EXCLUDABLE</t>
  </si>
  <si>
    <t xml:space="preserve">  This total should be same as total of ENTERPRISE fund appropriations in Schedule B, Col. (e) </t>
  </si>
  <si>
    <t>PERSONNEL BOARD</t>
  </si>
  <si>
    <t>TOWN CLERK</t>
  </si>
  <si>
    <t xml:space="preserve">               ELEMENTARY SCHOOL DESIGN</t>
  </si>
  <si>
    <t>From Budget Worksheet</t>
  </si>
  <si>
    <t>T</t>
  </si>
  <si>
    <t>*</t>
  </si>
  <si>
    <t>Meeting</t>
  </si>
  <si>
    <t>See B-2</t>
  </si>
  <si>
    <t>See A-2</t>
  </si>
  <si>
    <t>Elem Sch &amp; Town Hall Renov &amp; Expan</t>
  </si>
  <si>
    <t>FY-2015</t>
    <phoneticPr fontId="39" type="noConversion"/>
  </si>
  <si>
    <t xml:space="preserve">      A.   ESTIMATED STATE RECEIPTS </t>
  </si>
  <si>
    <t xml:space="preserve">             TOTAL</t>
  </si>
  <si>
    <t>OTHER EXPEND.:  SUB-TOTAL</t>
  </si>
  <si>
    <t>TRUST FUND CLERK</t>
  </si>
  <si>
    <t xml:space="preserve">   SALARY</t>
  </si>
  <si>
    <t>Art 14</t>
  </si>
  <si>
    <t xml:space="preserve">           5.  TOTAL CHERRY SHEET OFFSETS (CS1-ER)</t>
  </si>
  <si>
    <t xml:space="preserve">           6.  REVENUE DEFICITS</t>
  </si>
  <si>
    <t xml:space="preserve">       DEBT SERVICE</t>
  </si>
  <si>
    <t>BANK DISCLOSURE ISSUE COST</t>
  </si>
  <si>
    <t>TOWN WEBSITE/CABLE ADVISORY</t>
  </si>
  <si>
    <t xml:space="preserve">CABLE ADVISORY </t>
  </si>
  <si>
    <t>PUBLIC SAFETY:  SUB-TOTAL</t>
  </si>
  <si>
    <t>EDUCATION:   ELEMENTARY SCHS</t>
  </si>
  <si>
    <t xml:space="preserve">           7.  OFFSET RECEIPTS DEFICITS (CH.44, S53E)</t>
  </si>
  <si>
    <t xml:space="preserve">  .GENERAL ADMINISTRATION</t>
  </si>
  <si>
    <t xml:space="preserve">  .INSTRUCTIONAL SALARIES</t>
  </si>
  <si>
    <t>ASSESSORS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</si>
  <si>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</si>
  <si>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</si>
  <si>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</si>
  <si>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</si>
  <si>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</si>
  <si>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</si>
  <si>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</si>
  <si>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</si>
  <si>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      Retained Earnings Appropriated</t>
  </si>
  <si>
    <t xml:space="preserve">         TOTAL:   LINES 1 - 10</t>
  </si>
  <si>
    <t xml:space="preserve">  C.  STATE AND COUNTY ASSESSMENTS</t>
  </si>
  <si>
    <t xml:space="preserve">           9.  SNOW AND ICE DEFICIT (CH.44, S31D)</t>
  </si>
  <si>
    <t>BUDGET FISCALYEAR 2007 FIN COM PROJECTED</t>
  </si>
  <si>
    <t>SCHEDULE B-1</t>
  </si>
  <si>
    <t xml:space="preserve">        CH. 412</t>
  </si>
  <si>
    <t>DPW (TOWN'S SHARE)</t>
    <phoneticPr fontId="39" type="noConversion"/>
  </si>
  <si>
    <r>
      <t>T</t>
    </r>
    <r>
      <rPr>
        <b/>
        <i/>
        <sz val="8"/>
        <rFont val="Arial"/>
        <family val="2"/>
      </rPr>
      <t>OTAL</t>
    </r>
    <r>
      <rPr>
        <i/>
        <sz val="8"/>
        <rFont val="Arial"/>
        <family val="2"/>
      </rPr>
      <t>:</t>
    </r>
  </si>
  <si>
    <t>MULTIPURPOSE MUNIC REFUNDING 1/15/11</t>
    <phoneticPr fontId="39" type="noConversion"/>
  </si>
  <si>
    <t xml:space="preserve">  .INSTRUCTIONAL MATERIALS</t>
  </si>
  <si>
    <t xml:space="preserve"> AMOUNT</t>
  </si>
  <si>
    <t>PART I</t>
  </si>
  <si>
    <t xml:space="preserve">     ADD</t>
  </si>
  <si>
    <t>FROM THIS CERTIFICATION:</t>
  </si>
  <si>
    <t>WATER DEPT   ENTERPRISE OPERATING  BUDGET</t>
  </si>
  <si>
    <t>ANNUAL MASCONOMET REGIONAL SCH. DIST. ASSMT.</t>
  </si>
  <si>
    <t xml:space="preserve">  .FUEL AND POWER</t>
  </si>
  <si>
    <t xml:space="preserve">   SALARIES </t>
  </si>
  <si>
    <t xml:space="preserve">   WAGES </t>
  </si>
  <si>
    <t>TREASURER/COLLECTOR</t>
  </si>
  <si>
    <t>TEMP</t>
  </si>
  <si>
    <t xml:space="preserve">       TOTAL</t>
  </si>
  <si>
    <t xml:space="preserve">         AMOUNT TRANSFERED*</t>
  </si>
  <si>
    <t>ZONING BOARD OF APPEALS</t>
  </si>
  <si>
    <t>GENERAL GOVERN. :  SUB-TOTAL</t>
  </si>
  <si>
    <t>To Recap Summary IIA</t>
  </si>
  <si>
    <t>PUBLIC SAFETY</t>
  </si>
  <si>
    <t>POLICE DEPARTMENT</t>
  </si>
  <si>
    <t>SUBTRACT FREE CASH APPROPRIATED</t>
  </si>
  <si>
    <t>FISCAL 15</t>
    <phoneticPr fontId="39" type="noConversion"/>
  </si>
  <si>
    <t>FISCAL 16</t>
    <phoneticPr fontId="39" type="noConversion"/>
  </si>
  <si>
    <t>From Recap Summary Free Cash to Reduce Tax Levy</t>
  </si>
  <si>
    <t>FY15GDSEXP</t>
    <phoneticPr fontId="39" type="noConversion"/>
  </si>
  <si>
    <t>FY16DSEXC</t>
    <phoneticPr fontId="39" type="noConversion"/>
  </si>
  <si>
    <t>FY16NEDS</t>
    <phoneticPr fontId="39" type="noConversion"/>
  </si>
  <si>
    <t xml:space="preserve">        ESSEX RETIREMENT</t>
  </si>
  <si>
    <t xml:space="preserve">        TOTAL</t>
  </si>
  <si>
    <t xml:space="preserve">   INSURANCE</t>
  </si>
  <si>
    <t xml:space="preserve">  UNEMPLOYMENT</t>
  </si>
  <si>
    <t>Masconomet Design  Renov/Expan</t>
  </si>
  <si>
    <t>PLANNING BOARD</t>
  </si>
  <si>
    <t>following Nina</t>
    <phoneticPr fontId="39" type="noConversion"/>
  </si>
  <si>
    <t xml:space="preserve">   SPECIAL MAINTENANCE FUND</t>
  </si>
  <si>
    <t xml:space="preserve">   DEBT SVS LONG-TERM DEBT PRIN.</t>
  </si>
  <si>
    <t xml:space="preserve">  DEBT SVS LONG-TERM DEBT INT.</t>
  </si>
  <si>
    <t xml:space="preserve">   DEBT SVS INT. FOR TEMP. LOANS</t>
  </si>
  <si>
    <t xml:space="preserve">   RESERVE FUND</t>
  </si>
  <si>
    <t xml:space="preserve">     D1   FREE CASH TO REDUCE TAX LEVY</t>
  </si>
  <si>
    <t xml:space="preserve">       MULTIPURPOSE  MARCH 2002</t>
  </si>
  <si>
    <t xml:space="preserve">  .SPECIAL NEEDS</t>
  </si>
  <si>
    <t>Proof</t>
  </si>
  <si>
    <t>CULTURE &amp; REC. : SUB-TOTAL</t>
  </si>
  <si>
    <t>DEBT SERVICE</t>
  </si>
  <si>
    <t>LONG-TERM DEBT PRINCIPAL</t>
  </si>
  <si>
    <t xml:space="preserve">      TOWN MAPS/ELEM. SCH RENOVA.     </t>
  </si>
  <si>
    <t>FISCAL 13</t>
  </si>
  <si>
    <t>(SEE BELOW)</t>
  </si>
  <si>
    <t>P</t>
  </si>
  <si>
    <t>*a</t>
  </si>
  <si>
    <t>TOWN HALL</t>
  </si>
  <si>
    <t xml:space="preserve">    MULTIPURPOSE REFUNDING 2012</t>
  </si>
  <si>
    <t xml:space="preserve">Q3 </t>
  </si>
  <si>
    <t>Art 16</t>
  </si>
  <si>
    <t xml:space="preserve"> Appropriate</t>
  </si>
  <si>
    <t>Free Cash</t>
  </si>
  <si>
    <t>Available</t>
  </si>
  <si>
    <t xml:space="preserve">      Other Enterprise Available Funds</t>
  </si>
  <si>
    <t xml:space="preserve">     b.  Costs appropriated in the general fund</t>
  </si>
  <si>
    <t>(Also referred to as</t>
  </si>
  <si>
    <t>ELEM. SCHOOLS: SUB-TOTAL</t>
  </si>
  <si>
    <t xml:space="preserve">          PUBLIC WORKS &amp; FACILITIES</t>
  </si>
  <si>
    <t xml:space="preserve">      c.  Trust Funds</t>
  </si>
  <si>
    <t xml:space="preserve">      d.   Solid Waste Funds (C&amp;D)</t>
  </si>
  <si>
    <t xml:space="preserve">      e.  DEA Self Help Grant</t>
  </si>
  <si>
    <t xml:space="preserve">(**)  ADJUSTMENTS: </t>
  </si>
  <si>
    <t xml:space="preserve">  .BLDG OPER. &amp; MAINTENANCE</t>
  </si>
  <si>
    <t xml:space="preserve">                ELEMENTARY SCHS  RENOV</t>
  </si>
  <si>
    <t>FY13 NEDSV</t>
    <phoneticPr fontId="39" type="noConversion"/>
  </si>
  <si>
    <t>FY13GDSEXP</t>
    <phoneticPr fontId="39" type="noConversion"/>
  </si>
  <si>
    <t>FY14DSEXC</t>
    <phoneticPr fontId="39" type="noConversion"/>
  </si>
  <si>
    <t>FY14NEDS</t>
    <phoneticPr fontId="39" type="noConversion"/>
  </si>
  <si>
    <t xml:space="preserve">                PROCTOR SCHOOL BOILER</t>
  </si>
  <si>
    <t xml:space="preserve">                ELEMENTARY SCHS  RENOV&amp; ADD</t>
  </si>
  <si>
    <t xml:space="preserve">                TOWN HALL REMODELLING</t>
  </si>
  <si>
    <t xml:space="preserve">EXCLUDED </t>
  </si>
  <si>
    <t>OF EXCLUSION</t>
  </si>
  <si>
    <t>NOTE/BOND</t>
  </si>
  <si>
    <t>Appropriations</t>
  </si>
  <si>
    <t>TRI-TOWN COUNCIL</t>
  </si>
  <si>
    <t>To Recap Summary, Part IIA - Other ATM War. Arts</t>
  </si>
  <si>
    <t xml:space="preserve"> SPECIAL TOWN MEETING </t>
  </si>
  <si>
    <t>FY06 NET</t>
  </si>
  <si>
    <t>FY06 GROSS</t>
  </si>
  <si>
    <t>III.  ESTIMATED RECEIPTS &amp; OTHER REVENUE SOURCES:</t>
  </si>
  <si>
    <t>DE</t>
    <phoneticPr fontId="39" type="noConversion"/>
  </si>
  <si>
    <t>TRITOWN COUNCIL ADJUSTMENT COUNSELOR</t>
  </si>
  <si>
    <t>FY-2017</t>
    <phoneticPr fontId="39" type="noConversion"/>
  </si>
  <si>
    <t>FY16 NEDSV</t>
    <phoneticPr fontId="39" type="noConversion"/>
  </si>
  <si>
    <t>FY16GDSEXP</t>
    <phoneticPr fontId="39" type="noConversion"/>
  </si>
  <si>
    <t>FY17DSEXC</t>
    <phoneticPr fontId="39" type="noConversion"/>
  </si>
  <si>
    <t>FY17NEDS</t>
    <phoneticPr fontId="39" type="noConversion"/>
  </si>
  <si>
    <t>Projected 2017</t>
    <phoneticPr fontId="39" type="noConversion"/>
  </si>
  <si>
    <t>ACTUAL</t>
    <phoneticPr fontId="39" type="noConversion"/>
  </si>
  <si>
    <t>FY-2017</t>
    <phoneticPr fontId="39" type="noConversion"/>
  </si>
  <si>
    <t>MULTIPURPOSE 2015+2016 Principal Paydown</t>
    <phoneticPr fontId="39" type="noConversion"/>
  </si>
  <si>
    <t>MULTIPURPOSE 2012</t>
    <phoneticPr fontId="39" type="noConversion"/>
  </si>
  <si>
    <t>FY2015</t>
    <phoneticPr fontId="39" type="noConversion"/>
  </si>
  <si>
    <t>Tri-town Council</t>
    <phoneticPr fontId="39" type="noConversion"/>
  </si>
  <si>
    <t>Senior Care</t>
    <phoneticPr fontId="39" type="noConversion"/>
  </si>
  <si>
    <t xml:space="preserve">    SALARIES</t>
  </si>
  <si>
    <t xml:space="preserve">    WAGES</t>
  </si>
  <si>
    <t xml:space="preserve">   SERVICES</t>
  </si>
  <si>
    <t xml:space="preserve">   OTHER</t>
  </si>
  <si>
    <t xml:space="preserve">   TOTAL</t>
  </si>
  <si>
    <t>DEBT SERVICE:  SUB-TOTAL</t>
  </si>
  <si>
    <t>OTHER EXPENDITURES</t>
  </si>
  <si>
    <t>ADJUSTMENTS</t>
  </si>
  <si>
    <t>VOTE</t>
  </si>
  <si>
    <t>PER PURPOSES</t>
  </si>
  <si>
    <t>(T/P)</t>
  </si>
  <si>
    <t xml:space="preserve">          Reserve Fund</t>
  </si>
  <si>
    <t xml:space="preserve">DATE/PURPOSE(S) </t>
  </si>
  <si>
    <t>ISSUANCE</t>
  </si>
  <si>
    <t>OR</t>
  </si>
  <si>
    <t xml:space="preserve">           8.  AUTHORIZED DEFERRAL OF TEACHERS' PAY</t>
  </si>
  <si>
    <t>FIRE DEPARTMENT</t>
  </si>
  <si>
    <t>AMBULANCE SERVICE</t>
  </si>
  <si>
    <t xml:space="preserve">         10.  OTHER</t>
  </si>
  <si>
    <t xml:space="preserve">  Total of Col (b) Total Revenue and Available Funds to Recap Summary, Part III, B3.</t>
  </si>
  <si>
    <t xml:space="preserve">     B1.  ESTIMATED LOCAL RECEIPTS (SCHEDULE A)</t>
  </si>
  <si>
    <t xml:space="preserve">     B3.  ENTERPRISE FUNDS (SCHEDULE A-2)</t>
  </si>
  <si>
    <t>ART.</t>
  </si>
  <si>
    <t>of Each</t>
  </si>
  <si>
    <t>(Tax Levy)</t>
  </si>
  <si>
    <t>22.  MISCELLANEOUS RECURRING</t>
    <phoneticPr fontId="39" type="noConversion"/>
  </si>
  <si>
    <t>23.  MISCELLANEOUS NON RECURRING</t>
    <phoneticPr fontId="39" type="noConversion"/>
  </si>
  <si>
    <t>21.  MEDICAID REIMBURSEMENT (insert 11/2014)</t>
    <phoneticPr fontId="39" type="noConversion"/>
  </si>
  <si>
    <t>Multipurpose Municipal FY15 Paydown</t>
    <phoneticPr fontId="39" type="noConversion"/>
  </si>
  <si>
    <t>MULTIPURPOSE 2015</t>
    <phoneticPr fontId="39" type="noConversion"/>
  </si>
  <si>
    <t>INTEREST FOR TEMPORARY LOANS</t>
  </si>
  <si>
    <t>f. Adjustments as result of new debt issue applicable portion of premium</t>
  </si>
  <si>
    <t>EXCLUDED</t>
  </si>
  <si>
    <t>DEBT</t>
  </si>
  <si>
    <t>(*)</t>
  </si>
  <si>
    <t>REIMBURSEMENTS/</t>
  </si>
  <si>
    <t>FY13 numbers from Nina</t>
    <phoneticPr fontId="39" type="noConversion"/>
  </si>
  <si>
    <t>PERM</t>
  </si>
  <si>
    <t>SERVICE</t>
  </si>
  <si>
    <t>(**)</t>
  </si>
  <si>
    <t xml:space="preserve">      1. Prior Year's Interest Not Included</t>
  </si>
  <si>
    <t>BALLOT VOTE</t>
  </si>
  <si>
    <t xml:space="preserve">ORIGINAL </t>
  </si>
  <si>
    <t>1/12/2016, 1/25/16</t>
    <phoneticPr fontId="39" type="noConversion"/>
  </si>
  <si>
    <t>2017</t>
  </si>
  <si>
    <t>FY-2018</t>
  </si>
  <si>
    <t>BUDGET FISCAL 2018</t>
  </si>
  <si>
    <t>Source is Fiscal 2017 Recap Sheet</t>
  </si>
  <si>
    <t>3.  FY 2016 RECAP</t>
  </si>
  <si>
    <t>4.  FY 2017 RECAP</t>
  </si>
  <si>
    <t>FY17 NEDSV</t>
  </si>
  <si>
    <t>FY17GDSEXP</t>
  </si>
  <si>
    <t>FY18DSEXC</t>
  </si>
  <si>
    <t>FY18NEDS</t>
  </si>
  <si>
    <t>Projected 2018</t>
  </si>
  <si>
    <t>Debt schedue for Masco is a hard number …where is the schedule?</t>
  </si>
  <si>
    <t>why the adjusment of 9K +1,931</t>
  </si>
  <si>
    <t>where is the pumper?  I left it off.</t>
  </si>
  <si>
    <t>FISCAL 18</t>
  </si>
  <si>
    <t>277K just to hold space</t>
  </si>
  <si>
    <t>WATER MAINS IPSWICH RD 2010 1/15/11</t>
  </si>
  <si>
    <t>Town Hall Building project</t>
  </si>
  <si>
    <t>"Memo FY18 Lib Loan Subsidy"  This is the last year, 64,000</t>
  </si>
  <si>
    <t>Approved</t>
  </si>
  <si>
    <t>Mass DOT Contracts - Authorization to spend for Chapter 90 Projects</t>
  </si>
  <si>
    <t>RESERVE</t>
  </si>
  <si>
    <t xml:space="preserve">STORM WATER </t>
  </si>
  <si>
    <t>Remodel Interest</t>
  </si>
  <si>
    <t>Authorization to Transfer Balances</t>
  </si>
  <si>
    <t>FY17 NET</t>
  </si>
  <si>
    <t>FY17 GROSS</t>
  </si>
  <si>
    <t xml:space="preserve">FY18 GROSS </t>
  </si>
  <si>
    <t>FY18 NET</t>
  </si>
  <si>
    <t>Last Payment 2018</t>
  </si>
  <si>
    <r>
      <t xml:space="preserve">   </t>
    </r>
    <r>
      <rPr>
        <b/>
        <sz val="10"/>
        <rFont val="Arial"/>
        <family val="2"/>
      </rPr>
      <t>CAPITAL (LEASES)</t>
    </r>
  </si>
  <si>
    <r>
      <t xml:space="preserve">   </t>
    </r>
    <r>
      <rPr>
        <b/>
        <sz val="10"/>
        <rFont val="Arial"/>
        <family val="2"/>
      </rPr>
      <t>TOTAL</t>
    </r>
  </si>
  <si>
    <t>no change</t>
  </si>
  <si>
    <t>Ins</t>
  </si>
  <si>
    <t>voc tech</t>
  </si>
  <si>
    <t>FIRE RESCUE VEHICLE</t>
  </si>
  <si>
    <t>TOWN HALL ENVELOP</t>
  </si>
  <si>
    <t>FIRE LADDER TRUCK</t>
  </si>
  <si>
    <t>CATCH BASIN CLEANER</t>
  </si>
  <si>
    <t>PROCTOR / STEWARD PAINTING</t>
  </si>
  <si>
    <t>SCHOOL SIDEWALKS</t>
  </si>
  <si>
    <t>SCHOOL ROOF STUDY</t>
  </si>
  <si>
    <t>HVAC PLANNING</t>
  </si>
  <si>
    <t>TOWN HALL DESIGN/REMODELING</t>
  </si>
  <si>
    <t>Town Hall BAN</t>
  </si>
  <si>
    <t>School Roofs</t>
  </si>
  <si>
    <t>SUM</t>
  </si>
  <si>
    <t>WATER MAINS (WASHINGTON ST) 2019</t>
  </si>
  <si>
    <t>WATER TREATMENT PLANT PLANNING 2019</t>
  </si>
  <si>
    <t>FY-2019</t>
  </si>
  <si>
    <t>FY18 NEDSV</t>
  </si>
  <si>
    <t>FY19DSEXC</t>
  </si>
  <si>
    <t>FY19NEDS</t>
  </si>
  <si>
    <t>Debt and Interest for 9 items</t>
  </si>
  <si>
    <t>BAN</t>
  </si>
  <si>
    <t>Town Hall</t>
  </si>
  <si>
    <t>School Roof</t>
  </si>
  <si>
    <t>FY18GDSEXP</t>
  </si>
  <si>
    <t>RESERVE FUNDS</t>
  </si>
  <si>
    <t>SALARY RESERVE</t>
  </si>
  <si>
    <t>Donibristle Farm</t>
  </si>
  <si>
    <t>MULTIPURPOSE 2018</t>
  </si>
  <si>
    <t>Non Union</t>
  </si>
  <si>
    <t xml:space="preserve"> Union</t>
  </si>
  <si>
    <t>FY2019</t>
  </si>
  <si>
    <t>Masconomet</t>
  </si>
  <si>
    <t>NO RAISE</t>
  </si>
  <si>
    <t>FY18 w/</t>
  </si>
  <si>
    <t>dept  cat</t>
  </si>
  <si>
    <r>
      <t xml:space="preserve"> </t>
    </r>
    <r>
      <rPr>
        <sz val="7"/>
        <rFont val="Arial"/>
        <family val="2"/>
      </rPr>
      <t>.TRANSPORTATION REGULAR</t>
    </r>
  </si>
  <si>
    <t>changes</t>
  </si>
  <si>
    <t>Estimate</t>
  </si>
  <si>
    <t>FY19</t>
  </si>
  <si>
    <t>EST</t>
  </si>
  <si>
    <t>Town Hall BAN  II</t>
  </si>
  <si>
    <t>MULTIPURPOSE MUNIC REFUNDING 2012</t>
  </si>
  <si>
    <t>FISCAL19</t>
  </si>
  <si>
    <t>FISCAL 19</t>
  </si>
  <si>
    <t>MULITPURPOSE FY 2017</t>
  </si>
  <si>
    <t>MULTIPURPOSE MUNICIPAL 2017</t>
  </si>
  <si>
    <t>BAN (150 days in FY19)</t>
  </si>
  <si>
    <t>BAN (359 days in FY19)</t>
  </si>
  <si>
    <t>Capitalization Stabilization Fund</t>
  </si>
  <si>
    <t>cable/peg, Conservation, Solid Waste, red of fut excludable debt</t>
  </si>
  <si>
    <t>LANDFILL</t>
  </si>
  <si>
    <t>Notes</t>
  </si>
  <si>
    <t xml:space="preserve">          PUBLIC SAFETY</t>
  </si>
  <si>
    <t>NOTES: Budget comparisons adjusted to compensate for excluded</t>
  </si>
  <si>
    <t>OPERATING  BUDGET</t>
  </si>
  <si>
    <t>FY2020</t>
  </si>
  <si>
    <t>Actual</t>
  </si>
  <si>
    <t xml:space="preserve">EST </t>
  </si>
  <si>
    <t>MULTIPURPOSE 2020</t>
  </si>
  <si>
    <t>removed $233  from column I</t>
  </si>
  <si>
    <t xml:space="preserve">Masconomet Debt </t>
  </si>
  <si>
    <t>Principal</t>
  </si>
  <si>
    <t>Interest</t>
  </si>
  <si>
    <t>SBAB Reimbursement</t>
  </si>
  <si>
    <t xml:space="preserve">Town Hall </t>
  </si>
  <si>
    <t>FY19 NEDSV</t>
  </si>
  <si>
    <t>FY19GDSEXP</t>
  </si>
  <si>
    <t>FY20DSEXC</t>
  </si>
  <si>
    <t>FY20NEDS</t>
  </si>
  <si>
    <t>FY19 NET</t>
  </si>
  <si>
    <t>FY19 GROSS</t>
  </si>
  <si>
    <t xml:space="preserve">FY20 GROSS </t>
  </si>
  <si>
    <t>FY20 NET</t>
  </si>
  <si>
    <t>Masconomet Topsfield Share</t>
  </si>
  <si>
    <t>Town Hall  FY20</t>
  </si>
  <si>
    <t>School Roof FY20</t>
  </si>
  <si>
    <t>BAN (EST)</t>
  </si>
  <si>
    <t>FY-2020</t>
  </si>
  <si>
    <t xml:space="preserve"> 500K Donibristle DE/override</t>
  </si>
  <si>
    <t>MULTIPURPOSE 2019</t>
  </si>
  <si>
    <t>Fincom</t>
  </si>
  <si>
    <t>WATER PLANT</t>
  </si>
  <si>
    <t>TRANSFERS TO FUNDS</t>
  </si>
  <si>
    <t xml:space="preserve"> COMPENSATED ABSENSES</t>
  </si>
  <si>
    <t xml:space="preserve"> POLICE/FIRE INDEMNITY</t>
  </si>
  <si>
    <t>FISCAL20</t>
  </si>
  <si>
    <t>TOTAL Town Salary &amp; wages</t>
  </si>
  <si>
    <t>Elementary Schools</t>
  </si>
  <si>
    <t>Maconomet Stabilization Fund</t>
  </si>
  <si>
    <t>FIN.COM PROJECTED 2020</t>
  </si>
  <si>
    <t>POLICE SUV CRUISER</t>
  </si>
  <si>
    <t>WATER SYSTEM IMPROVEMENTS</t>
  </si>
  <si>
    <t>WATER METER READING SYSTEM UPGRADES</t>
  </si>
  <si>
    <t>NORTH STREET EXPLORATORY DRILLING</t>
  </si>
  <si>
    <t>HIGHWAY FRONT END LOADER</t>
  </si>
  <si>
    <t>TOWN HALL WORK STATIONS</t>
  </si>
  <si>
    <t>FIRE RESCUE VEHICLE REPLACEMENT</t>
  </si>
  <si>
    <t>ELEMENTARY SCHOOLS SURVEILLANCE &amp; SECURITY SYSTEMS</t>
  </si>
  <si>
    <t>REVOLVING FUNDS: PUBLIC HALL REVOLVING FUND</t>
  </si>
  <si>
    <t xml:space="preserve">OTHER POST EMPLOYMENT BENEFITS </t>
  </si>
  <si>
    <t>GRANT AUTHORIZATION FOR TOWN PROJECTS</t>
  </si>
  <si>
    <t>POLICE CHIEF SEARCH PROCESS &amp; ASSESSMENT CENTER</t>
  </si>
  <si>
    <t xml:space="preserve">REVOKE SOLID WASTE ENTERPRISE FUND </t>
  </si>
  <si>
    <t xml:space="preserve">RESCIND PRIOR YEAR BOND AUTHORIZATION  </t>
  </si>
  <si>
    <t>ROAD REPAIRS TO PROSPECT STREET AND RIVER ROAD</t>
  </si>
  <si>
    <t>PEG Access</t>
  </si>
  <si>
    <t xml:space="preserve">Multipurpose 2019 </t>
  </si>
  <si>
    <t>Total Town Hall &amp; School Roofs BAN</t>
  </si>
  <si>
    <t>FY2021</t>
  </si>
  <si>
    <t>FY-2021</t>
  </si>
  <si>
    <t xml:space="preserve">     MUNI BOND November 21, 2019</t>
  </si>
  <si>
    <t>SCHOOL ROOF</t>
  </si>
  <si>
    <t>MUNI BOND November 21, 2019</t>
  </si>
  <si>
    <t>Water Treatment Plant</t>
  </si>
  <si>
    <t>Water Mains Project</t>
  </si>
  <si>
    <t>WATER TREATMENT (Mar-May 2019)</t>
  </si>
  <si>
    <t>Water Treatment Plant Nov 2019</t>
  </si>
  <si>
    <t>Water Mains Project Nov 2019</t>
  </si>
  <si>
    <t>MULTIPUPRPOSE 2020</t>
  </si>
  <si>
    <t>FY20 GROSS</t>
  </si>
  <si>
    <t xml:space="preserve">FY21 GROSS </t>
  </si>
  <si>
    <t>FY21 NET</t>
  </si>
  <si>
    <t>FY20 NEDSV</t>
  </si>
  <si>
    <t>FY21DSEXC</t>
  </si>
  <si>
    <t>FY21NEDS</t>
  </si>
  <si>
    <t>Projected 2021</t>
  </si>
  <si>
    <t>Projected 2019</t>
  </si>
  <si>
    <t>Multipurpose 2020</t>
  </si>
  <si>
    <t>Town Hall Remodelling</t>
  </si>
  <si>
    <t>NEW CAPITAL</t>
  </si>
  <si>
    <t>ANNUAL ESSEX NORTH SHORE AG/Tech SCH DIST ASSM.</t>
  </si>
  <si>
    <t>Tri-town Council</t>
  </si>
  <si>
    <t>Senior Care</t>
  </si>
  <si>
    <t>TOWN FACILITIES REPAIR AND MAINTENANCE FUND</t>
  </si>
  <si>
    <t>ELEMENTARY SCHOOLS END-USER TECHNOLOGY</t>
  </si>
  <si>
    <t>Security Cameras</t>
  </si>
  <si>
    <t>LIBRARY MAINTENANCE &amp; ROOFING REPAIRS</t>
  </si>
  <si>
    <t>General Stabilization</t>
  </si>
  <si>
    <t>FY 2020</t>
  </si>
  <si>
    <t>Masco and Elementary increases</t>
  </si>
  <si>
    <t>General Stabilization Fund</t>
  </si>
  <si>
    <t>Capital Stabilization Fund</t>
  </si>
  <si>
    <t>Other Post Employment Benefits ("OPEB Trust Fund")</t>
  </si>
  <si>
    <t>A1. OVERLAY SURPLUS for ALLOWANCE FOR ABATEMENT</t>
  </si>
  <si>
    <t xml:space="preserve">Short Term Interest BAN </t>
  </si>
  <si>
    <t>FY2022</t>
  </si>
  <si>
    <t>FY-2022</t>
  </si>
  <si>
    <t>Pol wag</t>
  </si>
  <si>
    <t>Fire wag</t>
  </si>
  <si>
    <t>Local Recpt</t>
  </si>
  <si>
    <t>State Recpt</t>
  </si>
  <si>
    <t>FY22DSEXC</t>
  </si>
  <si>
    <t>FY22NEDS</t>
  </si>
  <si>
    <t>FY21 NEDSV</t>
  </si>
  <si>
    <t>FY21GDSEXP</t>
  </si>
  <si>
    <t>or new line items FY vs FY budget categories.</t>
  </si>
  <si>
    <t>FY2018</t>
  </si>
  <si>
    <t>FY22 NET</t>
  </si>
  <si>
    <t xml:space="preserve">FY22 GROSS </t>
  </si>
  <si>
    <t>FY21 GROSS</t>
  </si>
  <si>
    <t>DPW (TOWN'S SHARE)</t>
  </si>
  <si>
    <t>FIRE EQUIPMENT</t>
  </si>
  <si>
    <t>FY21</t>
  </si>
  <si>
    <t>FY22</t>
  </si>
  <si>
    <t>24.  SRO reimb Masco, Fire permit, Flu clinic</t>
  </si>
  <si>
    <t>RECREATION</t>
  </si>
  <si>
    <t>FY2023</t>
  </si>
  <si>
    <t>FY-2023</t>
  </si>
  <si>
    <t>PRJ. 2023+/- 2022</t>
  </si>
  <si>
    <t>line items shifted in and out of Hwy.</t>
  </si>
  <si>
    <t>Facilities repair</t>
  </si>
  <si>
    <t>begin capital here</t>
  </si>
  <si>
    <t>Vote</t>
  </si>
  <si>
    <t>Date</t>
  </si>
  <si>
    <t>BASE</t>
  </si>
  <si>
    <t>OVER</t>
  </si>
  <si>
    <t xml:space="preserve"> Budget</t>
  </si>
  <si>
    <t>Blank = "Budget"</t>
  </si>
  <si>
    <t>Blank =</t>
  </si>
  <si>
    <t/>
  </si>
  <si>
    <t>ELEMENTARY</t>
  </si>
  <si>
    <t>MASCO</t>
  </si>
  <si>
    <t>WATER</t>
  </si>
  <si>
    <t>Hide</t>
  </si>
  <si>
    <t>Mh Index</t>
  </si>
  <si>
    <t>x</t>
  </si>
  <si>
    <t>Index</t>
  </si>
  <si>
    <t>Consultant for master plan</t>
  </si>
  <si>
    <t>FY-2024</t>
  </si>
  <si>
    <t>FY22 NEDSV</t>
  </si>
  <si>
    <t>FY22GDSEXP</t>
  </si>
  <si>
    <t>FY23DSEXC</t>
  </si>
  <si>
    <t>FY23NEDS</t>
  </si>
  <si>
    <t>FY23 NEDSV</t>
  </si>
  <si>
    <t>FY23GDSEXP</t>
  </si>
  <si>
    <t>FY24DSEXC</t>
  </si>
  <si>
    <t>FY24NEDS</t>
  </si>
  <si>
    <t>FY2024</t>
  </si>
  <si>
    <t>TRASH</t>
  </si>
  <si>
    <t xml:space="preserve">FREE CASH TO OFFSET THE TAX RATE  </t>
  </si>
  <si>
    <t>FY24 NET</t>
  </si>
  <si>
    <t>Subtotal function</t>
  </si>
  <si>
    <t>GAS DISTRUTION</t>
  </si>
  <si>
    <t>OTHER</t>
  </si>
  <si>
    <t>FY 2024 TO FY 2023</t>
  </si>
  <si>
    <t>Changes</t>
  </si>
  <si>
    <r>
      <rPr>
        <b/>
        <sz val="10"/>
        <rFont val="Times New Roman"/>
        <family val="1"/>
      </rPr>
      <t>Oct '14</t>
    </r>
  </si>
  <si>
    <r>
      <rPr>
        <b/>
        <sz val="10"/>
        <rFont val="Times New Roman"/>
        <family val="1"/>
      </rPr>
      <t>Oct '15</t>
    </r>
  </si>
  <si>
    <r>
      <rPr>
        <b/>
        <sz val="10"/>
        <rFont val="Times New Roman"/>
        <family val="1"/>
      </rPr>
      <t>Oct '16</t>
    </r>
  </si>
  <si>
    <r>
      <rPr>
        <b/>
        <sz val="10"/>
        <rFont val="Times New Roman"/>
        <family val="1"/>
      </rPr>
      <t>Oct '17</t>
    </r>
  </si>
  <si>
    <r>
      <rPr>
        <b/>
        <sz val="10"/>
        <rFont val="Times New Roman"/>
        <family val="1"/>
      </rPr>
      <t>Oct '18</t>
    </r>
  </si>
  <si>
    <r>
      <rPr>
        <b/>
        <sz val="10"/>
        <rFont val="Times New Roman"/>
        <family val="1"/>
      </rPr>
      <t>Oct '19</t>
    </r>
  </si>
  <si>
    <r>
      <rPr>
        <b/>
        <sz val="10"/>
        <rFont val="Times New Roman"/>
        <family val="1"/>
      </rPr>
      <t>Oct '20</t>
    </r>
  </si>
  <si>
    <r>
      <rPr>
        <b/>
        <sz val="10"/>
        <rFont val="Times New Roman"/>
        <family val="1"/>
      </rPr>
      <t>Oct '21</t>
    </r>
  </si>
  <si>
    <r>
      <rPr>
        <sz val="10"/>
        <rFont val="Times New Roman"/>
        <family val="1"/>
      </rPr>
      <t>Boxford</t>
    </r>
  </si>
  <si>
    <r>
      <rPr>
        <sz val="10"/>
        <rFont val="Times New Roman"/>
        <family val="1"/>
      </rPr>
      <t>Middleton</t>
    </r>
  </si>
  <si>
    <r>
      <rPr>
        <sz val="10"/>
        <rFont val="Times New Roman"/>
        <family val="1"/>
      </rPr>
      <t>Topsfield</t>
    </r>
  </si>
  <si>
    <r>
      <rPr>
        <sz val="10"/>
        <rFont val="Times New Roman"/>
        <family val="1"/>
      </rPr>
      <t>Total</t>
    </r>
  </si>
  <si>
    <t>October Resident Enrollments</t>
  </si>
  <si>
    <t>Oct'12</t>
  </si>
  <si>
    <t>Oct '13</t>
  </si>
  <si>
    <t>FY24</t>
  </si>
  <si>
    <t>Fiscal Year</t>
  </si>
  <si>
    <t>Count Date</t>
  </si>
  <si>
    <r>
      <rPr>
        <b/>
        <sz val="10"/>
        <rFont val="Times New Roman"/>
        <family val="1"/>
      </rPr>
      <t>Town</t>
    </r>
  </si>
  <si>
    <r>
      <rPr>
        <b/>
        <sz val="10"/>
        <rFont val="Times New Roman"/>
        <family val="1"/>
      </rPr>
      <t>FY14</t>
    </r>
  </si>
  <si>
    <r>
      <rPr>
        <b/>
        <sz val="10"/>
        <rFont val="Times New Roman"/>
        <family val="1"/>
      </rPr>
      <t>FY15</t>
    </r>
  </si>
  <si>
    <r>
      <rPr>
        <b/>
        <sz val="10"/>
        <rFont val="Times New Roman"/>
        <family val="1"/>
      </rPr>
      <t>FY16</t>
    </r>
  </si>
  <si>
    <r>
      <rPr>
        <b/>
        <sz val="10"/>
        <rFont val="Times New Roman"/>
        <family val="1"/>
      </rPr>
      <t>FY17</t>
    </r>
  </si>
  <si>
    <r>
      <rPr>
        <b/>
        <sz val="10"/>
        <rFont val="Times New Roman"/>
        <family val="1"/>
      </rPr>
      <t>FY18</t>
    </r>
  </si>
  <si>
    <r>
      <rPr>
        <b/>
        <sz val="10"/>
        <rFont val="Times New Roman"/>
        <family val="1"/>
      </rPr>
      <t>FY19</t>
    </r>
  </si>
  <si>
    <r>
      <rPr>
        <b/>
        <sz val="10"/>
        <rFont val="Times New Roman"/>
        <family val="1"/>
      </rPr>
      <t>FY20</t>
    </r>
  </si>
  <si>
    <r>
      <rPr>
        <b/>
        <sz val="10"/>
        <rFont val="Times New Roman"/>
        <family val="1"/>
      </rPr>
      <t>FY21</t>
    </r>
  </si>
  <si>
    <r>
      <rPr>
        <b/>
        <sz val="10"/>
        <rFont val="Times New Roman"/>
        <family val="1"/>
      </rPr>
      <t>FY22</t>
    </r>
  </si>
  <si>
    <r>
      <rPr>
        <b/>
        <sz val="10"/>
        <rFont val="Times New Roman"/>
        <family val="1"/>
      </rPr>
      <t>FY23</t>
    </r>
  </si>
  <si>
    <r>
      <rPr>
        <sz val="10"/>
        <rFont val="Times New Roman"/>
        <family val="1"/>
      </rPr>
      <t>Boxford</t>
    </r>
  </si>
  <si>
    <r>
      <rPr>
        <sz val="10"/>
        <rFont val="Times New Roman"/>
        <family val="1"/>
      </rPr>
      <t>Middleton</t>
    </r>
  </si>
  <si>
    <r>
      <rPr>
        <sz val="10"/>
        <rFont val="Times New Roman"/>
        <family val="1"/>
      </rPr>
      <t>Topsfield</t>
    </r>
  </si>
  <si>
    <t>FY20</t>
  </si>
  <si>
    <t>FY23</t>
  </si>
  <si>
    <t>Operating Assessment</t>
  </si>
  <si>
    <t>Debt Assessment</t>
  </si>
  <si>
    <t>Masco Population change</t>
  </si>
  <si>
    <t>Topsfield Population Change</t>
  </si>
  <si>
    <t>Operating budget/pupil</t>
  </si>
  <si>
    <t>Police Cruisers</t>
  </si>
  <si>
    <t>include?</t>
  </si>
  <si>
    <t>G</t>
  </si>
  <si>
    <t>A</t>
  </si>
  <si>
    <t>Masco</t>
  </si>
  <si>
    <t>fy23</t>
  </si>
  <si>
    <t>New G.</t>
  </si>
  <si>
    <t>B</t>
  </si>
  <si>
    <t>C</t>
  </si>
  <si>
    <t>D</t>
  </si>
  <si>
    <t>E</t>
  </si>
  <si>
    <t>H</t>
  </si>
  <si>
    <t>Tops</t>
  </si>
  <si>
    <t>Over Budget</t>
  </si>
  <si>
    <t>GAS DISTRIBUTION</t>
  </si>
  <si>
    <t>vs FY23</t>
  </si>
  <si>
    <t>Optimized</t>
  </si>
  <si>
    <t>FY24 Budget</t>
  </si>
  <si>
    <t xml:space="preserve">Increase </t>
  </si>
  <si>
    <t>Target (1)</t>
  </si>
  <si>
    <t>(1) This is what is needed to reduce estimated ratio of (Appropriated-Expensed)/Appropriated to 4%</t>
  </si>
  <si>
    <t>Spending optimizations (2)</t>
  </si>
  <si>
    <t>(2) Back out some expense lines that have been added to base budget over past 4 years w/o explicit town vote.</t>
  </si>
  <si>
    <t>Fincomm Reserve increase (3)</t>
  </si>
  <si>
    <t>(3) Increase to offset any unexpected expenses that drive expenses higher than those budgeted</t>
  </si>
  <si>
    <t>School Base Budget Increase (4)</t>
  </si>
  <si>
    <t>(4)  Elementary and Masco budget per student is up 8%</t>
  </si>
  <si>
    <t>Proposed school budget</t>
  </si>
  <si>
    <t>Override</t>
  </si>
  <si>
    <t>Non-school</t>
  </si>
  <si>
    <t>amount ?</t>
  </si>
  <si>
    <t>Boxford</t>
  </si>
  <si>
    <t>Middleton</t>
  </si>
  <si>
    <t>FY24 vs FY23</t>
  </si>
  <si>
    <t>Amount</t>
  </si>
  <si>
    <t>FY2025</t>
  </si>
  <si>
    <t>FY-2025</t>
  </si>
  <si>
    <t>FY25DSEXC</t>
  </si>
  <si>
    <t>FY25NEDS</t>
  </si>
  <si>
    <t>off</t>
  </si>
  <si>
    <t>what does veteran consultant do?</t>
  </si>
  <si>
    <t>Oct'23</t>
  </si>
  <si>
    <t>Oct '22</t>
  </si>
  <si>
    <t>GASB</t>
  </si>
  <si>
    <t>FY25</t>
  </si>
  <si>
    <t>Assessor Software Upgrade</t>
  </si>
  <si>
    <t>Police Charging Station</t>
  </si>
  <si>
    <t>Police Radio Repeater</t>
  </si>
  <si>
    <t>Police Handguns</t>
  </si>
  <si>
    <t>Police AED</t>
  </si>
  <si>
    <t>Fire Truck</t>
  </si>
  <si>
    <t>Fire Storage Building</t>
  </si>
  <si>
    <t>Snow Plows</t>
  </si>
  <si>
    <t>Electric Lawnmower</t>
  </si>
  <si>
    <t>COA Bus</t>
  </si>
  <si>
    <t>Library WIFI Server</t>
  </si>
  <si>
    <t>Library Basement Water Remediation</t>
  </si>
  <si>
    <t>Water Meters</t>
  </si>
  <si>
    <t>Garden Street Tank Repaier</t>
  </si>
  <si>
    <t>Water Pressure Zones Study and Design</t>
  </si>
  <si>
    <t>North Street Pump Station Roof Replacement</t>
  </si>
  <si>
    <t>Klock Partk ground</t>
  </si>
  <si>
    <t>Pine Grove Cemetery Tree Removal</t>
  </si>
  <si>
    <t>Opiod Special Purpose Fund</t>
  </si>
  <si>
    <t>Topsfield</t>
  </si>
  <si>
    <t>Averaged populations</t>
  </si>
  <si>
    <t>3 year</t>
  </si>
  <si>
    <t>4 year</t>
  </si>
  <si>
    <t>Share calculation</t>
  </si>
  <si>
    <t>Foundation numbers - from DESE</t>
  </si>
  <si>
    <t>Minimum Contribution</t>
  </si>
  <si>
    <t>Total Town Contribution - operating</t>
  </si>
  <si>
    <t>Extra -  (includes transportation)</t>
  </si>
  <si>
    <t>Elementary</t>
  </si>
  <si>
    <t>Masco Budget</t>
  </si>
  <si>
    <t>Guideline</t>
  </si>
  <si>
    <t>Current</t>
  </si>
  <si>
    <t>In the Model</t>
  </si>
  <si>
    <t>Elementary Budget</t>
  </si>
  <si>
    <t>2024 Budget</t>
  </si>
  <si>
    <t>X-SPED</t>
  </si>
  <si>
    <t>2025 Guideline</t>
  </si>
  <si>
    <t>2025 XSPED (proposed)</t>
  </si>
  <si>
    <t xml:space="preserve">Total </t>
  </si>
  <si>
    <t>Fincom Guideline  XSPED steady</t>
  </si>
  <si>
    <t>Fincom Guideline w/ new XSPED</t>
  </si>
  <si>
    <t>Feb 13 Budget</t>
  </si>
  <si>
    <t>\</t>
  </si>
  <si>
    <t>xx</t>
  </si>
  <si>
    <t xml:space="preserve">Elementary </t>
  </si>
  <si>
    <t>with xsped removed</t>
  </si>
  <si>
    <t>FY 2024</t>
  </si>
  <si>
    <t>Delta</t>
  </si>
  <si>
    <t>FY24 Guidline</t>
  </si>
  <si>
    <t>"Xsped"</t>
  </si>
  <si>
    <t>More above</t>
  </si>
  <si>
    <t>FY 24</t>
  </si>
  <si>
    <t>Elementary - remove 24 xsped - 2.25% increase</t>
  </si>
  <si>
    <t>Elementary XSPED - new definition?</t>
  </si>
  <si>
    <t>Fincom Guideline FY25 - no change in Xsped definition</t>
  </si>
  <si>
    <t>7-0</t>
  </si>
  <si>
    <t>CAGR</t>
  </si>
  <si>
    <t>Gov</t>
  </si>
  <si>
    <t>Safety</t>
  </si>
  <si>
    <t>Elem</t>
  </si>
  <si>
    <t>DPW</t>
  </si>
  <si>
    <t>Human</t>
  </si>
  <si>
    <t>Culture</t>
  </si>
  <si>
    <t>Debt</t>
  </si>
  <si>
    <t>the vot</t>
  </si>
  <si>
    <t>6-1</t>
  </si>
  <si>
    <t>yy</t>
  </si>
  <si>
    <t>DL, CH</t>
  </si>
  <si>
    <t>DL,JG</t>
  </si>
  <si>
    <t>JG, DL</t>
  </si>
  <si>
    <t>JG,DL</t>
  </si>
  <si>
    <t>DL,CH</t>
  </si>
  <si>
    <t>DL, KH</t>
  </si>
  <si>
    <t>DL, HF</t>
  </si>
  <si>
    <t>KH, DL</t>
  </si>
  <si>
    <t>MH,MLG</t>
  </si>
  <si>
    <t>DL,MLG</t>
  </si>
  <si>
    <t>JG, MLG</t>
  </si>
  <si>
    <t>DL, MLG</t>
  </si>
  <si>
    <t>DL,HF</t>
  </si>
  <si>
    <t>DL,KH</t>
  </si>
  <si>
    <t>Masco Capital</t>
  </si>
  <si>
    <t>5-0-2</t>
  </si>
  <si>
    <t>ANNUAL MASCONOMET REGIONAL SCH. DIST. ASSMT</t>
  </si>
  <si>
    <t>2nd</t>
  </si>
  <si>
    <t>1st</t>
  </si>
  <si>
    <t>3rd</t>
  </si>
  <si>
    <t>Over sum</t>
  </si>
  <si>
    <t>Dept</t>
  </si>
  <si>
    <t>Active Military Duty Compensation</t>
  </si>
  <si>
    <t>Employye Retirement Buy Back</t>
  </si>
  <si>
    <t>Zoning MBTA Multi Fam Overlay</t>
  </si>
  <si>
    <t>Zoning bylaw Mult Fam</t>
  </si>
  <si>
    <t>Zoning Parking</t>
  </si>
  <si>
    <t>Zoning  Flood Plain</t>
  </si>
  <si>
    <t>Zoning  Buildable Area</t>
  </si>
  <si>
    <t xml:space="preserve">Zoning Use Regulations </t>
  </si>
  <si>
    <t>Zoning  Table of Uses</t>
  </si>
  <si>
    <t>Masco Capital Debt Auth</t>
  </si>
  <si>
    <t>Elem SPED Stabilization</t>
  </si>
  <si>
    <t>unvoted:</t>
  </si>
  <si>
    <t>Voted:</t>
  </si>
  <si>
    <t>9 yr CAGR</t>
  </si>
  <si>
    <t>5 Yr CAGR</t>
  </si>
  <si>
    <t>HF, DL</t>
  </si>
  <si>
    <t>HF,DL</t>
  </si>
  <si>
    <t>MLG, MH - no action</t>
  </si>
  <si>
    <t>6-0-1</t>
  </si>
  <si>
    <t>6-1-0</t>
  </si>
  <si>
    <t>9-year</t>
  </si>
  <si>
    <t>5 year</t>
  </si>
  <si>
    <t>Student Share, by year</t>
  </si>
  <si>
    <t>Topsfield FY24</t>
  </si>
  <si>
    <t>Masco at Guideline</t>
  </si>
  <si>
    <t>Override over Masco at 2.75%</t>
  </si>
  <si>
    <t>Over FY24</t>
  </si>
  <si>
    <t>was 60000</t>
  </si>
  <si>
    <t>CH,MLG</t>
  </si>
  <si>
    <t>CH,DL</t>
  </si>
  <si>
    <t>CH, MLG</t>
  </si>
  <si>
    <t>MLG,HF</t>
  </si>
  <si>
    <t>4-2</t>
  </si>
  <si>
    <t>5-1</t>
  </si>
  <si>
    <t>6-0</t>
  </si>
  <si>
    <t>HF,MLG</t>
  </si>
  <si>
    <t>Elementary Feb 27</t>
  </si>
  <si>
    <t>5-0-1</t>
  </si>
  <si>
    <t>4-1-1</t>
  </si>
  <si>
    <t>CH,HF</t>
  </si>
  <si>
    <t>3-2-1</t>
  </si>
  <si>
    <t>CH, DL</t>
  </si>
  <si>
    <t>FREE CASH TO OFFSET THE TAX RATE   $350,000</t>
  </si>
  <si>
    <t>Topsfield portion</t>
  </si>
  <si>
    <t>In Model</t>
  </si>
  <si>
    <t>Masco Final Budget</t>
  </si>
  <si>
    <t>Artificially low</t>
  </si>
  <si>
    <t xml:space="preserve"> Override  over Topsfield  at 3.30%</t>
  </si>
  <si>
    <t>Employee Retirement Buy 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</si>
</sst>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mmm\ dd\,\ \ yyyy"/>
    <numFmt numFmtId="166" formatCode="mm/dd/yy"/>
    <numFmt numFmtId="167" formatCode="mmmm\ d\,\ yyyy"/>
    <numFmt numFmtId="168" formatCode="_(* #,##0.00_);_(* \(#,##0.00\);_(* &quot;-&quot;_);_(@_)"/>
    <numFmt numFmtId="169" formatCode="0_);\(0\)"/>
    <numFmt numFmtId="170" formatCode="&quot;$&quot;#,##0"/>
    <numFmt numFmtId="171" formatCode="m/d/yy;@"/>
    <numFmt numFmtId="172" formatCode="_(* #,##0.000_);_(* \(#,##0.000\);_(* &quot;-&quot;_);_(@_)"/>
    <numFmt numFmtId="173" formatCode="_(* #,##0_);_(* \(#,##0\);_(* &quot;-&quot;??_);_(@_)"/>
    <numFmt numFmtId="174" formatCode="_(* #,##0.0000_);_(* \(#,##0.0000\);_(* &quot;-&quot;??_);_(@_)"/>
    <numFmt numFmtId="175" formatCode="_(&quot;$&quot;* #,##0_);_(&quot;$&quot;* \(#,##0\);_(&quot;$&quot;* &quot;-&quot;??_);_(@_)"/>
    <numFmt numFmtId="176" formatCode="#,##0.0"/>
    <numFmt numFmtId="177" formatCode="_(* #,##0.0_);_(* \(#,##0.0\);_(* &quot;-&quot;_);_(@_)"/>
    <numFmt numFmtId="178" formatCode="0.000%"/>
    <numFmt numFmtId="179" formatCode="_-* #,##0_-;\-* #,##0_-;_-* &quot;-&quot;??_-;_-@_-"/>
    <numFmt numFmtId="180" formatCode="#,##0.0000"/>
    <numFmt numFmtId="181" formatCode="_(* #,##0.0000_);_(* \(#,##0.0000\);_(* &quot;-&quot;_);_(@_)"/>
    <numFmt numFmtId="182" formatCode="&quot;$&quot;#,##0.00"/>
    <numFmt numFmtId="183" formatCode="0.0%"/>
    <numFmt numFmtId="184" formatCode="0.0000"/>
    <numFmt numFmtId="185" formatCode="m/d;@"/>
    <numFmt numFmtId="186" formatCode="&quot;$&quot;#,##0;&quot;$&quot;\-#,##0"/>
    <numFmt numFmtId="187" formatCode="&quot;$&quot;#,##0_);&quot;$&quot;\(#,##0\)"/>
    <numFmt numFmtId="188" formatCode="_-[$$-409]* #,##0_ ;_-[$$-409]* \-#,##0\ ;_-[$$-409]* &quot;-&quot;??_ ;_-@_ "/>
    <numFmt numFmtId="189" formatCode="_-[$$-409]* #,##0.00_ ;_-[$$-409]* \-#,##0.00\ ;_-[$$-409]* &quot;-&quot;??_ ;_-@_ "/>
    <numFmt numFmtId="190" formatCode="_(* #,##0.00000_);_(* \(#,##0.00000\);_(* &quot;-&quot;_);_(@_)"/>
    <numFmt numFmtId="191" formatCode="[$-409]d\-mmm;@"/>
    <numFmt numFmtId="192" formatCode="_(* #,##0.0_);_(* \(#,##0.0\);_(* &quot;-&quot;??_);_(@_)"/>
    <numFmt numFmtId="193" formatCode="[$$-409]#,##0"/>
    <numFmt numFmtId="194" formatCode="_([$$-409]* #,##0.00_);_([$$-409]* \(#,##0.00\);_([$$-409]* &quot;-&quot;??_);_(@_)"/>
  </numFmts>
  <fonts count="2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6"/>
      <name val="Arial"/>
      <family val="2"/>
    </font>
    <font>
      <u/>
      <sz val="6"/>
      <name val="Arial"/>
      <family val="2"/>
    </font>
    <font>
      <u/>
      <sz val="7"/>
      <name val="Arial"/>
      <family val="2"/>
    </font>
    <font>
      <b/>
      <u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i/>
      <u/>
      <sz val="7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i/>
      <u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/>
      <sz val="8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i/>
      <sz val="8"/>
      <color indexed="10"/>
      <name val="Arial"/>
      <family val="2"/>
    </font>
    <font>
      <b/>
      <i/>
      <sz val="7"/>
      <color indexed="10"/>
      <name val="Arial"/>
      <family val="2"/>
    </font>
    <font>
      <sz val="8"/>
      <name val="Arial"/>
      <family val="2"/>
    </font>
    <font>
      <sz val="6"/>
      <name val="Arial Narrow"/>
      <family val="2"/>
    </font>
    <font>
      <sz val="8"/>
      <name val="Arial Narrow"/>
      <family val="2"/>
    </font>
    <font>
      <sz val="8"/>
      <color indexed="10"/>
      <name val="Arial"/>
      <family val="2"/>
    </font>
    <font>
      <i/>
      <sz val="8"/>
      <color indexed="12"/>
      <name val="Calibri"/>
      <family val="2"/>
    </font>
    <font>
      <b/>
      <sz val="9"/>
      <color indexed="10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i/>
      <sz val="8"/>
      <color indexed="14"/>
      <name val="Arial"/>
      <family val="2"/>
    </font>
    <font>
      <i/>
      <sz val="10"/>
      <color indexed="10"/>
      <name val="Arial"/>
      <family val="2"/>
    </font>
    <font>
      <sz val="7"/>
      <color indexed="14"/>
      <name val="Arial"/>
      <family val="2"/>
    </font>
    <font>
      <sz val="8"/>
      <color indexed="14"/>
      <name val="Arial"/>
      <family val="2"/>
    </font>
    <font>
      <sz val="8"/>
      <color rgb="FF00B0F0"/>
      <name val="Arial"/>
      <family val="2"/>
    </font>
    <font>
      <i/>
      <sz val="8"/>
      <color rgb="FF00B0F0"/>
      <name val="Arial"/>
      <family val="2"/>
    </font>
    <font>
      <i/>
      <sz val="7"/>
      <color rgb="FF00B0F0"/>
      <name val="Arial"/>
      <family val="2"/>
    </font>
    <font>
      <i/>
      <sz val="8"/>
      <color indexed="10"/>
      <name val="Arial"/>
      <family val="2"/>
    </font>
    <font>
      <sz val="8"/>
      <color indexed="40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8"/>
      <name val="Arial"/>
      <family val="2"/>
    </font>
    <font>
      <sz val="7"/>
      <color rgb="FFFF0000"/>
      <name val="Arial"/>
      <family val="2"/>
    </font>
    <font>
      <sz val="10"/>
      <name val="Arial"/>
      <family val="2"/>
    </font>
    <font>
      <sz val="7"/>
      <color indexed="30"/>
      <name val="Arial"/>
      <family val="2"/>
    </font>
    <font>
      <sz val="7"/>
      <color indexed="8"/>
      <name val="Arial"/>
      <family val="2"/>
    </font>
    <font>
      <b/>
      <sz val="9"/>
      <color indexed="10"/>
      <name val="Times New Roman"/>
      <family val="1"/>
    </font>
    <font>
      <b/>
      <sz val="7"/>
      <color indexed="8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sz val="7"/>
      <color indexed="30"/>
      <name val="Arial"/>
      <family val="2"/>
    </font>
    <font>
      <strike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9"/>
      <color indexed="10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2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7"/>
      <color indexed="8"/>
      <name val="Arial"/>
      <family val="2"/>
    </font>
    <font>
      <b/>
      <sz val="7"/>
      <color indexed="57"/>
      <name val="Arial"/>
      <family val="2"/>
    </font>
    <font>
      <b/>
      <sz val="7"/>
      <color indexed="53"/>
      <name val="Arial"/>
      <family val="2"/>
    </font>
    <font>
      <b/>
      <sz val="7"/>
      <color indexed="12"/>
      <name val="Arial"/>
      <family val="2"/>
    </font>
    <font>
      <sz val="7"/>
      <color indexed="60"/>
      <name val="Arial"/>
      <family val="2"/>
    </font>
    <font>
      <sz val="7"/>
      <color indexed="53"/>
      <name val="Arial"/>
      <family val="2"/>
    </font>
    <font>
      <sz val="7"/>
      <color indexed="10"/>
      <name val="Arial"/>
      <family val="2"/>
    </font>
    <font>
      <b/>
      <sz val="7"/>
      <color indexed="48"/>
      <name val="Arial"/>
      <family val="2"/>
    </font>
    <font>
      <b/>
      <sz val="7"/>
      <color indexed="60"/>
      <name val="Arial"/>
      <family val="2"/>
    </font>
    <font>
      <sz val="7"/>
      <color indexed="57"/>
      <name val="Arial"/>
      <family val="2"/>
    </font>
    <font>
      <sz val="7"/>
      <color indexed="14"/>
      <name val="Arial"/>
      <family val="2"/>
    </font>
    <font>
      <sz val="7"/>
      <color rgb="FF00B0F0"/>
      <name val="Arial"/>
      <family val="2"/>
    </font>
    <font>
      <b/>
      <sz val="7"/>
      <color indexed="36"/>
      <name val="Arial"/>
      <family val="2"/>
    </font>
    <font>
      <sz val="7"/>
      <color indexed="30"/>
      <name val="Arial"/>
      <family val="2"/>
    </font>
    <font>
      <b/>
      <sz val="7"/>
      <color indexed="30"/>
      <name val="Arial"/>
      <family val="2"/>
    </font>
    <font>
      <sz val="7"/>
      <color indexed="48"/>
      <name val="Arial"/>
      <family val="2"/>
    </font>
    <font>
      <b/>
      <sz val="7"/>
      <color indexed="62"/>
      <name val="Arial"/>
      <family val="2"/>
    </font>
    <font>
      <sz val="7"/>
      <color indexed="56"/>
      <name val="Arial"/>
      <family val="2"/>
    </font>
    <font>
      <sz val="7"/>
      <color indexed="62"/>
      <name val="Arial"/>
      <family val="2"/>
    </font>
    <font>
      <sz val="7"/>
      <color indexed="36"/>
      <name val="Arial"/>
      <family val="2"/>
    </font>
    <font>
      <b/>
      <sz val="7"/>
      <color rgb="FFFF0000"/>
      <name val="Arial"/>
      <family val="2"/>
    </font>
    <font>
      <b/>
      <sz val="7"/>
      <color rgb="FF00B0F0"/>
      <name val="Arial"/>
      <family val="2"/>
    </font>
    <font>
      <sz val="7"/>
      <color indexed="17"/>
      <name val="Arial"/>
      <family val="2"/>
    </font>
    <font>
      <b/>
      <sz val="7"/>
      <color indexed="17"/>
      <name val="Arial"/>
      <family val="2"/>
    </font>
    <font>
      <b/>
      <sz val="10"/>
      <color indexed="10"/>
      <name val="Times New Roman"/>
      <family val="1"/>
    </font>
    <font>
      <b/>
      <sz val="7"/>
      <color indexed="10"/>
      <name val="Arial"/>
      <family val="2"/>
    </font>
    <font>
      <b/>
      <sz val="9"/>
      <color indexed="10"/>
      <name val="Times New Roman"/>
      <family val="1"/>
    </font>
    <font>
      <b/>
      <sz val="9"/>
      <color indexed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b/>
      <sz val="7"/>
      <color indexed="20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7"/>
      <color rgb="FFFF0000"/>
      <name val="Arial"/>
      <family val="2"/>
    </font>
    <font>
      <sz val="7"/>
      <name val="Arial"/>
      <family val="2"/>
    </font>
    <font>
      <b/>
      <sz val="8"/>
      <color indexed="2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theme="9" tint="-0.499984740745262"/>
      <name val="Arial"/>
      <family val="2"/>
    </font>
    <font>
      <sz val="8"/>
      <color rgb="FF00B0F0"/>
      <name val="Arial"/>
      <family val="2"/>
    </font>
    <font>
      <b/>
      <sz val="8"/>
      <name val="Arial"/>
      <family val="2"/>
    </font>
    <font>
      <b/>
      <sz val="8"/>
      <color theme="9" tint="-0.499984740745262"/>
      <name val="Arial"/>
      <family val="2"/>
    </font>
    <font>
      <sz val="8"/>
      <color theme="1"/>
      <name val="Arial"/>
      <family val="2"/>
    </font>
    <font>
      <sz val="7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4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7"/>
      <color rgb="FFFF6600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sz val="7"/>
      <color rgb="FF0000FF"/>
      <name val="Arial"/>
      <family val="2"/>
    </font>
    <font>
      <b/>
      <i/>
      <sz val="10"/>
      <color rgb="FFFF0000"/>
      <name val="Arial"/>
      <family val="2"/>
    </font>
    <font>
      <sz val="7"/>
      <color rgb="FF000000"/>
      <name val="Arial"/>
      <family val="2"/>
    </font>
    <font>
      <b/>
      <sz val="10"/>
      <color indexed="10"/>
      <name val="Arial"/>
      <family val="2"/>
    </font>
    <font>
      <sz val="7"/>
      <color theme="1"/>
      <name val="Arial"/>
      <family val="2"/>
    </font>
    <font>
      <b/>
      <sz val="6"/>
      <color rgb="FF0000FF"/>
      <name val="Arial"/>
      <family val="2"/>
    </font>
    <font>
      <sz val="6"/>
      <color rgb="FF0000FF"/>
      <name val="Arial"/>
      <family val="2"/>
    </font>
    <font>
      <strike/>
      <sz val="8"/>
      <name val="Arial"/>
      <family val="2"/>
    </font>
    <font>
      <b/>
      <sz val="10"/>
      <color rgb="FF000000"/>
      <name val="Arial"/>
      <family val="2"/>
    </font>
    <font>
      <sz val="7"/>
      <color rgb="FF080707"/>
      <name val="Arial"/>
      <family val="2"/>
    </font>
    <font>
      <b/>
      <i/>
      <sz val="8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rgb="FFFF6600"/>
      <name val="Arial"/>
      <family val="2"/>
    </font>
    <font>
      <b/>
      <sz val="10"/>
      <color indexed="36"/>
      <name val="Arial"/>
      <family val="2"/>
    </font>
    <font>
      <b/>
      <sz val="10"/>
      <color rgb="FF00B0F0"/>
      <name val="Arial"/>
      <family val="2"/>
    </font>
    <font>
      <i/>
      <sz val="11"/>
      <name val="Arial"/>
      <family val="2"/>
    </font>
    <font>
      <i/>
      <sz val="11"/>
      <color rgb="FF00B0F0"/>
      <name val="Arial"/>
      <family val="2"/>
    </font>
    <font>
      <sz val="11"/>
      <color indexed="53"/>
      <name val="Arial"/>
      <family val="2"/>
    </font>
    <font>
      <i/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color theme="0"/>
      <name val="Arial"/>
      <family val="2"/>
    </font>
    <font>
      <i/>
      <sz val="8"/>
      <color rgb="FFFFFF99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b/>
      <sz val="7"/>
      <color theme="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color theme="1"/>
      <name val="Arial"/>
      <family val="2"/>
    </font>
    <font>
      <b/>
      <sz val="7"/>
      <color rgb="FF0000FF"/>
      <name val="Arial"/>
      <family val="2"/>
    </font>
    <font>
      <b/>
      <sz val="7"/>
      <color rgb="FF00B050"/>
      <name val="Arial"/>
      <family val="2"/>
    </font>
    <font>
      <b/>
      <sz val="7"/>
      <color theme="9" tint="-0.499984740745262"/>
      <name val="Arial"/>
      <family val="2"/>
    </font>
    <font>
      <sz val="7"/>
      <color rgb="FF00B050"/>
      <name val="Arial"/>
      <family val="2"/>
    </font>
    <font>
      <u/>
      <sz val="11"/>
      <color theme="10"/>
      <name val="Calibri"/>
      <family val="2"/>
      <scheme val="minor"/>
    </font>
    <font>
      <b/>
      <sz val="6"/>
      <color rgb="FF7030A0"/>
      <name val="Arial"/>
      <family val="2"/>
    </font>
    <font>
      <b/>
      <sz val="6"/>
      <color theme="9" tint="-0.499984740745262"/>
      <name val="Arial"/>
      <family val="2"/>
    </font>
    <font>
      <b/>
      <sz val="6"/>
      <color rgb="FF00B050"/>
      <name val="Arial"/>
      <family val="2"/>
    </font>
    <font>
      <sz val="8"/>
      <color rgb="FF0000FF"/>
      <name val="Arial"/>
      <family val="2"/>
    </font>
    <font>
      <sz val="6"/>
      <color rgb="FF00B050"/>
      <name val="Arial"/>
      <family val="2"/>
    </font>
    <font>
      <sz val="6"/>
      <color indexed="20"/>
      <name val="Arial"/>
      <family val="2"/>
    </font>
    <font>
      <sz val="6"/>
      <color theme="9" tint="-0.499984740745262"/>
      <name val="Arial"/>
      <family val="2"/>
    </font>
    <font>
      <i/>
      <sz val="7"/>
      <color indexed="20"/>
      <name val="Arial"/>
      <family val="2"/>
    </font>
    <font>
      <i/>
      <sz val="7"/>
      <color rgb="FF7030A0"/>
      <name val="Arial"/>
      <family val="2"/>
    </font>
    <font>
      <i/>
      <sz val="7"/>
      <color rgb="FF0070C0"/>
      <name val="Arial"/>
      <family val="2"/>
    </font>
    <font>
      <sz val="6"/>
      <color theme="1"/>
      <name val="Arial"/>
      <family val="2"/>
    </font>
    <font>
      <i/>
      <sz val="6"/>
      <color rgb="FF0000FF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7"/>
      <color indexed="53"/>
      <name val="Arial"/>
      <family val="2"/>
    </font>
    <font>
      <i/>
      <sz val="9"/>
      <name val="Arial"/>
      <family val="2"/>
    </font>
    <font>
      <b/>
      <sz val="9"/>
      <color indexed="5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53"/>
      <name val="Arial"/>
      <family val="2"/>
    </font>
    <font>
      <i/>
      <strike/>
      <sz val="7"/>
      <name val="Arial"/>
      <family val="2"/>
    </font>
    <font>
      <i/>
      <strike/>
      <sz val="8"/>
      <name val="Arial"/>
      <family val="2"/>
    </font>
    <font>
      <sz val="11"/>
      <name val="Arial"/>
      <family val="2"/>
    </font>
    <font>
      <i/>
      <strike/>
      <sz val="10"/>
      <name val="Arial"/>
      <family val="2"/>
    </font>
    <font>
      <i/>
      <strike/>
      <sz val="11"/>
      <name val="Arial"/>
      <family val="2"/>
    </font>
    <font>
      <strike/>
      <sz val="10"/>
      <name val="Arial"/>
      <family val="2"/>
    </font>
    <font>
      <i/>
      <strike/>
      <sz val="7"/>
      <color rgb="FFFF0000"/>
      <name val="Arial"/>
      <family val="2"/>
    </font>
    <font>
      <sz val="12"/>
      <name val="Times New Roman"/>
      <family val="1"/>
    </font>
  </fonts>
  <fills count="6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lightGrid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/>
      <diagonal/>
    </border>
    <border>
      <left style="medium">
        <color rgb="FFFF0000"/>
      </left>
      <right/>
      <top style="thin">
        <color auto="1"/>
      </top>
      <bottom style="double">
        <color auto="1"/>
      </bottom>
      <diagonal/>
    </border>
    <border>
      <left style="medium">
        <color rgb="FFFF0000"/>
      </left>
      <right/>
      <top/>
      <bottom style="double">
        <color auto="1"/>
      </bottom>
      <diagonal/>
    </border>
    <border>
      <left style="medium">
        <color rgb="FFFF0000"/>
      </left>
      <right/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</borders>
  <cellStyleXfs count="53">
    <xf numFmtId="0" fontId="0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9" fillId="0" borderId="79" applyNumberFormat="0" applyFill="0" applyAlignment="0" applyProtection="0"/>
    <xf numFmtId="0" fontId="130" fillId="0" borderId="80" applyNumberFormat="0" applyFill="0" applyAlignment="0" applyProtection="0"/>
    <xf numFmtId="0" fontId="131" fillId="0" borderId="81" applyNumberFormat="0" applyFill="0" applyAlignment="0" applyProtection="0"/>
    <xf numFmtId="0" fontId="131" fillId="0" borderId="0" applyNumberFormat="0" applyFill="0" applyBorder="0" applyAlignment="0" applyProtection="0"/>
    <xf numFmtId="0" fontId="132" fillId="21" borderId="0" applyNumberFormat="0" applyBorder="0" applyAlignment="0" applyProtection="0"/>
    <xf numFmtId="0" fontId="133" fillId="22" borderId="0" applyNumberFormat="0" applyBorder="0" applyAlignment="0" applyProtection="0"/>
    <xf numFmtId="0" fontId="134" fillId="24" borderId="82" applyNumberFormat="0" applyAlignment="0" applyProtection="0"/>
    <xf numFmtId="0" fontId="135" fillId="25" borderId="83" applyNumberFormat="0" applyAlignment="0" applyProtection="0"/>
    <xf numFmtId="0" fontId="136" fillId="25" borderId="82" applyNumberFormat="0" applyAlignment="0" applyProtection="0"/>
    <xf numFmtId="0" fontId="137" fillId="0" borderId="84" applyNumberFormat="0" applyFill="0" applyAlignment="0" applyProtection="0"/>
    <xf numFmtId="0" fontId="138" fillId="26" borderId="85" applyNumberFormat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87" applyNumberFormat="0" applyFill="0" applyAlignment="0" applyProtection="0"/>
    <xf numFmtId="0" fontId="14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4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4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4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4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42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43" fillId="0" borderId="0" applyNumberFormat="0" applyFill="0" applyBorder="0" applyAlignment="0" applyProtection="0"/>
    <xf numFmtId="0" fontId="144" fillId="23" borderId="0" applyNumberFormat="0" applyBorder="0" applyAlignment="0" applyProtection="0"/>
    <xf numFmtId="0" fontId="1" fillId="27" borderId="86" applyNumberFormat="0" applyFont="0" applyAlignment="0" applyProtection="0"/>
    <xf numFmtId="0" fontId="142" fillId="31" borderId="0" applyNumberFormat="0" applyBorder="0" applyAlignment="0" applyProtection="0"/>
    <xf numFmtId="0" fontId="142" fillId="35" borderId="0" applyNumberFormat="0" applyBorder="0" applyAlignment="0" applyProtection="0"/>
    <xf numFmtId="0" fontId="142" fillId="39" borderId="0" applyNumberFormat="0" applyBorder="0" applyAlignment="0" applyProtection="0"/>
    <xf numFmtId="0" fontId="142" fillId="43" borderId="0" applyNumberFormat="0" applyBorder="0" applyAlignment="0" applyProtection="0"/>
    <xf numFmtId="0" fontId="142" fillId="47" borderId="0" applyNumberFormat="0" applyBorder="0" applyAlignment="0" applyProtection="0"/>
    <xf numFmtId="0" fontId="142" fillId="51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1" fillId="0" borderId="0" applyNumberFormat="0" applyFill="0" applyBorder="0" applyAlignment="0" applyProtection="0"/>
  </cellStyleXfs>
  <cellXfs count="2624">
    <xf numFmtId="0" fontId="0" fillId="0" borderId="0" xfId="0"/>
    <xf numFmtId="0" fontId="4" fillId="0" borderId="0" xfId="0" applyFont="1"/>
    <xf numFmtId="0" fontId="4" fillId="0" borderId="7" xfId="0" applyFont="1" applyBorder="1"/>
    <xf numFmtId="0" fontId="4" fillId="0" borderId="6" xfId="0" applyFont="1" applyBorder="1"/>
    <xf numFmtId="0" fontId="5" fillId="0" borderId="0" xfId="0" applyFont="1"/>
    <xf numFmtId="0" fontId="4" fillId="0" borderId="4" xfId="0" applyFont="1" applyBorder="1"/>
    <xf numFmtId="43" fontId="4" fillId="0" borderId="0" xfId="0" applyNumberFormat="1" applyFont="1"/>
    <xf numFmtId="0" fontId="7" fillId="0" borderId="0" xfId="0" applyFont="1"/>
    <xf numFmtId="0" fontId="8" fillId="3" borderId="0" xfId="0" applyFont="1" applyFill="1"/>
    <xf numFmtId="0" fontId="9" fillId="3" borderId="0" xfId="0" applyFont="1" applyFill="1"/>
    <xf numFmtId="1" fontId="7" fillId="0" borderId="0" xfId="0" applyNumberFormat="1" applyFont="1"/>
    <xf numFmtId="0" fontId="7" fillId="0" borderId="3" xfId="0" applyFont="1" applyBorder="1"/>
    <xf numFmtId="3" fontId="7" fillId="0" borderId="3" xfId="0" applyNumberFormat="1" applyFont="1" applyBorder="1"/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7" fillId="0" borderId="0" xfId="0" applyFont="1" applyAlignment="1">
      <alignment horizontal="left"/>
    </xf>
    <xf numFmtId="0" fontId="7" fillId="4" borderId="15" xfId="0" applyFont="1" applyFill="1" applyBorder="1"/>
    <xf numFmtId="3" fontId="7" fillId="4" borderId="16" xfId="0" applyNumberFormat="1" applyFont="1" applyFill="1" applyBorder="1"/>
    <xf numFmtId="0" fontId="9" fillId="0" borderId="0" xfId="0" applyFont="1"/>
    <xf numFmtId="43" fontId="10" fillId="0" borderId="0" xfId="0" applyNumberFormat="1" applyFont="1"/>
    <xf numFmtId="43" fontId="11" fillId="0" borderId="0" xfId="0" applyNumberFormat="1" applyFont="1"/>
    <xf numFmtId="44" fontId="7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2" fillId="0" borderId="0" xfId="0" applyFont="1"/>
    <xf numFmtId="0" fontId="13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4" fillId="0" borderId="3" xfId="0" applyFont="1" applyBorder="1"/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8" xfId="0" applyFont="1" applyBorder="1"/>
    <xf numFmtId="165" fontId="4" fillId="0" borderId="6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3" fontId="4" fillId="0" borderId="5" xfId="0" applyNumberFormat="1" applyFont="1" applyBorder="1" applyAlignment="1">
      <alignment horizontal="center"/>
    </xf>
    <xf numFmtId="43" fontId="4" fillId="0" borderId="23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0" fontId="4" fillId="0" borderId="9" xfId="0" applyFont="1" applyBorder="1"/>
    <xf numFmtId="165" fontId="4" fillId="0" borderId="7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4" fillId="0" borderId="7" xfId="0" applyNumberFormat="1" applyFont="1" applyBorder="1" applyAlignment="1">
      <alignment horizontal="center"/>
    </xf>
    <xf numFmtId="43" fontId="4" fillId="0" borderId="3" xfId="0" applyNumberFormat="1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167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/>
    <xf numFmtId="0" fontId="4" fillId="0" borderId="5" xfId="0" applyFont="1" applyBorder="1"/>
    <xf numFmtId="0" fontId="4" fillId="0" borderId="4" xfId="0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43" fontId="6" fillId="0" borderId="4" xfId="0" applyNumberFormat="1" applyFont="1" applyBorder="1" applyAlignment="1">
      <alignment horizontal="center"/>
    </xf>
    <xf numFmtId="43" fontId="4" fillId="0" borderId="19" xfId="0" applyNumberFormat="1" applyFont="1" applyBorder="1" applyAlignment="1">
      <alignment horizontal="center"/>
    </xf>
    <xf numFmtId="43" fontId="4" fillId="0" borderId="6" xfId="0" applyNumberFormat="1" applyFont="1" applyBorder="1" applyAlignment="1">
      <alignment horizontal="center"/>
    </xf>
    <xf numFmtId="43" fontId="4" fillId="0" borderId="8" xfId="0" applyNumberFormat="1" applyFont="1" applyBorder="1" applyAlignment="1">
      <alignment horizontal="center"/>
    </xf>
    <xf numFmtId="0" fontId="4" fillId="5" borderId="9" xfId="0" applyFont="1" applyFill="1" applyBorder="1"/>
    <xf numFmtId="43" fontId="4" fillId="0" borderId="0" xfId="0" applyNumberFormat="1" applyFont="1" applyAlignment="1">
      <alignment horizontal="center"/>
    </xf>
    <xf numFmtId="43" fontId="4" fillId="0" borderId="9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9" xfId="0" applyFont="1" applyBorder="1"/>
    <xf numFmtId="167" fontId="4" fillId="0" borderId="5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4" fillId="0" borderId="27" xfId="0" applyFont="1" applyBorder="1"/>
    <xf numFmtId="41" fontId="15" fillId="0" borderId="27" xfId="0" applyNumberFormat="1" applyFont="1" applyBorder="1"/>
    <xf numFmtId="41" fontId="7" fillId="0" borderId="27" xfId="0" applyNumberFormat="1" applyFont="1" applyBorder="1"/>
    <xf numFmtId="0" fontId="15" fillId="0" borderId="27" xfId="0" applyFont="1" applyBorder="1"/>
    <xf numFmtId="0" fontId="15" fillId="0" borderId="35" xfId="0" applyFont="1" applyBorder="1"/>
    <xf numFmtId="41" fontId="15" fillId="0" borderId="35" xfId="0" applyNumberFormat="1" applyFont="1" applyBorder="1"/>
    <xf numFmtId="0" fontId="15" fillId="0" borderId="30" xfId="0" applyFont="1" applyBorder="1"/>
    <xf numFmtId="0" fontId="15" fillId="0" borderId="0" xfId="0" applyFont="1"/>
    <xf numFmtId="41" fontId="7" fillId="0" borderId="0" xfId="0" applyNumberFormat="1" applyFont="1"/>
    <xf numFmtId="3" fontId="16" fillId="2" borderId="26" xfId="0" applyNumberFormat="1" applyFont="1" applyFill="1" applyBorder="1"/>
    <xf numFmtId="3" fontId="17" fillId="2" borderId="39" xfId="0" applyNumberFormat="1" applyFont="1" applyFill="1" applyBorder="1" applyAlignment="1">
      <alignment horizontal="centerContinuous"/>
    </xf>
    <xf numFmtId="3" fontId="16" fillId="2" borderId="39" xfId="0" applyNumberFormat="1" applyFont="1" applyFill="1" applyBorder="1" applyAlignment="1">
      <alignment horizontal="centerContinuous"/>
    </xf>
    <xf numFmtId="0" fontId="16" fillId="0" borderId="0" xfId="0" applyFont="1"/>
    <xf numFmtId="0" fontId="16" fillId="0" borderId="29" xfId="0" applyFont="1" applyBorder="1"/>
    <xf numFmtId="3" fontId="16" fillId="2" borderId="29" xfId="0" applyNumberFormat="1" applyFont="1" applyFill="1" applyBorder="1"/>
    <xf numFmtId="3" fontId="17" fillId="2" borderId="29" xfId="0" applyNumberFormat="1" applyFont="1" applyFill="1" applyBorder="1"/>
    <xf numFmtId="3" fontId="17" fillId="2" borderId="26" xfId="0" applyNumberFormat="1" applyFont="1" applyFill="1" applyBorder="1" applyAlignment="1">
      <alignment horizontal="center"/>
    </xf>
    <xf numFmtId="3" fontId="17" fillId="2" borderId="29" xfId="0" applyNumberFormat="1" applyFont="1" applyFill="1" applyBorder="1" applyAlignment="1">
      <alignment horizontal="center"/>
    </xf>
    <xf numFmtId="0" fontId="17" fillId="2" borderId="32" xfId="0" applyFont="1" applyFill="1" applyBorder="1" applyAlignment="1">
      <alignment horizontal="centerContinuous"/>
    </xf>
    <xf numFmtId="3" fontId="17" fillId="2" borderId="27" xfId="0" applyNumberFormat="1" applyFont="1" applyFill="1" applyBorder="1"/>
    <xf numFmtId="3" fontId="17" fillId="2" borderId="27" xfId="0" applyNumberFormat="1" applyFont="1" applyFill="1" applyBorder="1" applyAlignment="1">
      <alignment horizontal="center"/>
    </xf>
    <xf numFmtId="3" fontId="18" fillId="2" borderId="29" xfId="0" applyNumberFormat="1" applyFont="1" applyFill="1" applyBorder="1"/>
    <xf numFmtId="3" fontId="16" fillId="2" borderId="32" xfId="0" applyNumberFormat="1" applyFont="1" applyFill="1" applyBorder="1"/>
    <xf numFmtId="3" fontId="17" fillId="2" borderId="32" xfId="0" applyNumberFormat="1" applyFont="1" applyFill="1" applyBorder="1"/>
    <xf numFmtId="0" fontId="17" fillId="2" borderId="32" xfId="0" applyFont="1" applyFill="1" applyBorder="1"/>
    <xf numFmtId="0" fontId="16" fillId="2" borderId="32" xfId="0" applyFont="1" applyFill="1" applyBorder="1"/>
    <xf numFmtId="3" fontId="17" fillId="2" borderId="32" xfId="0" applyNumberFormat="1" applyFont="1" applyFill="1" applyBorder="1" applyAlignment="1">
      <alignment horizontal="center"/>
    </xf>
    <xf numFmtId="0" fontId="17" fillId="2" borderId="32" xfId="0" applyFont="1" applyFill="1" applyBorder="1" applyAlignment="1">
      <alignment horizontal="center"/>
    </xf>
    <xf numFmtId="3" fontId="17" fillId="2" borderId="30" xfId="0" applyNumberFormat="1" applyFont="1" applyFill="1" applyBorder="1" applyAlignment="1">
      <alignment horizontal="center"/>
    </xf>
    <xf numFmtId="0" fontId="19" fillId="0" borderId="29" xfId="0" applyFont="1" applyBorder="1"/>
    <xf numFmtId="3" fontId="19" fillId="0" borderId="26" xfId="0" applyNumberFormat="1" applyFont="1" applyBorder="1"/>
    <xf numFmtId="3" fontId="16" fillId="0" borderId="26" xfId="0" applyNumberFormat="1" applyFont="1" applyBorder="1"/>
    <xf numFmtId="3" fontId="19" fillId="0" borderId="29" xfId="0" applyNumberFormat="1" applyFont="1" applyBorder="1"/>
    <xf numFmtId="3" fontId="16" fillId="0" borderId="27" xfId="0" applyNumberFormat="1" applyFont="1" applyBorder="1"/>
    <xf numFmtId="0" fontId="19" fillId="0" borderId="0" xfId="0" applyFont="1"/>
    <xf numFmtId="3" fontId="16" fillId="0" borderId="29" xfId="0" applyNumberFormat="1" applyFont="1" applyBorder="1"/>
    <xf numFmtId="3" fontId="19" fillId="3" borderId="29" xfId="0" applyNumberFormat="1" applyFont="1" applyFill="1" applyBorder="1"/>
    <xf numFmtId="3" fontId="19" fillId="0" borderId="32" xfId="0" applyNumberFormat="1" applyFont="1" applyBorder="1"/>
    <xf numFmtId="3" fontId="16" fillId="0" borderId="30" xfId="0" applyNumberFormat="1" applyFont="1" applyBorder="1"/>
    <xf numFmtId="3" fontId="19" fillId="6" borderId="29" xfId="0" applyNumberFormat="1" applyFont="1" applyFill="1" applyBorder="1"/>
    <xf numFmtId="3" fontId="19" fillId="6" borderId="40" xfId="0" applyNumberFormat="1" applyFont="1" applyFill="1" applyBorder="1"/>
    <xf numFmtId="3" fontId="20" fillId="0" borderId="27" xfId="0" applyNumberFormat="1" applyFont="1" applyBorder="1"/>
    <xf numFmtId="3" fontId="21" fillId="0" borderId="29" xfId="0" applyNumberFormat="1" applyFont="1" applyBorder="1"/>
    <xf numFmtId="0" fontId="19" fillId="0" borderId="32" xfId="0" applyFont="1" applyBorder="1"/>
    <xf numFmtId="3" fontId="19" fillId="0" borderId="39" xfId="0" applyNumberFormat="1" applyFont="1" applyBorder="1"/>
    <xf numFmtId="3" fontId="17" fillId="0" borderId="39" xfId="0" applyNumberFormat="1" applyFont="1" applyBorder="1"/>
    <xf numFmtId="3" fontId="21" fillId="0" borderId="39" xfId="0" applyNumberFormat="1" applyFont="1" applyBorder="1"/>
    <xf numFmtId="3" fontId="21" fillId="6" borderId="39" xfId="0" applyNumberFormat="1" applyFont="1" applyFill="1" applyBorder="1"/>
    <xf numFmtId="3" fontId="16" fillId="0" borderId="36" xfId="0" applyNumberFormat="1" applyFont="1" applyBorder="1"/>
    <xf numFmtId="3" fontId="19" fillId="0" borderId="0" xfId="0" applyNumberFormat="1" applyFont="1"/>
    <xf numFmtId="3" fontId="16" fillId="0" borderId="0" xfId="0" applyNumberFormat="1" applyFont="1"/>
    <xf numFmtId="0" fontId="20" fillId="0" borderId="0" xfId="0" applyFont="1"/>
    <xf numFmtId="3" fontId="23" fillId="0" borderId="0" xfId="0" applyNumberFormat="1" applyFont="1"/>
    <xf numFmtId="0" fontId="19" fillId="0" borderId="28" xfId="0" applyFont="1" applyBorder="1"/>
    <xf numFmtId="0" fontId="24" fillId="0" borderId="0" xfId="0" applyFont="1"/>
    <xf numFmtId="0" fontId="25" fillId="0" borderId="0" xfId="0" applyFont="1"/>
    <xf numFmtId="0" fontId="21" fillId="0" borderId="0" xfId="0" applyFont="1" applyAlignment="1">
      <alignment horizontal="center"/>
    </xf>
    <xf numFmtId="0" fontId="26" fillId="0" borderId="0" xfId="0" applyFont="1"/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19" fillId="0" borderId="26" xfId="0" applyFont="1" applyBorder="1"/>
    <xf numFmtId="0" fontId="19" fillId="0" borderId="33" xfId="0" applyFont="1" applyBorder="1"/>
    <xf numFmtId="0" fontId="19" fillId="0" borderId="25" xfId="0" applyFont="1" applyBorder="1"/>
    <xf numFmtId="0" fontId="21" fillId="0" borderId="4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19" fillId="0" borderId="46" xfId="0" applyFont="1" applyBorder="1"/>
    <xf numFmtId="43" fontId="19" fillId="0" borderId="4" xfId="0" applyNumberFormat="1" applyFont="1" applyBorder="1"/>
    <xf numFmtId="0" fontId="19" fillId="0" borderId="4" xfId="0" applyFont="1" applyBorder="1"/>
    <xf numFmtId="0" fontId="19" fillId="0" borderId="44" xfId="0" applyFont="1" applyBorder="1"/>
    <xf numFmtId="3" fontId="19" fillId="0" borderId="3" xfId="0" applyNumberFormat="1" applyFont="1" applyBorder="1"/>
    <xf numFmtId="43" fontId="19" fillId="0" borderId="2" xfId="0" applyNumberFormat="1" applyFont="1" applyBorder="1"/>
    <xf numFmtId="3" fontId="19" fillId="0" borderId="45" xfId="0" applyNumberFormat="1" applyFont="1" applyBorder="1"/>
    <xf numFmtId="43" fontId="19" fillId="0" borderId="10" xfId="0" applyNumberFormat="1" applyFont="1" applyBorder="1"/>
    <xf numFmtId="3" fontId="19" fillId="0" borderId="47" xfId="0" applyNumberFormat="1" applyFont="1" applyBorder="1"/>
    <xf numFmtId="3" fontId="19" fillId="0" borderId="28" xfId="0" applyNumberFormat="1" applyFont="1" applyBorder="1"/>
    <xf numFmtId="3" fontId="19" fillId="0" borderId="44" xfId="0" applyNumberFormat="1" applyFont="1" applyBorder="1"/>
    <xf numFmtId="0" fontId="25" fillId="0" borderId="29" xfId="0" applyFont="1" applyBorder="1"/>
    <xf numFmtId="43" fontId="19" fillId="0" borderId="48" xfId="0" applyNumberFormat="1" applyFont="1" applyBorder="1"/>
    <xf numFmtId="43" fontId="19" fillId="0" borderId="49" xfId="0" applyNumberFormat="1" applyFont="1" applyBorder="1"/>
    <xf numFmtId="0" fontId="19" fillId="0" borderId="21" xfId="0" applyFont="1" applyBorder="1"/>
    <xf numFmtId="3" fontId="19" fillId="0" borderId="50" xfId="0" applyNumberFormat="1" applyFont="1" applyBorder="1"/>
    <xf numFmtId="0" fontId="19" fillId="3" borderId="0" xfId="0" applyFont="1" applyFill="1"/>
    <xf numFmtId="0" fontId="19" fillId="0" borderId="29" xfId="0" applyFont="1" applyBorder="1" applyAlignment="1">
      <alignment horizontal="right"/>
    </xf>
    <xf numFmtId="3" fontId="19" fillId="0" borderId="51" xfId="0" applyNumberFormat="1" applyFont="1" applyBorder="1"/>
    <xf numFmtId="0" fontId="19" fillId="0" borderId="37" xfId="0" applyFont="1" applyBorder="1"/>
    <xf numFmtId="0" fontId="19" fillId="0" borderId="3" xfId="0" applyFont="1" applyBorder="1"/>
    <xf numFmtId="0" fontId="19" fillId="0" borderId="52" xfId="0" applyFont="1" applyBorder="1"/>
    <xf numFmtId="3" fontId="19" fillId="0" borderId="21" xfId="0" applyNumberFormat="1" applyFont="1" applyBorder="1"/>
    <xf numFmtId="0" fontId="19" fillId="0" borderId="31" xfId="0" applyFont="1" applyBorder="1"/>
    <xf numFmtId="0" fontId="21" fillId="2" borderId="53" xfId="0" applyFont="1" applyFill="1" applyBorder="1"/>
    <xf numFmtId="0" fontId="21" fillId="2" borderId="46" xfId="0" applyFont="1" applyFill="1" applyBorder="1"/>
    <xf numFmtId="0" fontId="21" fillId="2" borderId="54" xfId="0" applyFont="1" applyFill="1" applyBorder="1"/>
    <xf numFmtId="3" fontId="19" fillId="0" borderId="49" xfId="0" applyNumberFormat="1" applyFont="1" applyBorder="1"/>
    <xf numFmtId="0" fontId="21" fillId="0" borderId="25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19" fillId="0" borderId="40" xfId="0" applyFont="1" applyBorder="1"/>
    <xf numFmtId="0" fontId="19" fillId="0" borderId="20" xfId="0" applyFont="1" applyBorder="1"/>
    <xf numFmtId="3" fontId="19" fillId="0" borderId="56" xfId="0" applyNumberFormat="1" applyFont="1" applyBorder="1"/>
    <xf numFmtId="0" fontId="19" fillId="0" borderId="2" xfId="0" applyFont="1" applyBorder="1"/>
    <xf numFmtId="3" fontId="19" fillId="0" borderId="52" xfId="0" applyNumberFormat="1" applyFont="1" applyBorder="1"/>
    <xf numFmtId="0" fontId="19" fillId="0" borderId="55" xfId="0" applyFont="1" applyBorder="1"/>
    <xf numFmtId="3" fontId="19" fillId="0" borderId="31" xfId="0" applyNumberFormat="1" applyFont="1" applyBorder="1"/>
    <xf numFmtId="0" fontId="21" fillId="2" borderId="26" xfId="0" applyFont="1" applyFill="1" applyBorder="1"/>
    <xf numFmtId="0" fontId="21" fillId="2" borderId="29" xfId="0" applyFont="1" applyFill="1" applyBorder="1"/>
    <xf numFmtId="0" fontId="19" fillId="2" borderId="29" xfId="0" applyFont="1" applyFill="1" applyBorder="1"/>
    <xf numFmtId="0" fontId="19" fillId="2" borderId="32" xfId="0" applyFont="1" applyFill="1" applyBorder="1"/>
    <xf numFmtId="0" fontId="21" fillId="0" borderId="57" xfId="0" applyFont="1" applyBorder="1"/>
    <xf numFmtId="0" fontId="21" fillId="0" borderId="25" xfId="0" applyFont="1" applyBorder="1"/>
    <xf numFmtId="0" fontId="21" fillId="0" borderId="0" xfId="0" applyFont="1"/>
    <xf numFmtId="0" fontId="21" fillId="0" borderId="6" xfId="0" applyFont="1" applyBorder="1"/>
    <xf numFmtId="0" fontId="21" fillId="0" borderId="28" xfId="0" applyFont="1" applyBorder="1"/>
    <xf numFmtId="0" fontId="21" fillId="0" borderId="7" xfId="0" applyFont="1" applyBorder="1" applyAlignment="1">
      <alignment horizontal="center"/>
    </xf>
    <xf numFmtId="0" fontId="21" fillId="0" borderId="7" xfId="0" applyFont="1" applyBorder="1"/>
    <xf numFmtId="0" fontId="21" fillId="0" borderId="52" xfId="0" applyFont="1" applyBorder="1"/>
    <xf numFmtId="0" fontId="19" fillId="0" borderId="6" xfId="0" applyFont="1" applyBorder="1"/>
    <xf numFmtId="0" fontId="21" fillId="0" borderId="29" xfId="0" applyFont="1" applyBorder="1"/>
    <xf numFmtId="44" fontId="19" fillId="0" borderId="6" xfId="0" applyNumberFormat="1" applyFont="1" applyBorder="1"/>
    <xf numFmtId="44" fontId="19" fillId="0" borderId="7" xfId="0" applyNumberFormat="1" applyFont="1" applyBorder="1"/>
    <xf numFmtId="44" fontId="19" fillId="0" borderId="21" xfId="0" applyNumberFormat="1" applyFont="1" applyBorder="1"/>
    <xf numFmtId="44" fontId="19" fillId="0" borderId="0" xfId="0" applyNumberFormat="1" applyFont="1"/>
    <xf numFmtId="0" fontId="21" fillId="2" borderId="33" xfId="0" applyFont="1" applyFill="1" applyBorder="1"/>
    <xf numFmtId="0" fontId="21" fillId="2" borderId="25" xfId="0" applyFont="1" applyFill="1" applyBorder="1"/>
    <xf numFmtId="0" fontId="21" fillId="2" borderId="0" xfId="0" applyFont="1" applyFill="1"/>
    <xf numFmtId="0" fontId="21" fillId="2" borderId="28" xfId="0" applyFont="1" applyFill="1" applyBorder="1"/>
    <xf numFmtId="0" fontId="21" fillId="2" borderId="32" xfId="0" applyFont="1" applyFill="1" applyBorder="1"/>
    <xf numFmtId="0" fontId="21" fillId="2" borderId="21" xfId="0" applyFont="1" applyFill="1" applyBorder="1"/>
    <xf numFmtId="0" fontId="21" fillId="2" borderId="31" xfId="0" applyFont="1" applyFill="1" applyBorder="1"/>
    <xf numFmtId="3" fontId="4" fillId="2" borderId="26" xfId="0" applyNumberFormat="1" applyFont="1" applyFill="1" applyBorder="1"/>
    <xf numFmtId="3" fontId="5" fillId="2" borderId="39" xfId="0" applyNumberFormat="1" applyFont="1" applyFill="1" applyBorder="1" applyAlignment="1">
      <alignment horizontal="centerContinuous"/>
    </xf>
    <xf numFmtId="3" fontId="4" fillId="2" borderId="39" xfId="0" applyNumberFormat="1" applyFont="1" applyFill="1" applyBorder="1" applyAlignment="1">
      <alignment horizontal="centerContinuous"/>
    </xf>
    <xf numFmtId="3" fontId="4" fillId="2" borderId="26" xfId="0" applyNumberFormat="1" applyFont="1" applyFill="1" applyBorder="1" applyAlignment="1">
      <alignment horizontal="centerContinuous"/>
    </xf>
    <xf numFmtId="3" fontId="4" fillId="2" borderId="24" xfId="0" applyNumberFormat="1" applyFont="1" applyFill="1" applyBorder="1"/>
    <xf numFmtId="3" fontId="4" fillId="2" borderId="29" xfId="0" applyNumberFormat="1" applyFont="1" applyFill="1" applyBorder="1"/>
    <xf numFmtId="3" fontId="5" fillId="2" borderId="29" xfId="0" applyNumberFormat="1" applyFont="1" applyFill="1" applyBorder="1"/>
    <xf numFmtId="3" fontId="5" fillId="2" borderId="26" xfId="0" applyNumberFormat="1" applyFont="1" applyFill="1" applyBorder="1" applyAlignment="1">
      <alignment horizontal="center"/>
    </xf>
    <xf numFmtId="3" fontId="5" fillId="2" borderId="29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Continuous"/>
    </xf>
    <xf numFmtId="3" fontId="5" fillId="2" borderId="27" xfId="0" applyNumberFormat="1" applyFont="1" applyFill="1" applyBorder="1"/>
    <xf numFmtId="3" fontId="5" fillId="2" borderId="27" xfId="0" applyNumberFormat="1" applyFont="1" applyFill="1" applyBorder="1" applyAlignment="1">
      <alignment horizontal="center"/>
    </xf>
    <xf numFmtId="3" fontId="13" fillId="2" borderId="29" xfId="0" applyNumberFormat="1" applyFont="1" applyFill="1" applyBorder="1"/>
    <xf numFmtId="0" fontId="5" fillId="2" borderId="29" xfId="0" applyFont="1" applyFill="1" applyBorder="1" applyAlignment="1">
      <alignment horizontal="center"/>
    </xf>
    <xf numFmtId="3" fontId="4" fillId="2" borderId="32" xfId="0" applyNumberFormat="1" applyFont="1" applyFill="1" applyBorder="1"/>
    <xf numFmtId="3" fontId="5" fillId="2" borderId="32" xfId="0" applyNumberFormat="1" applyFont="1" applyFill="1" applyBorder="1"/>
    <xf numFmtId="0" fontId="5" fillId="2" borderId="32" xfId="0" applyFont="1" applyFill="1" applyBorder="1"/>
    <xf numFmtId="0" fontId="4" fillId="2" borderId="32" xfId="0" applyFont="1" applyFill="1" applyBorder="1"/>
    <xf numFmtId="3" fontId="5" fillId="2" borderId="32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3" fontId="5" fillId="2" borderId="30" xfId="0" applyNumberFormat="1" applyFont="1" applyFill="1" applyBorder="1" applyAlignment="1">
      <alignment horizontal="center"/>
    </xf>
    <xf numFmtId="3" fontId="7" fillId="0" borderId="26" xfId="0" applyNumberFormat="1" applyFont="1" applyBorder="1"/>
    <xf numFmtId="3" fontId="4" fillId="0" borderId="26" xfId="0" applyNumberFormat="1" applyFont="1" applyBorder="1"/>
    <xf numFmtId="3" fontId="7" fillId="0" borderId="29" xfId="0" applyNumberFormat="1" applyFont="1" applyBorder="1"/>
    <xf numFmtId="3" fontId="4" fillId="0" borderId="27" xfId="0" applyNumberFormat="1" applyFont="1" applyBorder="1"/>
    <xf numFmtId="3" fontId="4" fillId="0" borderId="29" xfId="0" applyNumberFormat="1" applyFont="1" applyBorder="1"/>
    <xf numFmtId="3" fontId="7" fillId="3" borderId="29" xfId="0" applyNumberFormat="1" applyFont="1" applyFill="1" applyBorder="1"/>
    <xf numFmtId="3" fontId="7" fillId="0" borderId="32" xfId="0" applyNumberFormat="1" applyFont="1" applyBorder="1"/>
    <xf numFmtId="3" fontId="4" fillId="0" borderId="32" xfId="0" applyNumberFormat="1" applyFont="1" applyBorder="1"/>
    <xf numFmtId="3" fontId="4" fillId="0" borderId="30" xfId="0" applyNumberFormat="1" applyFont="1" applyBorder="1"/>
    <xf numFmtId="3" fontId="5" fillId="0" borderId="37" xfId="0" applyNumberFormat="1" applyFont="1" applyBorder="1"/>
    <xf numFmtId="3" fontId="7" fillId="0" borderId="37" xfId="0" applyNumberFormat="1" applyFont="1" applyBorder="1"/>
    <xf numFmtId="3" fontId="7" fillId="6" borderId="29" xfId="0" applyNumberFormat="1" applyFont="1" applyFill="1" applyBorder="1"/>
    <xf numFmtId="3" fontId="5" fillId="0" borderId="29" xfId="0" applyNumberFormat="1" applyFont="1" applyBorder="1"/>
    <xf numFmtId="3" fontId="5" fillId="3" borderId="29" xfId="0" applyNumberFormat="1" applyFont="1" applyFill="1" applyBorder="1"/>
    <xf numFmtId="3" fontId="7" fillId="6" borderId="40" xfId="0" applyNumberFormat="1" applyFont="1" applyFill="1" applyBorder="1"/>
    <xf numFmtId="3" fontId="10" fillId="0" borderId="27" xfId="0" applyNumberFormat="1" applyFont="1" applyBorder="1"/>
    <xf numFmtId="3" fontId="27" fillId="0" borderId="29" xfId="0" applyNumberFormat="1" applyFont="1" applyBorder="1"/>
    <xf numFmtId="3" fontId="5" fillId="3" borderId="41" xfId="0" applyNumberFormat="1" applyFont="1" applyFill="1" applyBorder="1"/>
    <xf numFmtId="3" fontId="7" fillId="0" borderId="41" xfId="0" applyNumberFormat="1" applyFont="1" applyBorder="1"/>
    <xf numFmtId="3" fontId="7" fillId="0" borderId="39" xfId="0" applyNumberFormat="1" applyFont="1" applyBorder="1"/>
    <xf numFmtId="3" fontId="5" fillId="0" borderId="39" xfId="0" applyNumberFormat="1" applyFont="1" applyBorder="1"/>
    <xf numFmtId="3" fontId="27" fillId="0" borderId="39" xfId="0" applyNumberFormat="1" applyFont="1" applyBorder="1"/>
    <xf numFmtId="3" fontId="27" fillId="6" borderId="39" xfId="0" applyNumberFormat="1" applyFont="1" applyFill="1" applyBorder="1"/>
    <xf numFmtId="3" fontId="4" fillId="0" borderId="36" xfId="0" applyNumberFormat="1" applyFont="1" applyBorder="1"/>
    <xf numFmtId="3" fontId="4" fillId="0" borderId="0" xfId="0" applyNumberFormat="1" applyFont="1"/>
    <xf numFmtId="0" fontId="6" fillId="0" borderId="0" xfId="0" applyFont="1"/>
    <xf numFmtId="3" fontId="28" fillId="0" borderId="0" xfId="0" applyNumberFormat="1" applyFont="1"/>
    <xf numFmtId="0" fontId="10" fillId="0" borderId="0" xfId="0" applyFont="1"/>
    <xf numFmtId="3" fontId="29" fillId="0" borderId="0" xfId="0" applyNumberFormat="1" applyFont="1"/>
    <xf numFmtId="3" fontId="9" fillId="0" borderId="0" xfId="0" applyNumberFormat="1" applyFont="1"/>
    <xf numFmtId="0" fontId="30" fillId="0" borderId="0" xfId="0" applyFont="1"/>
    <xf numFmtId="0" fontId="4" fillId="0" borderId="29" xfId="0" applyFont="1" applyBorder="1"/>
    <xf numFmtId="0" fontId="7" fillId="0" borderId="28" xfId="0" applyFont="1" applyBorder="1"/>
    <xf numFmtId="0" fontId="31" fillId="0" borderId="0" xfId="0" applyFont="1"/>
    <xf numFmtId="0" fontId="27" fillId="0" borderId="0" xfId="0" applyFont="1" applyAlignment="1">
      <alignment horizontal="center"/>
    </xf>
    <xf numFmtId="0" fontId="8" fillId="0" borderId="0" xfId="0" applyFont="1"/>
    <xf numFmtId="0" fontId="27" fillId="2" borderId="53" xfId="0" applyFont="1" applyFill="1" applyBorder="1"/>
    <xf numFmtId="0" fontId="27" fillId="0" borderId="42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7" fillId="0" borderId="26" xfId="0" applyFont="1" applyBorder="1"/>
    <xf numFmtId="0" fontId="7" fillId="0" borderId="33" xfId="0" applyFont="1" applyBorder="1"/>
    <xf numFmtId="0" fontId="7" fillId="0" borderId="25" xfId="0" applyFont="1" applyBorder="1"/>
    <xf numFmtId="0" fontId="27" fillId="2" borderId="46" xfId="0" applyFont="1" applyFill="1" applyBorder="1"/>
    <xf numFmtId="0" fontId="27" fillId="0" borderId="4" xfId="0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7" fillId="0" borderId="29" xfId="0" applyFont="1" applyBorder="1"/>
    <xf numFmtId="0" fontId="27" fillId="2" borderId="54" xfId="0" applyFont="1" applyFill="1" applyBorder="1"/>
    <xf numFmtId="0" fontId="27" fillId="0" borderId="2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7" fillId="0" borderId="46" xfId="0" applyFont="1" applyBorder="1"/>
    <xf numFmtId="43" fontId="7" fillId="0" borderId="4" xfId="0" applyNumberFormat="1" applyFont="1" applyBorder="1"/>
    <xf numFmtId="0" fontId="7" fillId="0" borderId="4" xfId="0" applyFont="1" applyBorder="1"/>
    <xf numFmtId="0" fontId="7" fillId="0" borderId="44" xfId="0" applyFont="1" applyBorder="1"/>
    <xf numFmtId="43" fontId="7" fillId="0" borderId="2" xfId="0" applyNumberFormat="1" applyFont="1" applyBorder="1"/>
    <xf numFmtId="3" fontId="7" fillId="0" borderId="45" xfId="0" applyNumberFormat="1" applyFont="1" applyBorder="1"/>
    <xf numFmtId="43" fontId="7" fillId="0" borderId="10" xfId="0" applyNumberFormat="1" applyFont="1" applyBorder="1"/>
    <xf numFmtId="3" fontId="7" fillId="0" borderId="47" xfId="0" applyNumberFormat="1" applyFont="1" applyBorder="1"/>
    <xf numFmtId="3" fontId="7" fillId="0" borderId="28" xfId="0" applyNumberFormat="1" applyFont="1" applyBorder="1"/>
    <xf numFmtId="3" fontId="7" fillId="0" borderId="44" xfId="0" applyNumberFormat="1" applyFont="1" applyBorder="1"/>
    <xf numFmtId="0" fontId="30" fillId="0" borderId="29" xfId="0" applyFont="1" applyBorder="1"/>
    <xf numFmtId="43" fontId="7" fillId="0" borderId="48" xfId="0" applyNumberFormat="1" applyFont="1" applyBorder="1"/>
    <xf numFmtId="3" fontId="7" fillId="3" borderId="47" xfId="0" applyNumberFormat="1" applyFont="1" applyFill="1" applyBorder="1"/>
    <xf numFmtId="0" fontId="7" fillId="0" borderId="32" xfId="0" applyFont="1" applyBorder="1"/>
    <xf numFmtId="43" fontId="7" fillId="0" borderId="49" xfId="0" applyNumberFormat="1" applyFont="1" applyBorder="1"/>
    <xf numFmtId="0" fontId="7" fillId="0" borderId="21" xfId="0" applyFont="1" applyBorder="1"/>
    <xf numFmtId="3" fontId="7" fillId="0" borderId="50" xfId="0" applyNumberFormat="1" applyFont="1" applyBorder="1"/>
    <xf numFmtId="0" fontId="7" fillId="3" borderId="0" xfId="0" applyFont="1" applyFill="1"/>
    <xf numFmtId="0" fontId="7" fillId="0" borderId="29" xfId="0" applyFont="1" applyBorder="1" applyAlignment="1">
      <alignment horizontal="right"/>
    </xf>
    <xf numFmtId="3" fontId="7" fillId="0" borderId="51" xfId="0" applyNumberFormat="1" applyFont="1" applyBorder="1"/>
    <xf numFmtId="0" fontId="7" fillId="0" borderId="37" xfId="0" applyFont="1" applyBorder="1"/>
    <xf numFmtId="0" fontId="7" fillId="0" borderId="52" xfId="0" applyFont="1" applyBorder="1"/>
    <xf numFmtId="3" fontId="7" fillId="0" borderId="21" xfId="0" applyNumberFormat="1" applyFont="1" applyBorder="1"/>
    <xf numFmtId="0" fontId="7" fillId="0" borderId="31" xfId="0" applyFont="1" applyBorder="1"/>
    <xf numFmtId="3" fontId="7" fillId="0" borderId="49" xfId="0" applyNumberFormat="1" applyFont="1" applyBorder="1"/>
    <xf numFmtId="0" fontId="27" fillId="2" borderId="26" xfId="0" applyFont="1" applyFill="1" applyBorder="1"/>
    <xf numFmtId="0" fontId="27" fillId="0" borderId="25" xfId="0" applyFont="1" applyBorder="1" applyAlignment="1">
      <alignment horizontal="center"/>
    </xf>
    <xf numFmtId="0" fontId="27" fillId="2" borderId="29" xfId="0" applyFont="1" applyFill="1" applyBorder="1"/>
    <xf numFmtId="0" fontId="27" fillId="0" borderId="28" xfId="0" applyFont="1" applyBorder="1" applyAlignment="1">
      <alignment horizontal="center"/>
    </xf>
    <xf numFmtId="0" fontId="7" fillId="2" borderId="29" xfId="0" applyFont="1" applyFill="1" applyBorder="1"/>
    <xf numFmtId="0" fontId="7" fillId="2" borderId="32" xfId="0" applyFont="1" applyFill="1" applyBorder="1"/>
    <xf numFmtId="0" fontId="27" fillId="0" borderId="55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7" fillId="0" borderId="40" xfId="0" applyFont="1" applyBorder="1"/>
    <xf numFmtId="0" fontId="7" fillId="0" borderId="20" xfId="0" applyFont="1" applyBorder="1"/>
    <xf numFmtId="3" fontId="7" fillId="0" borderId="56" xfId="0" applyNumberFormat="1" applyFont="1" applyBorder="1"/>
    <xf numFmtId="0" fontId="7" fillId="0" borderId="2" xfId="0" applyFont="1" applyBorder="1"/>
    <xf numFmtId="3" fontId="7" fillId="0" borderId="52" xfId="0" applyNumberFormat="1" applyFont="1" applyBorder="1"/>
    <xf numFmtId="0" fontId="7" fillId="0" borderId="55" xfId="0" applyFont="1" applyBorder="1"/>
    <xf numFmtId="3" fontId="7" fillId="0" borderId="31" xfId="0" applyNumberFormat="1" applyFont="1" applyBorder="1"/>
    <xf numFmtId="0" fontId="27" fillId="2" borderId="33" xfId="0" applyFont="1" applyFill="1" applyBorder="1"/>
    <xf numFmtId="0" fontId="27" fillId="2" borderId="25" xfId="0" applyFont="1" applyFill="1" applyBorder="1"/>
    <xf numFmtId="0" fontId="27" fillId="0" borderId="57" xfId="0" applyFont="1" applyBorder="1"/>
    <xf numFmtId="0" fontId="27" fillId="0" borderId="25" xfId="0" applyFont="1" applyBorder="1"/>
    <xf numFmtId="0" fontId="27" fillId="0" borderId="0" xfId="0" applyFont="1"/>
    <xf numFmtId="0" fontId="27" fillId="2" borderId="0" xfId="0" applyFont="1" applyFill="1"/>
    <xf numFmtId="0" fontId="27" fillId="2" borderId="28" xfId="0" applyFont="1" applyFill="1" applyBorder="1"/>
    <xf numFmtId="0" fontId="27" fillId="0" borderId="6" xfId="0" applyFont="1" applyBorder="1"/>
    <xf numFmtId="0" fontId="27" fillId="0" borderId="28" xfId="0" applyFont="1" applyBorder="1"/>
    <xf numFmtId="0" fontId="27" fillId="2" borderId="32" xfId="0" applyFont="1" applyFill="1" applyBorder="1"/>
    <xf numFmtId="0" fontId="27" fillId="2" borderId="21" xfId="0" applyFont="1" applyFill="1" applyBorder="1"/>
    <xf numFmtId="0" fontId="27" fillId="2" borderId="31" xfId="0" applyFont="1" applyFill="1" applyBorder="1"/>
    <xf numFmtId="0" fontId="27" fillId="0" borderId="7" xfId="0" applyFont="1" applyBorder="1" applyAlignment="1">
      <alignment horizontal="center"/>
    </xf>
    <xf numFmtId="0" fontId="27" fillId="0" borderId="7" xfId="0" applyFont="1" applyBorder="1"/>
    <xf numFmtId="0" fontId="27" fillId="0" borderId="52" xfId="0" applyFont="1" applyBorder="1"/>
    <xf numFmtId="0" fontId="7" fillId="0" borderId="6" xfId="0" applyFont="1" applyBorder="1"/>
    <xf numFmtId="0" fontId="27" fillId="0" borderId="29" xfId="0" applyFont="1" applyBorder="1"/>
    <xf numFmtId="44" fontId="7" fillId="0" borderId="6" xfId="0" applyNumberFormat="1" applyFont="1" applyBorder="1"/>
    <xf numFmtId="44" fontId="7" fillId="0" borderId="7" xfId="0" applyNumberFormat="1" applyFont="1" applyBorder="1"/>
    <xf numFmtId="44" fontId="7" fillId="0" borderId="21" xfId="0" applyNumberFormat="1" applyFont="1" applyBorder="1"/>
    <xf numFmtId="43" fontId="14" fillId="2" borderId="24" xfId="0" applyNumberFormat="1" applyFont="1" applyFill="1" applyBorder="1"/>
    <xf numFmtId="0" fontId="14" fillId="2" borderId="24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33" fillId="2" borderId="26" xfId="0" applyFont="1" applyFill="1" applyBorder="1" applyAlignment="1">
      <alignment horizontal="center"/>
    </xf>
    <xf numFmtId="43" fontId="14" fillId="2" borderId="25" xfId="0" applyNumberFormat="1" applyFont="1" applyFill="1" applyBorder="1" applyAlignment="1">
      <alignment horizontal="center"/>
    </xf>
    <xf numFmtId="0" fontId="33" fillId="2" borderId="33" xfId="0" applyFont="1" applyFill="1" applyBorder="1" applyAlignment="1">
      <alignment horizontal="center"/>
    </xf>
    <xf numFmtId="41" fontId="14" fillId="2" borderId="24" xfId="0" applyNumberFormat="1" applyFont="1" applyFill="1" applyBorder="1" applyAlignment="1">
      <alignment horizontal="center"/>
    </xf>
    <xf numFmtId="43" fontId="14" fillId="2" borderId="24" xfId="0" applyNumberFormat="1" applyFont="1" applyFill="1" applyBorder="1" applyAlignment="1">
      <alignment horizontal="center"/>
    </xf>
    <xf numFmtId="0" fontId="14" fillId="2" borderId="30" xfId="0" applyFont="1" applyFill="1" applyBorder="1"/>
    <xf numFmtId="0" fontId="14" fillId="2" borderId="30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33" fillId="2" borderId="32" xfId="0" applyFont="1" applyFill="1" applyBorder="1" applyAlignment="1">
      <alignment horizontal="center"/>
    </xf>
    <xf numFmtId="0" fontId="33" fillId="2" borderId="21" xfId="0" applyFont="1" applyFill="1" applyBorder="1" applyAlignment="1">
      <alignment horizontal="center"/>
    </xf>
    <xf numFmtId="0" fontId="15" fillId="0" borderId="29" xfId="0" applyFont="1" applyBorder="1"/>
    <xf numFmtId="0" fontId="15" fillId="0" borderId="28" xfId="0" applyFont="1" applyBorder="1"/>
    <xf numFmtId="43" fontId="15" fillId="0" borderId="28" xfId="0" applyNumberFormat="1" applyFont="1" applyBorder="1"/>
    <xf numFmtId="43" fontId="15" fillId="0" borderId="27" xfId="0" applyNumberFormat="1" applyFont="1" applyBorder="1"/>
    <xf numFmtId="0" fontId="15" fillId="0" borderId="24" xfId="0" applyFont="1" applyBorder="1"/>
    <xf numFmtId="43" fontId="15" fillId="0" borderId="29" xfId="0" applyNumberFormat="1" applyFont="1" applyBorder="1"/>
    <xf numFmtId="43" fontId="15" fillId="0" borderId="38" xfId="0" applyNumberFormat="1" applyFont="1" applyBorder="1"/>
    <xf numFmtId="43" fontId="15" fillId="0" borderId="59" xfId="0" applyNumberFormat="1" applyFont="1" applyBorder="1"/>
    <xf numFmtId="43" fontId="15" fillId="0" borderId="35" xfId="0" applyNumberFormat="1" applyFont="1" applyBorder="1"/>
    <xf numFmtId="0" fontId="14" fillId="4" borderId="60" xfId="0" applyFont="1" applyFill="1" applyBorder="1"/>
    <xf numFmtId="43" fontId="15" fillId="0" borderId="30" xfId="0" applyNumberFormat="1" applyFont="1" applyBorder="1"/>
    <xf numFmtId="43" fontId="15" fillId="0" borderId="31" xfId="0" applyNumberFormat="1" applyFont="1" applyBorder="1"/>
    <xf numFmtId="43" fontId="15" fillId="0" borderId="32" xfId="0" applyNumberFormat="1" applyFont="1" applyBorder="1"/>
    <xf numFmtId="41" fontId="15" fillId="0" borderId="30" xfId="0" applyNumberFormat="1" applyFont="1" applyBorder="1"/>
    <xf numFmtId="43" fontId="15" fillId="0" borderId="0" xfId="0" applyNumberFormat="1" applyFont="1"/>
    <xf numFmtId="41" fontId="15" fillId="0" borderId="0" xfId="0" applyNumberFormat="1" applyFont="1"/>
    <xf numFmtId="0" fontId="15" fillId="4" borderId="0" xfId="0" applyFont="1" applyFill="1"/>
    <xf numFmtId="0" fontId="7" fillId="0" borderId="0" xfId="0" applyFont="1" applyAlignment="1">
      <alignment horizontal="center"/>
    </xf>
    <xf numFmtId="10" fontId="7" fillId="0" borderId="0" xfId="0" applyNumberFormat="1" applyFont="1"/>
    <xf numFmtId="41" fontId="7" fillId="0" borderId="0" xfId="0" applyNumberFormat="1" applyFont="1" applyAlignment="1">
      <alignment horizontal="center"/>
    </xf>
    <xf numFmtId="41" fontId="7" fillId="0" borderId="3" xfId="0" applyNumberFormat="1" applyFont="1" applyBorder="1" applyAlignment="1">
      <alignment horizontal="center"/>
    </xf>
    <xf numFmtId="41" fontId="7" fillId="0" borderId="3" xfId="0" applyNumberFormat="1" applyFont="1" applyBorder="1"/>
    <xf numFmtId="0" fontId="7" fillId="0" borderId="27" xfId="0" applyFont="1" applyBorder="1"/>
    <xf numFmtId="41" fontId="7" fillId="0" borderId="30" xfId="0" applyNumberFormat="1" applyFont="1" applyBorder="1"/>
    <xf numFmtId="0" fontId="19" fillId="0" borderId="7" xfId="0" applyFont="1" applyBorder="1"/>
    <xf numFmtId="0" fontId="19" fillId="0" borderId="1" xfId="0" applyFont="1" applyBorder="1"/>
    <xf numFmtId="3" fontId="19" fillId="0" borderId="20" xfId="0" applyNumberFormat="1" applyFont="1" applyBorder="1"/>
    <xf numFmtId="0" fontId="7" fillId="0" borderId="7" xfId="0" applyFont="1" applyBorder="1"/>
    <xf numFmtId="3" fontId="7" fillId="0" borderId="20" xfId="0" applyNumberFormat="1" applyFont="1" applyBorder="1"/>
    <xf numFmtId="43" fontId="4" fillId="0" borderId="4" xfId="0" applyNumberFormat="1" applyFont="1" applyBorder="1"/>
    <xf numFmtId="3" fontId="16" fillId="0" borderId="24" xfId="0" applyNumberFormat="1" applyFont="1" applyBorder="1"/>
    <xf numFmtId="0" fontId="16" fillId="0" borderId="27" xfId="0" applyFont="1" applyBorder="1"/>
    <xf numFmtId="3" fontId="19" fillId="6" borderId="32" xfId="0" applyNumberFormat="1" applyFont="1" applyFill="1" applyBorder="1"/>
    <xf numFmtId="3" fontId="17" fillId="0" borderId="32" xfId="0" applyNumberFormat="1" applyFont="1" applyBorder="1"/>
    <xf numFmtId="3" fontId="17" fillId="2" borderId="33" xfId="0" applyNumberFormat="1" applyFont="1" applyFill="1" applyBorder="1" applyAlignment="1">
      <alignment horizontal="center"/>
    </xf>
    <xf numFmtId="3" fontId="17" fillId="2" borderId="0" xfId="0" applyNumberFormat="1" applyFont="1" applyFill="1" applyAlignment="1">
      <alignment horizontal="center"/>
    </xf>
    <xf numFmtId="3" fontId="17" fillId="2" borderId="21" xfId="0" applyNumberFormat="1" applyFont="1" applyFill="1" applyBorder="1" applyAlignment="1">
      <alignment horizontal="center"/>
    </xf>
    <xf numFmtId="3" fontId="16" fillId="2" borderId="36" xfId="0" applyNumberFormat="1" applyFont="1" applyFill="1" applyBorder="1" applyAlignment="1">
      <alignment horizontal="centerContinuous"/>
    </xf>
    <xf numFmtId="0" fontId="17" fillId="2" borderId="27" xfId="0" applyFont="1" applyFill="1" applyBorder="1" applyAlignment="1">
      <alignment horizontal="center"/>
    </xf>
    <xf numFmtId="0" fontId="16" fillId="2" borderId="30" xfId="0" applyFont="1" applyFill="1" applyBorder="1"/>
    <xf numFmtId="0" fontId="16" fillId="0" borderId="37" xfId="0" applyFont="1" applyBorder="1"/>
    <xf numFmtId="0" fontId="19" fillId="0" borderId="34" xfId="0" applyFont="1" applyBorder="1"/>
    <xf numFmtId="41" fontId="19" fillId="0" borderId="33" xfId="0" applyNumberFormat="1" applyFont="1" applyBorder="1"/>
    <xf numFmtId="41" fontId="19" fillId="0" borderId="26" xfId="0" applyNumberFormat="1" applyFont="1" applyBorder="1"/>
    <xf numFmtId="41" fontId="19" fillId="0" borderId="27" xfId="0" applyNumberFormat="1" applyFont="1" applyBorder="1"/>
    <xf numFmtId="41" fontId="19" fillId="0" borderId="0" xfId="0" applyNumberFormat="1" applyFont="1"/>
    <xf numFmtId="41" fontId="19" fillId="0" borderId="29" xfId="0" applyNumberFormat="1" applyFont="1" applyBorder="1"/>
    <xf numFmtId="41" fontId="19" fillId="0" borderId="34" xfId="0" applyNumberFormat="1" applyFont="1" applyBorder="1"/>
    <xf numFmtId="165" fontId="4" fillId="0" borderId="5" xfId="0" applyNumberFormat="1" applyFont="1" applyBorder="1" applyAlignment="1">
      <alignment horizontal="center"/>
    </xf>
    <xf numFmtId="166" fontId="4" fillId="0" borderId="2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3" fontId="36" fillId="0" borderId="3" xfId="0" applyNumberFormat="1" applyFont="1" applyBorder="1"/>
    <xf numFmtId="3" fontId="36" fillId="0" borderId="0" xfId="0" applyNumberFormat="1" applyFont="1"/>
    <xf numFmtId="3" fontId="36" fillId="0" borderId="28" xfId="0" applyNumberFormat="1" applyFont="1" applyBorder="1"/>
    <xf numFmtId="3" fontId="36" fillId="0" borderId="51" xfId="0" applyNumberFormat="1" applyFont="1" applyBorder="1"/>
    <xf numFmtId="3" fontId="36" fillId="0" borderId="21" xfId="0" applyNumberFormat="1" applyFont="1" applyBorder="1"/>
    <xf numFmtId="3" fontId="22" fillId="0" borderId="3" xfId="0" applyNumberFormat="1" applyFont="1" applyBorder="1"/>
    <xf numFmtId="3" fontId="7" fillId="0" borderId="0" xfId="0" applyNumberFormat="1" applyFont="1" applyAlignment="1">
      <alignment horizontal="center"/>
    </xf>
    <xf numFmtId="0" fontId="19" fillId="0" borderId="8" xfId="0" applyFont="1" applyBorder="1"/>
    <xf numFmtId="41" fontId="34" fillId="7" borderId="29" xfId="0" applyNumberFormat="1" applyFont="1" applyFill="1" applyBorder="1"/>
    <xf numFmtId="41" fontId="28" fillId="0" borderId="0" xfId="0" applyNumberFormat="1" applyFont="1"/>
    <xf numFmtId="41" fontId="7" fillId="0" borderId="39" xfId="0" applyNumberFormat="1" applyFont="1" applyBorder="1"/>
    <xf numFmtId="41" fontId="7" fillId="0" borderId="61" xfId="0" applyNumberFormat="1" applyFont="1" applyBorder="1"/>
    <xf numFmtId="43" fontId="4" fillId="5" borderId="6" xfId="0" applyNumberFormat="1" applyFont="1" applyFill="1" applyBorder="1" applyAlignment="1">
      <alignment horizontal="center"/>
    </xf>
    <xf numFmtId="41" fontId="19" fillId="0" borderId="52" xfId="0" applyNumberFormat="1" applyFont="1" applyBorder="1"/>
    <xf numFmtId="3" fontId="19" fillId="0" borderId="30" xfId="0" applyNumberFormat="1" applyFont="1" applyBorder="1"/>
    <xf numFmtId="3" fontId="16" fillId="0" borderId="27" xfId="0" applyNumberFormat="1" applyFont="1" applyBorder="1" applyAlignment="1">
      <alignment horizontal="left"/>
    </xf>
    <xf numFmtId="3" fontId="38" fillId="0" borderId="27" xfId="0" applyNumberFormat="1" applyFont="1" applyBorder="1"/>
    <xf numFmtId="41" fontId="7" fillId="8" borderId="20" xfId="0" applyNumberFormat="1" applyFont="1" applyFill="1" applyBorder="1"/>
    <xf numFmtId="41" fontId="15" fillId="4" borderId="21" xfId="0" applyNumberFormat="1" applyFont="1" applyFill="1" applyBorder="1"/>
    <xf numFmtId="41" fontId="15" fillId="0" borderId="38" xfId="0" applyNumberFormat="1" applyFont="1" applyBorder="1"/>
    <xf numFmtId="41" fontId="15" fillId="0" borderId="29" xfId="0" applyNumberFormat="1" applyFont="1" applyBorder="1"/>
    <xf numFmtId="0" fontId="7" fillId="7" borderId="17" xfId="0" applyFont="1" applyFill="1" applyBorder="1"/>
    <xf numFmtId="3" fontId="7" fillId="8" borderId="20" xfId="0" applyNumberFormat="1" applyFont="1" applyFill="1" applyBorder="1"/>
    <xf numFmtId="0" fontId="4" fillId="9" borderId="15" xfId="0" applyFont="1" applyFill="1" applyBorder="1"/>
    <xf numFmtId="0" fontId="4" fillId="9" borderId="17" xfId="0" applyFont="1" applyFill="1" applyBorder="1"/>
    <xf numFmtId="0" fontId="5" fillId="9" borderId="17" xfId="0" applyFont="1" applyFill="1" applyBorder="1"/>
    <xf numFmtId="0" fontId="4" fillId="9" borderId="16" xfId="0" applyFont="1" applyFill="1" applyBorder="1"/>
    <xf numFmtId="165" fontId="5" fillId="8" borderId="20" xfId="0" applyNumberFormat="1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43" fontId="5" fillId="8" borderId="20" xfId="0" applyNumberFormat="1" applyFont="1" applyFill="1" applyBorder="1" applyAlignment="1">
      <alignment horizontal="center"/>
    </xf>
    <xf numFmtId="43" fontId="5" fillId="8" borderId="16" xfId="0" applyNumberFormat="1" applyFont="1" applyFill="1" applyBorder="1" applyAlignment="1">
      <alignment horizontal="center"/>
    </xf>
    <xf numFmtId="43" fontId="5" fillId="8" borderId="17" xfId="0" applyNumberFormat="1" applyFont="1" applyFill="1" applyBorder="1" applyAlignment="1">
      <alignment horizontal="center"/>
    </xf>
    <xf numFmtId="43" fontId="40" fillId="0" borderId="0" xfId="0" applyNumberFormat="1" applyFont="1"/>
    <xf numFmtId="41" fontId="41" fillId="0" borderId="0" xfId="0" applyNumberFormat="1" applyFont="1"/>
    <xf numFmtId="0" fontId="35" fillId="0" borderId="0" xfId="0" applyFont="1"/>
    <xf numFmtId="0" fontId="7" fillId="9" borderId="3" xfId="0" applyFont="1" applyFill="1" applyBorder="1" applyAlignment="1">
      <alignment horizontal="center"/>
    </xf>
    <xf numFmtId="0" fontId="7" fillId="9" borderId="3" xfId="0" applyFont="1" applyFill="1" applyBorder="1"/>
    <xf numFmtId="0" fontId="7" fillId="9" borderId="19" xfId="0" applyFont="1" applyFill="1" applyBorder="1" applyAlignment="1">
      <alignment horizontal="center"/>
    </xf>
    <xf numFmtId="0" fontId="7" fillId="9" borderId="23" xfId="0" applyFont="1" applyFill="1" applyBorder="1"/>
    <xf numFmtId="0" fontId="7" fillId="9" borderId="23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7" xfId="0" applyFont="1" applyFill="1" applyBorder="1"/>
    <xf numFmtId="41" fontId="28" fillId="8" borderId="61" xfId="0" applyNumberFormat="1" applyFont="1" applyFill="1" applyBorder="1"/>
    <xf numFmtId="41" fontId="7" fillId="8" borderId="61" xfId="0" applyNumberFormat="1" applyFont="1" applyFill="1" applyBorder="1"/>
    <xf numFmtId="10" fontId="7" fillId="8" borderId="64" xfId="0" applyNumberFormat="1" applyFont="1" applyFill="1" applyBorder="1"/>
    <xf numFmtId="0" fontId="7" fillId="0" borderId="61" xfId="0" applyFont="1" applyBorder="1"/>
    <xf numFmtId="41" fontId="28" fillId="0" borderId="27" xfId="0" applyNumberFormat="1" applyFont="1" applyBorder="1"/>
    <xf numFmtId="3" fontId="22" fillId="0" borderId="45" xfId="0" applyNumberFormat="1" applyFont="1" applyBorder="1"/>
    <xf numFmtId="3" fontId="22" fillId="0" borderId="47" xfId="0" applyNumberFormat="1" applyFont="1" applyBorder="1"/>
    <xf numFmtId="3" fontId="22" fillId="3" borderId="47" xfId="0" applyNumberFormat="1" applyFont="1" applyFill="1" applyBorder="1"/>
    <xf numFmtId="3" fontId="22" fillId="0" borderId="51" xfId="0" applyNumberFormat="1" applyFont="1" applyBorder="1"/>
    <xf numFmtId="0" fontId="4" fillId="5" borderId="20" xfId="0" applyFont="1" applyFill="1" applyBorder="1" applyAlignment="1">
      <alignment horizontal="center"/>
    </xf>
    <xf numFmtId="38" fontId="15" fillId="0" borderId="27" xfId="0" applyNumberFormat="1" applyFont="1" applyBorder="1"/>
    <xf numFmtId="38" fontId="15" fillId="0" borderId="35" xfId="0" applyNumberFormat="1" applyFont="1" applyBorder="1"/>
    <xf numFmtId="41" fontId="15" fillId="0" borderId="31" xfId="0" applyNumberFormat="1" applyFont="1" applyBorder="1"/>
    <xf numFmtId="3" fontId="34" fillId="5" borderId="20" xfId="0" applyNumberFormat="1" applyFont="1" applyFill="1" applyBorder="1"/>
    <xf numFmtId="3" fontId="0" fillId="0" borderId="0" xfId="0" applyNumberFormat="1"/>
    <xf numFmtId="41" fontId="0" fillId="0" borderId="0" xfId="0" applyNumberFormat="1"/>
    <xf numFmtId="41" fontId="34" fillId="0" borderId="0" xfId="0" applyNumberFormat="1" applyFont="1"/>
    <xf numFmtId="0" fontId="7" fillId="4" borderId="9" xfId="0" applyFont="1" applyFill="1" applyBorder="1"/>
    <xf numFmtId="3" fontId="7" fillId="4" borderId="7" xfId="0" applyNumberFormat="1" applyFont="1" applyFill="1" applyBorder="1"/>
    <xf numFmtId="0" fontId="14" fillId="10" borderId="24" xfId="0" applyFont="1" applyFill="1" applyBorder="1" applyAlignment="1">
      <alignment horizontal="center"/>
    </xf>
    <xf numFmtId="0" fontId="14" fillId="10" borderId="30" xfId="0" applyFont="1" applyFill="1" applyBorder="1" applyAlignment="1">
      <alignment horizontal="center"/>
    </xf>
    <xf numFmtId="0" fontId="14" fillId="10" borderId="33" xfId="0" applyFont="1" applyFill="1" applyBorder="1" applyAlignment="1">
      <alignment horizontal="center"/>
    </xf>
    <xf numFmtId="0" fontId="14" fillId="10" borderId="21" xfId="0" applyFont="1" applyFill="1" applyBorder="1" applyAlignment="1">
      <alignment horizontal="center"/>
    </xf>
    <xf numFmtId="0" fontId="15" fillId="0" borderId="26" xfId="0" applyFont="1" applyBorder="1"/>
    <xf numFmtId="0" fontId="15" fillId="0" borderId="67" xfId="0" applyFont="1" applyBorder="1"/>
    <xf numFmtId="43" fontId="7" fillId="0" borderId="27" xfId="0" applyNumberFormat="1" applyFont="1" applyBorder="1"/>
    <xf numFmtId="165" fontId="5" fillId="8" borderId="2" xfId="0" applyNumberFormat="1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43" fontId="5" fillId="8" borderId="2" xfId="0" applyNumberFormat="1" applyFont="1" applyFill="1" applyBorder="1" applyAlignment="1">
      <alignment horizontal="center"/>
    </xf>
    <xf numFmtId="43" fontId="5" fillId="8" borderId="7" xfId="0" applyNumberFormat="1" applyFont="1" applyFill="1" applyBorder="1" applyAlignment="1">
      <alignment horizontal="center"/>
    </xf>
    <xf numFmtId="43" fontId="5" fillId="8" borderId="3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2" fillId="0" borderId="0" xfId="0" applyFont="1"/>
    <xf numFmtId="3" fontId="19" fillId="0" borderId="27" xfId="0" applyNumberFormat="1" applyFont="1" applyBorder="1"/>
    <xf numFmtId="0" fontId="15" fillId="0" borderId="0" xfId="0" applyFont="1" applyAlignment="1">
      <alignment horizontal="center"/>
    </xf>
    <xf numFmtId="0" fontId="14" fillId="11" borderId="30" xfId="0" applyFont="1" applyFill="1" applyBorder="1" applyAlignment="1">
      <alignment horizontal="center"/>
    </xf>
    <xf numFmtId="0" fontId="14" fillId="11" borderId="32" xfId="0" applyFont="1" applyFill="1" applyBorder="1" applyAlignment="1">
      <alignment horizontal="center"/>
    </xf>
    <xf numFmtId="0" fontId="14" fillId="12" borderId="30" xfId="0" applyFont="1" applyFill="1" applyBorder="1" applyAlignment="1">
      <alignment horizontal="center"/>
    </xf>
    <xf numFmtId="0" fontId="15" fillId="0" borderId="38" xfId="0" applyFont="1" applyBorder="1"/>
    <xf numFmtId="41" fontId="28" fillId="0" borderId="3" xfId="0" applyNumberFormat="1" applyFont="1" applyBorder="1"/>
    <xf numFmtId="41" fontId="44" fillId="0" borderId="26" xfId="0" applyNumberFormat="1" applyFont="1" applyBorder="1" applyProtection="1">
      <protection locked="0"/>
    </xf>
    <xf numFmtId="41" fontId="45" fillId="0" borderId="33" xfId="0" applyNumberFormat="1" applyFont="1" applyBorder="1" applyProtection="1">
      <protection locked="0"/>
    </xf>
    <xf numFmtId="0" fontId="45" fillId="0" borderId="33" xfId="0" applyFont="1" applyBorder="1" applyProtection="1">
      <protection locked="0"/>
    </xf>
    <xf numFmtId="41" fontId="45" fillId="0" borderId="33" xfId="0" applyNumberFormat="1" applyFont="1" applyBorder="1"/>
    <xf numFmtId="41" fontId="44" fillId="0" borderId="29" xfId="0" applyNumberFormat="1" applyFont="1" applyBorder="1" applyProtection="1">
      <protection locked="0"/>
    </xf>
    <xf numFmtId="41" fontId="46" fillId="0" borderId="0" xfId="0" applyNumberFormat="1" applyFont="1" applyProtection="1">
      <protection locked="0"/>
    </xf>
    <xf numFmtId="41" fontId="45" fillId="0" borderId="0" xfId="0" applyNumberFormat="1" applyFont="1" applyProtection="1">
      <protection locked="0"/>
    </xf>
    <xf numFmtId="0" fontId="45" fillId="0" borderId="0" xfId="0" applyFont="1" applyProtection="1">
      <protection locked="0"/>
    </xf>
    <xf numFmtId="41" fontId="45" fillId="0" borderId="0" xfId="0" applyNumberFormat="1" applyFont="1"/>
    <xf numFmtId="41" fontId="44" fillId="0" borderId="32" xfId="0" applyNumberFormat="1" applyFont="1" applyBorder="1" applyProtection="1">
      <protection locked="0"/>
    </xf>
    <xf numFmtId="41" fontId="46" fillId="0" borderId="21" xfId="0" applyNumberFormat="1" applyFont="1" applyBorder="1" applyProtection="1">
      <protection locked="0"/>
    </xf>
    <xf numFmtId="41" fontId="45" fillId="0" borderId="21" xfId="0" applyNumberFormat="1" applyFont="1" applyBorder="1" applyProtection="1">
      <protection locked="0"/>
    </xf>
    <xf numFmtId="0" fontId="45" fillId="0" borderId="21" xfId="0" applyFont="1" applyBorder="1" applyProtection="1">
      <protection locked="0"/>
    </xf>
    <xf numFmtId="41" fontId="45" fillId="0" borderId="21" xfId="0" applyNumberFormat="1" applyFont="1" applyBorder="1"/>
    <xf numFmtId="0" fontId="7" fillId="7" borderId="9" xfId="0" applyFont="1" applyFill="1" applyBorder="1"/>
    <xf numFmtId="0" fontId="7" fillId="7" borderId="3" xfId="0" applyFont="1" applyFill="1" applyBorder="1"/>
    <xf numFmtId="0" fontId="7" fillId="7" borderId="3" xfId="0" applyFont="1" applyFill="1" applyBorder="1" applyAlignment="1">
      <alignment horizontal="center"/>
    </xf>
    <xf numFmtId="41" fontId="44" fillId="0" borderId="0" xfId="0" applyNumberFormat="1" applyFont="1" applyProtection="1">
      <protection locked="0"/>
    </xf>
    <xf numFmtId="0" fontId="45" fillId="0" borderId="0" xfId="0" applyFont="1" applyAlignment="1" applyProtection="1">
      <alignment horizontal="left"/>
      <protection locked="0"/>
    </xf>
    <xf numFmtId="0" fontId="45" fillId="0" borderId="33" xfId="0" applyFont="1" applyBorder="1" applyAlignment="1" applyProtection="1">
      <alignment horizontal="left"/>
      <protection locked="0"/>
    </xf>
    <xf numFmtId="0" fontId="45" fillId="0" borderId="21" xfId="0" applyFont="1" applyBorder="1" applyAlignment="1" applyProtection="1">
      <alignment horizontal="left"/>
      <protection locked="0"/>
    </xf>
    <xf numFmtId="0" fontId="45" fillId="0" borderId="25" xfId="0" applyFont="1" applyBorder="1" applyProtection="1">
      <protection locked="0"/>
    </xf>
    <xf numFmtId="0" fontId="45" fillId="0" borderId="28" xfId="0" applyFont="1" applyBorder="1" applyProtection="1">
      <protection locked="0"/>
    </xf>
    <xf numFmtId="0" fontId="45" fillId="0" borderId="31" xfId="0" applyFont="1" applyBorder="1" applyProtection="1">
      <protection locked="0"/>
    </xf>
    <xf numFmtId="3" fontId="16" fillId="2" borderId="27" xfId="0" applyNumberFormat="1" applyFont="1" applyFill="1" applyBorder="1"/>
    <xf numFmtId="41" fontId="45" fillId="0" borderId="25" xfId="0" applyNumberFormat="1" applyFont="1" applyBorder="1"/>
    <xf numFmtId="41" fontId="45" fillId="0" borderId="28" xfId="0" applyNumberFormat="1" applyFont="1" applyBorder="1"/>
    <xf numFmtId="41" fontId="45" fillId="0" borderId="31" xfId="0" applyNumberFormat="1" applyFont="1" applyBorder="1"/>
    <xf numFmtId="41" fontId="44" fillId="0" borderId="33" xfId="0" applyNumberFormat="1" applyFont="1" applyBorder="1" applyProtection="1">
      <protection locked="0"/>
    </xf>
    <xf numFmtId="3" fontId="16" fillId="2" borderId="61" xfId="0" applyNumberFormat="1" applyFont="1" applyFill="1" applyBorder="1" applyAlignment="1">
      <alignment horizontal="centerContinuous"/>
    </xf>
    <xf numFmtId="3" fontId="17" fillId="2" borderId="36" xfId="0" applyNumberFormat="1" applyFont="1" applyFill="1" applyBorder="1" applyAlignment="1">
      <alignment horizontal="centerContinuous"/>
    </xf>
    <xf numFmtId="0" fontId="14" fillId="11" borderId="27" xfId="0" applyFont="1" applyFill="1" applyBorder="1" applyAlignment="1">
      <alignment horizontal="center"/>
    </xf>
    <xf numFmtId="0" fontId="14" fillId="11" borderId="29" xfId="0" applyFont="1" applyFill="1" applyBorder="1" applyAlignment="1">
      <alignment horizontal="center"/>
    </xf>
    <xf numFmtId="0" fontId="14" fillId="12" borderId="27" xfId="0" applyFont="1" applyFill="1" applyBorder="1" applyAlignment="1">
      <alignment horizontal="center"/>
    </xf>
    <xf numFmtId="0" fontId="15" fillId="0" borderId="33" xfId="0" applyFont="1" applyBorder="1"/>
    <xf numFmtId="0" fontId="15" fillId="0" borderId="21" xfId="0" applyFont="1" applyBorder="1"/>
    <xf numFmtId="0" fontId="27" fillId="12" borderId="28" xfId="0" applyFont="1" applyFill="1" applyBorder="1" applyAlignment="1">
      <alignment horizontal="center"/>
    </xf>
    <xf numFmtId="0" fontId="27" fillId="12" borderId="31" xfId="0" applyFont="1" applyFill="1" applyBorder="1" applyAlignment="1">
      <alignment horizontal="center"/>
    </xf>
    <xf numFmtId="0" fontId="14" fillId="13" borderId="24" xfId="0" applyFont="1" applyFill="1" applyBorder="1" applyAlignment="1">
      <alignment horizontal="center"/>
    </xf>
    <xf numFmtId="0" fontId="14" fillId="13" borderId="30" xfId="0" applyFont="1" applyFill="1" applyBorder="1" applyAlignment="1">
      <alignment horizontal="center"/>
    </xf>
    <xf numFmtId="43" fontId="21" fillId="0" borderId="48" xfId="0" applyNumberFormat="1" applyFont="1" applyBorder="1"/>
    <xf numFmtId="41" fontId="47" fillId="0" borderId="0" xfId="0" applyNumberFormat="1" applyFont="1"/>
    <xf numFmtId="41" fontId="48" fillId="0" borderId="0" xfId="0" applyNumberFormat="1" applyFont="1"/>
    <xf numFmtId="41" fontId="47" fillId="0" borderId="3" xfId="0" applyNumberFormat="1" applyFont="1" applyBorder="1"/>
    <xf numFmtId="10" fontId="15" fillId="0" borderId="0" xfId="0" applyNumberFormat="1" applyFont="1"/>
    <xf numFmtId="14" fontId="7" fillId="0" borderId="0" xfId="0" applyNumberFormat="1" applyFont="1"/>
    <xf numFmtId="0" fontId="49" fillId="0" borderId="0" xfId="0" applyFont="1"/>
    <xf numFmtId="41" fontId="34" fillId="0" borderId="28" xfId="0" applyNumberFormat="1" applyFont="1" applyBorder="1"/>
    <xf numFmtId="0" fontId="7" fillId="7" borderId="17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41" fontId="15" fillId="0" borderId="24" xfId="0" applyNumberFormat="1" applyFont="1" applyBorder="1"/>
    <xf numFmtId="3" fontId="15" fillId="0" borderId="24" xfId="0" applyNumberFormat="1" applyFont="1" applyBorder="1"/>
    <xf numFmtId="0" fontId="15" fillId="11" borderId="24" xfId="0" applyFont="1" applyFill="1" applyBorder="1" applyAlignment="1">
      <alignment horizontal="center"/>
    </xf>
    <xf numFmtId="0" fontId="15" fillId="11" borderId="30" xfId="0" applyFont="1" applyFill="1" applyBorder="1" applyAlignment="1">
      <alignment horizontal="center"/>
    </xf>
    <xf numFmtId="41" fontId="52" fillId="0" borderId="0" xfId="0" applyNumberFormat="1" applyFont="1"/>
    <xf numFmtId="0" fontId="52" fillId="0" borderId="27" xfId="0" applyFont="1" applyBorder="1"/>
    <xf numFmtId="43" fontId="51" fillId="0" borderId="4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53" fillId="0" borderId="0" xfId="0" applyFont="1"/>
    <xf numFmtId="0" fontId="28" fillId="0" borderId="0" xfId="0" applyFont="1"/>
    <xf numFmtId="0" fontId="53" fillId="3" borderId="0" xfId="0" applyFont="1" applyFill="1"/>
    <xf numFmtId="4" fontId="15" fillId="0" borderId="27" xfId="0" applyNumberFormat="1" applyFont="1" applyBorder="1"/>
    <xf numFmtId="4" fontId="15" fillId="0" borderId="35" xfId="0" applyNumberFormat="1" applyFont="1" applyBorder="1"/>
    <xf numFmtId="4" fontId="15" fillId="0" borderId="28" xfId="0" applyNumberFormat="1" applyFont="1" applyBorder="1"/>
    <xf numFmtId="0" fontId="54" fillId="0" borderId="0" xfId="0" applyFont="1"/>
    <xf numFmtId="3" fontId="55" fillId="0" borderId="27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center"/>
    </xf>
    <xf numFmtId="0" fontId="7" fillId="15" borderId="0" xfId="0" applyFont="1" applyFill="1"/>
    <xf numFmtId="165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0" fontId="15" fillId="13" borderId="24" xfId="0" applyFont="1" applyFill="1" applyBorder="1" applyAlignment="1">
      <alignment horizontal="center"/>
    </xf>
    <xf numFmtId="0" fontId="15" fillId="13" borderId="30" xfId="0" applyFont="1" applyFill="1" applyBorder="1" applyAlignment="1">
      <alignment horizontal="center"/>
    </xf>
    <xf numFmtId="0" fontId="15" fillId="12" borderId="24" xfId="0" applyFont="1" applyFill="1" applyBorder="1" applyAlignment="1">
      <alignment horizontal="center"/>
    </xf>
    <xf numFmtId="0" fontId="7" fillId="0" borderId="35" xfId="0" applyFont="1" applyBorder="1"/>
    <xf numFmtId="41" fontId="27" fillId="0" borderId="0" xfId="0" applyNumberFormat="1" applyFont="1"/>
    <xf numFmtId="41" fontId="39" fillId="0" borderId="0" xfId="0" applyNumberFormat="1" applyFont="1"/>
    <xf numFmtId="0" fontId="57" fillId="0" borderId="0" xfId="0" applyFont="1"/>
    <xf numFmtId="43" fontId="4" fillId="4" borderId="8" xfId="0" applyNumberFormat="1" applyFont="1" applyFill="1" applyBorder="1" applyAlignment="1">
      <alignment horizontal="center"/>
    </xf>
    <xf numFmtId="4" fontId="4" fillId="4" borderId="8" xfId="0" applyNumberFormat="1" applyFont="1" applyFill="1" applyBorder="1" applyAlignment="1">
      <alignment horizontal="right"/>
    </xf>
    <xf numFmtId="41" fontId="19" fillId="0" borderId="28" xfId="0" applyNumberFormat="1" applyFont="1" applyBorder="1"/>
    <xf numFmtId="4" fontId="15" fillId="0" borderId="0" xfId="0" applyNumberFormat="1" applyFont="1"/>
    <xf numFmtId="0" fontId="15" fillId="12" borderId="30" xfId="0" applyFont="1" applyFill="1" applyBorder="1" applyAlignment="1">
      <alignment horizontal="center"/>
    </xf>
    <xf numFmtId="41" fontId="56" fillId="0" borderId="28" xfId="0" applyNumberFormat="1" applyFont="1" applyBorder="1"/>
    <xf numFmtId="3" fontId="7" fillId="8" borderId="0" xfId="0" applyNumberFormat="1" applyFont="1" applyFill="1"/>
    <xf numFmtId="3" fontId="7" fillId="4" borderId="0" xfId="0" applyNumberFormat="1" applyFont="1" applyFill="1"/>
    <xf numFmtId="41" fontId="7" fillId="8" borderId="0" xfId="0" applyNumberFormat="1" applyFont="1" applyFill="1"/>
    <xf numFmtId="3" fontId="15" fillId="0" borderId="27" xfId="0" applyNumberFormat="1" applyFont="1" applyBorder="1"/>
    <xf numFmtId="3" fontId="15" fillId="0" borderId="71" xfId="0" applyNumberFormat="1" applyFont="1" applyBorder="1"/>
    <xf numFmtId="41" fontId="21" fillId="0" borderId="63" xfId="0" applyNumberFormat="1" applyFont="1" applyBorder="1"/>
    <xf numFmtId="41" fontId="19" fillId="0" borderId="37" xfId="0" applyNumberFormat="1" applyFont="1" applyBorder="1"/>
    <xf numFmtId="41" fontId="19" fillId="0" borderId="32" xfId="0" applyNumberFormat="1" applyFont="1" applyBorder="1"/>
    <xf numFmtId="41" fontId="37" fillId="0" borderId="29" xfId="0" applyNumberFormat="1" applyFont="1" applyBorder="1"/>
    <xf numFmtId="4" fontId="4" fillId="0" borderId="8" xfId="0" applyNumberFormat="1" applyFont="1" applyBorder="1" applyAlignment="1">
      <alignment horizontal="right"/>
    </xf>
    <xf numFmtId="3" fontId="17" fillId="0" borderId="27" xfId="0" applyNumberFormat="1" applyFont="1" applyBorder="1"/>
    <xf numFmtId="4" fontId="7" fillId="0" borderId="27" xfId="0" applyNumberFormat="1" applyFont="1" applyBorder="1"/>
    <xf numFmtId="3" fontId="7" fillId="15" borderId="0" xfId="0" applyNumberFormat="1" applyFont="1" applyFill="1"/>
    <xf numFmtId="0" fontId="15" fillId="12" borderId="0" xfId="0" applyFont="1" applyFill="1" applyAlignment="1">
      <alignment horizontal="center"/>
    </xf>
    <xf numFmtId="3" fontId="15" fillId="0" borderId="0" xfId="0" applyNumberFormat="1" applyFont="1"/>
    <xf numFmtId="3" fontId="17" fillId="0" borderId="24" xfId="0" applyNumberFormat="1" applyFont="1" applyBorder="1"/>
    <xf numFmtId="3" fontId="17" fillId="3" borderId="27" xfId="0" applyNumberFormat="1" applyFont="1" applyFill="1" applyBorder="1"/>
    <xf numFmtId="0" fontId="32" fillId="0" borderId="27" xfId="0" applyFont="1" applyBorder="1" applyProtection="1">
      <protection locked="0"/>
    </xf>
    <xf numFmtId="3" fontId="17" fillId="3" borderId="60" xfId="0" applyNumberFormat="1" applyFont="1" applyFill="1" applyBorder="1"/>
    <xf numFmtId="0" fontId="60" fillId="7" borderId="17" xfId="0" applyFont="1" applyFill="1" applyBorder="1" applyAlignment="1">
      <alignment horizontal="center"/>
    </xf>
    <xf numFmtId="0" fontId="60" fillId="0" borderId="0" xfId="0" applyFont="1"/>
    <xf numFmtId="0" fontId="4" fillId="0" borderId="2" xfId="0" applyFont="1" applyBorder="1"/>
    <xf numFmtId="4" fontId="4" fillId="0" borderId="0" xfId="0" applyNumberFormat="1" applyFont="1" applyAlignment="1">
      <alignment horizontal="right"/>
    </xf>
    <xf numFmtId="43" fontId="4" fillId="0" borderId="4" xfId="4" applyFont="1" applyBorder="1" applyAlignment="1">
      <alignment horizontal="center"/>
    </xf>
    <xf numFmtId="43" fontId="4" fillId="0" borderId="7" xfId="4" applyFont="1" applyBorder="1" applyAlignment="1">
      <alignment horizontal="center"/>
    </xf>
    <xf numFmtId="43" fontId="4" fillId="0" borderId="6" xfId="4" applyFont="1" applyBorder="1"/>
    <xf numFmtId="43" fontId="4" fillId="0" borderId="2" xfId="4" applyFont="1" applyBorder="1" applyAlignment="1">
      <alignment horizontal="center"/>
    </xf>
    <xf numFmtId="173" fontId="7" fillId="0" borderId="0" xfId="0" applyNumberFormat="1" applyFont="1"/>
    <xf numFmtId="173" fontId="7" fillId="15" borderId="0" xfId="4" applyNumberFormat="1" applyFont="1" applyFill="1"/>
    <xf numFmtId="173" fontId="7" fillId="0" borderId="0" xfId="4" applyNumberFormat="1" applyFont="1"/>
    <xf numFmtId="43" fontId="4" fillId="0" borderId="6" xfId="4" applyFont="1" applyBorder="1" applyAlignment="1">
      <alignment horizontal="center"/>
    </xf>
    <xf numFmtId="3" fontId="16" fillId="0" borderId="27" xfId="0" applyNumberFormat="1" applyFont="1" applyBorder="1" applyAlignment="1">
      <alignment wrapText="1"/>
    </xf>
    <xf numFmtId="176" fontId="19" fillId="0" borderId="29" xfId="0" applyNumberFormat="1" applyFont="1" applyBorder="1"/>
    <xf numFmtId="0" fontId="19" fillId="0" borderId="27" xfId="0" applyFont="1" applyBorder="1"/>
    <xf numFmtId="4" fontId="43" fillId="0" borderId="3" xfId="0" applyNumberFormat="1" applyFont="1" applyBorder="1"/>
    <xf numFmtId="4" fontId="34" fillId="0" borderId="3" xfId="0" applyNumberFormat="1" applyFont="1" applyBorder="1"/>
    <xf numFmtId="4" fontId="34" fillId="0" borderId="17" xfId="0" applyNumberFormat="1" applyFont="1" applyBorder="1"/>
    <xf numFmtId="4" fontId="19" fillId="0" borderId="3" xfId="0" applyNumberFormat="1" applyFont="1" applyBorder="1"/>
    <xf numFmtId="41" fontId="56" fillId="0" borderId="0" xfId="0" applyNumberFormat="1" applyFont="1"/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165" fontId="61" fillId="0" borderId="7" xfId="0" applyNumberFormat="1" applyFont="1" applyBorder="1" applyAlignment="1">
      <alignment horizontal="center"/>
    </xf>
    <xf numFmtId="43" fontId="64" fillId="0" borderId="0" xfId="0" applyNumberFormat="1" applyFont="1"/>
    <xf numFmtId="41" fontId="65" fillId="0" borderId="26" xfId="0" applyNumberFormat="1" applyFont="1" applyBorder="1" applyProtection="1">
      <protection locked="0"/>
    </xf>
    <xf numFmtId="1" fontId="64" fillId="0" borderId="0" xfId="0" applyNumberFormat="1" applyFont="1" applyAlignment="1">
      <alignment horizontal="center"/>
    </xf>
    <xf numFmtId="0" fontId="64" fillId="0" borderId="0" xfId="0" applyFont="1"/>
    <xf numFmtId="41" fontId="65" fillId="0" borderId="29" xfId="0" applyNumberFormat="1" applyFont="1" applyBorder="1" applyProtection="1">
      <protection locked="0"/>
    </xf>
    <xf numFmtId="41" fontId="65" fillId="0" borderId="32" xfId="0" applyNumberFormat="1" applyFont="1" applyBorder="1" applyProtection="1">
      <protection locked="0"/>
    </xf>
    <xf numFmtId="43" fontId="66" fillId="2" borderId="8" xfId="0" applyNumberFormat="1" applyFont="1" applyFill="1" applyBorder="1" applyAlignment="1">
      <alignment horizontal="center"/>
    </xf>
    <xf numFmtId="1" fontId="66" fillId="2" borderId="4" xfId="0" applyNumberFormat="1" applyFont="1" applyFill="1" applyBorder="1" applyAlignment="1">
      <alignment horizontal="center"/>
    </xf>
    <xf numFmtId="1" fontId="66" fillId="2" borderId="0" xfId="0" applyNumberFormat="1" applyFont="1" applyFill="1" applyAlignment="1">
      <alignment horizontal="center"/>
    </xf>
    <xf numFmtId="43" fontId="66" fillId="2" borderId="9" xfId="0" applyNumberFormat="1" applyFont="1" applyFill="1" applyBorder="1" applyAlignment="1">
      <alignment horizontal="center"/>
    </xf>
    <xf numFmtId="1" fontId="66" fillId="2" borderId="2" xfId="0" applyNumberFormat="1" applyFont="1" applyFill="1" applyBorder="1" applyAlignment="1">
      <alignment horizontal="center"/>
    </xf>
    <xf numFmtId="1" fontId="66" fillId="2" borderId="3" xfId="0" applyNumberFormat="1" applyFont="1" applyFill="1" applyBorder="1" applyAlignment="1">
      <alignment horizontal="center"/>
    </xf>
    <xf numFmtId="43" fontId="66" fillId="0" borderId="8" xfId="0" applyNumberFormat="1" applyFont="1" applyBorder="1"/>
    <xf numFmtId="43" fontId="64" fillId="0" borderId="8" xfId="0" applyNumberFormat="1" applyFont="1" applyBorder="1"/>
    <xf numFmtId="1" fontId="64" fillId="0" borderId="4" xfId="0" applyNumberFormat="1" applyFont="1" applyBorder="1" applyAlignment="1">
      <alignment horizontal="center"/>
    </xf>
    <xf numFmtId="43" fontId="67" fillId="0" borderId="0" xfId="0" applyNumberFormat="1" applyFont="1"/>
    <xf numFmtId="43" fontId="68" fillId="0" borderId="0" xfId="0" applyNumberFormat="1" applyFont="1"/>
    <xf numFmtId="43" fontId="64" fillId="0" borderId="15" xfId="0" applyNumberFormat="1" applyFont="1" applyBorder="1"/>
    <xf numFmtId="1" fontId="64" fillId="0" borderId="20" xfId="0" applyNumberFormat="1" applyFont="1" applyBorder="1" applyAlignment="1">
      <alignment horizontal="center"/>
    </xf>
    <xf numFmtId="43" fontId="64" fillId="0" borderId="17" xfId="0" applyNumberFormat="1" applyFont="1" applyBorder="1"/>
    <xf numFmtId="43" fontId="69" fillId="0" borderId="8" xfId="0" applyNumberFormat="1" applyFont="1" applyBorder="1" applyAlignment="1">
      <alignment horizontal="right"/>
    </xf>
    <xf numFmtId="43" fontId="69" fillId="0" borderId="8" xfId="0" applyNumberFormat="1" applyFont="1" applyBorder="1"/>
    <xf numFmtId="43" fontId="67" fillId="15" borderId="0" xfId="0" applyNumberFormat="1" applyFont="1" applyFill="1"/>
    <xf numFmtId="43" fontId="64" fillId="0" borderId="4" xfId="0" applyNumberFormat="1" applyFont="1" applyBorder="1"/>
    <xf numFmtId="0" fontId="67" fillId="0" borderId="0" xfId="0" applyFont="1"/>
    <xf numFmtId="0" fontId="68" fillId="0" borderId="0" xfId="0" applyFont="1"/>
    <xf numFmtId="43" fontId="64" fillId="0" borderId="2" xfId="0" applyNumberFormat="1" applyFont="1" applyBorder="1"/>
    <xf numFmtId="0" fontId="64" fillId="0" borderId="8" xfId="0" applyFont="1" applyBorder="1"/>
    <xf numFmtId="43" fontId="69" fillId="0" borderId="19" xfId="0" applyNumberFormat="1" applyFont="1" applyBorder="1" applyAlignment="1">
      <alignment horizontal="right"/>
    </xf>
    <xf numFmtId="43" fontId="64" fillId="0" borderId="19" xfId="0" applyNumberFormat="1" applyFont="1" applyBorder="1"/>
    <xf numFmtId="1" fontId="64" fillId="0" borderId="1" xfId="0" applyNumberFormat="1" applyFont="1" applyBorder="1" applyAlignment="1">
      <alignment horizontal="center"/>
    </xf>
    <xf numFmtId="43" fontId="64" fillId="0" borderId="23" xfId="0" applyNumberFormat="1" applyFont="1" applyBorder="1"/>
    <xf numFmtId="43" fontId="66" fillId="0" borderId="11" xfId="0" applyNumberFormat="1" applyFont="1" applyBorder="1"/>
    <xf numFmtId="1" fontId="66" fillId="0" borderId="10" xfId="0" applyNumberFormat="1" applyFont="1" applyBorder="1" applyAlignment="1">
      <alignment horizontal="center"/>
    </xf>
    <xf numFmtId="43" fontId="66" fillId="0" borderId="13" xfId="0" applyNumberFormat="1" applyFont="1" applyBorder="1"/>
    <xf numFmtId="43" fontId="66" fillId="0" borderId="58" xfId="0" applyNumberFormat="1" applyFont="1" applyBorder="1"/>
    <xf numFmtId="43" fontId="64" fillId="0" borderId="58" xfId="0" applyNumberFormat="1" applyFont="1" applyBorder="1"/>
    <xf numFmtId="1" fontId="64" fillId="0" borderId="48" xfId="0" applyNumberFormat="1" applyFont="1" applyBorder="1" applyAlignment="1">
      <alignment horizontal="center"/>
    </xf>
    <xf numFmtId="43" fontId="64" fillId="0" borderId="51" xfId="0" applyNumberFormat="1" applyFont="1" applyBorder="1"/>
    <xf numFmtId="43" fontId="64" fillId="18" borderId="0" xfId="0" applyNumberFormat="1" applyFont="1" applyFill="1"/>
    <xf numFmtId="43" fontId="67" fillId="16" borderId="0" xfId="0" applyNumberFormat="1" applyFont="1" applyFill="1"/>
    <xf numFmtId="43" fontId="64" fillId="0" borderId="8" xfId="0" applyNumberFormat="1" applyFont="1" applyBorder="1" applyAlignment="1">
      <alignment horizontal="left" indent="1"/>
    </xf>
    <xf numFmtId="1" fontId="64" fillId="0" borderId="4" xfId="0" applyNumberFormat="1" applyFont="1" applyBorder="1" applyAlignment="1">
      <alignment horizontal="left" indent="1"/>
    </xf>
    <xf numFmtId="43" fontId="64" fillId="0" borderId="0" xfId="0" applyNumberFormat="1" applyFont="1" applyAlignment="1">
      <alignment horizontal="left" indent="1"/>
    </xf>
    <xf numFmtId="0" fontId="64" fillId="0" borderId="0" xfId="0" applyFont="1" applyAlignment="1">
      <alignment horizontal="left" indent="1"/>
    </xf>
    <xf numFmtId="43" fontId="64" fillId="0" borderId="8" xfId="0" applyNumberFormat="1" applyFont="1" applyBorder="1" applyAlignment="1">
      <alignment horizontal="left" indent="2"/>
    </xf>
    <xf numFmtId="43" fontId="67" fillId="0" borderId="4" xfId="0" applyNumberFormat="1" applyFont="1" applyBorder="1"/>
    <xf numFmtId="43" fontId="70" fillId="0" borderId="0" xfId="0" applyNumberFormat="1" applyFont="1"/>
    <xf numFmtId="43" fontId="70" fillId="0" borderId="4" xfId="0" applyNumberFormat="1" applyFont="1" applyBorder="1"/>
    <xf numFmtId="1" fontId="70" fillId="0" borderId="4" xfId="0" applyNumberFormat="1" applyFont="1" applyBorder="1" applyAlignment="1">
      <alignment horizontal="center"/>
    </xf>
    <xf numFmtId="43" fontId="70" fillId="16" borderId="0" xfId="0" applyNumberFormat="1" applyFont="1" applyFill="1"/>
    <xf numFmtId="0" fontId="70" fillId="0" borderId="0" xfId="0" applyFont="1"/>
    <xf numFmtId="43" fontId="70" fillId="0" borderId="4" xfId="0" applyNumberFormat="1" applyFont="1" applyBorder="1" applyAlignment="1">
      <alignment horizontal="left" indent="1"/>
    </xf>
    <xf numFmtId="43" fontId="70" fillId="0" borderId="8" xfId="0" applyNumberFormat="1" applyFont="1" applyBorder="1"/>
    <xf numFmtId="43" fontId="70" fillId="0" borderId="8" xfId="0" applyNumberFormat="1" applyFont="1" applyBorder="1" applyAlignment="1">
      <alignment horizontal="right"/>
    </xf>
    <xf numFmtId="43" fontId="70" fillId="19" borderId="0" xfId="0" applyNumberFormat="1" applyFont="1" applyFill="1"/>
    <xf numFmtId="43" fontId="67" fillId="0" borderId="8" xfId="0" applyNumberFormat="1" applyFont="1" applyBorder="1"/>
    <xf numFmtId="0" fontId="70" fillId="16" borderId="0" xfId="0" applyFont="1" applyFill="1"/>
    <xf numFmtId="9" fontId="64" fillId="0" borderId="15" xfId="0" applyNumberFormat="1" applyFont="1" applyBorder="1"/>
    <xf numFmtId="9" fontId="64" fillId="0" borderId="19" xfId="0" applyNumberFormat="1" applyFont="1" applyBorder="1"/>
    <xf numFmtId="0" fontId="69" fillId="0" borderId="0" xfId="0" applyFont="1" applyAlignment="1">
      <alignment horizontal="right"/>
    </xf>
    <xf numFmtId="43" fontId="69" fillId="0" borderId="0" xfId="0" applyNumberFormat="1" applyFont="1"/>
    <xf numFmtId="0" fontId="66" fillId="0" borderId="72" xfId="0" applyFont="1" applyBorder="1" applyAlignment="1">
      <alignment wrapText="1"/>
    </xf>
    <xf numFmtId="0" fontId="64" fillId="0" borderId="73" xfId="0" applyFont="1" applyBorder="1"/>
    <xf numFmtId="0" fontId="64" fillId="0" borderId="77" xfId="0" applyFont="1" applyBorder="1"/>
    <xf numFmtId="43" fontId="64" fillId="0" borderId="74" xfId="0" applyNumberFormat="1" applyFont="1" applyBorder="1"/>
    <xf numFmtId="3" fontId="64" fillId="0" borderId="20" xfId="0" applyNumberFormat="1" applyFont="1" applyBorder="1"/>
    <xf numFmtId="0" fontId="64" fillId="0" borderId="20" xfId="0" applyFont="1" applyBorder="1"/>
    <xf numFmtId="0" fontId="64" fillId="0" borderId="15" xfId="0" applyFont="1" applyBorder="1"/>
    <xf numFmtId="0" fontId="64" fillId="0" borderId="74" xfId="0" applyFont="1" applyBorder="1" applyAlignment="1">
      <alignment wrapText="1"/>
    </xf>
    <xf numFmtId="175" fontId="64" fillId="0" borderId="20" xfId="5" applyNumberFormat="1" applyFont="1" applyBorder="1"/>
    <xf numFmtId="44" fontId="64" fillId="0" borderId="0" xfId="0" applyNumberFormat="1" applyFont="1"/>
    <xf numFmtId="0" fontId="64" fillId="0" borderId="74" xfId="0" applyFont="1" applyBorder="1"/>
    <xf numFmtId="173" fontId="64" fillId="0" borderId="20" xfId="4" applyNumberFormat="1" applyFont="1" applyBorder="1"/>
    <xf numFmtId="0" fontId="71" fillId="0" borderId="20" xfId="0" applyFont="1" applyBorder="1"/>
    <xf numFmtId="0" fontId="71" fillId="0" borderId="15" xfId="0" applyFont="1" applyBorder="1"/>
    <xf numFmtId="0" fontId="64" fillId="0" borderId="76" xfId="0" applyFont="1" applyBorder="1"/>
    <xf numFmtId="174" fontId="64" fillId="0" borderId="1" xfId="4" applyNumberFormat="1" applyFont="1" applyBorder="1"/>
    <xf numFmtId="0" fontId="64" fillId="0" borderId="1" xfId="0" applyFont="1" applyBorder="1"/>
    <xf numFmtId="0" fontId="64" fillId="0" borderId="19" xfId="0" applyFont="1" applyBorder="1"/>
    <xf numFmtId="0" fontId="66" fillId="0" borderId="72" xfId="0" applyFont="1" applyBorder="1"/>
    <xf numFmtId="0" fontId="64" fillId="0" borderId="75" xfId="0" applyFont="1" applyBorder="1"/>
    <xf numFmtId="0" fontId="64" fillId="0" borderId="49" xfId="0" applyFont="1" applyBorder="1"/>
    <xf numFmtId="0" fontId="64" fillId="0" borderId="78" xfId="0" applyFont="1" applyBorder="1"/>
    <xf numFmtId="0" fontId="4" fillId="0" borderId="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3" fontId="4" fillId="0" borderId="2" xfId="0" applyNumberFormat="1" applyFont="1" applyBorder="1"/>
    <xf numFmtId="43" fontId="3" fillId="0" borderId="4" xfId="0" applyNumberFormat="1" applyFont="1" applyBorder="1"/>
    <xf numFmtId="43" fontId="4" fillId="17" borderId="8" xfId="0" applyNumberFormat="1" applyFont="1" applyFill="1" applyBorder="1"/>
    <xf numFmtId="43" fontId="4" fillId="0" borderId="8" xfId="0" applyNumberFormat="1" applyFont="1" applyBorder="1"/>
    <xf numFmtId="1" fontId="4" fillId="17" borderId="4" xfId="0" applyNumberFormat="1" applyFont="1" applyFill="1" applyBorder="1" applyAlignment="1">
      <alignment horizontal="center"/>
    </xf>
    <xf numFmtId="43" fontId="4" fillId="17" borderId="0" xfId="0" applyNumberFormat="1" applyFont="1" applyFill="1"/>
    <xf numFmtId="0" fontId="4" fillId="17" borderId="0" xfId="0" applyFont="1" applyFill="1"/>
    <xf numFmtId="1" fontId="4" fillId="0" borderId="4" xfId="0" applyNumberFormat="1" applyFont="1" applyBorder="1" applyAlignment="1">
      <alignment horizontal="center"/>
    </xf>
    <xf numFmtId="43" fontId="4" fillId="16" borderId="0" xfId="0" applyNumberFormat="1" applyFont="1" applyFill="1"/>
    <xf numFmtId="0" fontId="4" fillId="16" borderId="0" xfId="0" applyFont="1" applyFill="1"/>
    <xf numFmtId="43" fontId="63" fillId="0" borderId="8" xfId="0" applyNumberFormat="1" applyFont="1" applyBorder="1"/>
    <xf numFmtId="175" fontId="64" fillId="0" borderId="0" xfId="0" applyNumberFormat="1" applyFont="1"/>
    <xf numFmtId="0" fontId="72" fillId="0" borderId="0" xfId="0" applyFont="1" applyProtection="1">
      <protection locked="0"/>
    </xf>
    <xf numFmtId="41" fontId="73" fillId="0" borderId="0" xfId="0" applyNumberFormat="1" applyFont="1"/>
    <xf numFmtId="41" fontId="74" fillId="0" borderId="33" xfId="0" applyNumberFormat="1" applyFont="1" applyBorder="1" applyProtection="1">
      <protection locked="0"/>
    </xf>
    <xf numFmtId="41" fontId="75" fillId="0" borderId="33" xfId="0" applyNumberFormat="1" applyFont="1" applyBorder="1" applyProtection="1">
      <protection locked="0"/>
    </xf>
    <xf numFmtId="0" fontId="75" fillId="0" borderId="33" xfId="0" applyFont="1" applyBorder="1" applyProtection="1">
      <protection locked="0"/>
    </xf>
    <xf numFmtId="41" fontId="75" fillId="0" borderId="25" xfId="0" applyNumberFormat="1" applyFont="1" applyBorder="1"/>
    <xf numFmtId="41" fontId="75" fillId="0" borderId="33" xfId="0" applyNumberFormat="1" applyFont="1" applyBorder="1"/>
    <xf numFmtId="0" fontId="75" fillId="0" borderId="33" xfId="0" applyFont="1" applyBorder="1" applyAlignment="1" applyProtection="1">
      <alignment horizontal="left"/>
      <protection locked="0"/>
    </xf>
    <xf numFmtId="0" fontId="73" fillId="0" borderId="0" xfId="0" applyFont="1"/>
    <xf numFmtId="41" fontId="74" fillId="0" borderId="0" xfId="0" applyNumberFormat="1" applyFont="1" applyProtection="1">
      <protection locked="0"/>
    </xf>
    <xf numFmtId="41" fontId="76" fillId="0" borderId="0" xfId="0" applyNumberFormat="1" applyFont="1" applyProtection="1">
      <protection locked="0"/>
    </xf>
    <xf numFmtId="41" fontId="75" fillId="0" borderId="0" xfId="0" applyNumberFormat="1" applyFont="1" applyProtection="1">
      <protection locked="0"/>
    </xf>
    <xf numFmtId="0" fontId="75" fillId="0" borderId="0" xfId="0" applyFont="1" applyProtection="1">
      <protection locked="0"/>
    </xf>
    <xf numFmtId="41" fontId="75" fillId="0" borderId="28" xfId="0" applyNumberFormat="1" applyFont="1" applyBorder="1"/>
    <xf numFmtId="41" fontId="75" fillId="0" borderId="0" xfId="0" applyNumberFormat="1" applyFont="1"/>
    <xf numFmtId="168" fontId="75" fillId="0" borderId="0" xfId="0" applyNumberFormat="1" applyFont="1"/>
    <xf numFmtId="41" fontId="73" fillId="0" borderId="0" xfId="0" applyNumberFormat="1" applyFont="1" applyProtection="1">
      <protection locked="0"/>
    </xf>
    <xf numFmtId="41" fontId="74" fillId="0" borderId="26" xfId="0" applyNumberFormat="1" applyFont="1" applyBorder="1" applyProtection="1">
      <protection locked="0"/>
    </xf>
    <xf numFmtId="177" fontId="75" fillId="0" borderId="0" xfId="0" applyNumberFormat="1" applyFont="1"/>
    <xf numFmtId="41" fontId="74" fillId="0" borderId="29" xfId="0" applyNumberFormat="1" applyFont="1" applyBorder="1" applyProtection="1">
      <protection locked="0"/>
    </xf>
    <xf numFmtId="41" fontId="74" fillId="0" borderId="32" xfId="0" applyNumberFormat="1" applyFont="1" applyBorder="1" applyProtection="1">
      <protection locked="0"/>
    </xf>
    <xf numFmtId="41" fontId="75" fillId="0" borderId="21" xfId="0" applyNumberFormat="1" applyFont="1" applyBorder="1" applyProtection="1">
      <protection locked="0"/>
    </xf>
    <xf numFmtId="0" fontId="75" fillId="0" borderId="21" xfId="0" applyFont="1" applyBorder="1" applyProtection="1">
      <protection locked="0"/>
    </xf>
    <xf numFmtId="41" fontId="75" fillId="0" borderId="31" xfId="0" applyNumberFormat="1" applyFont="1" applyBorder="1"/>
    <xf numFmtId="41" fontId="75" fillId="0" borderId="21" xfId="0" applyNumberFormat="1" applyFont="1" applyBorder="1"/>
    <xf numFmtId="0" fontId="72" fillId="9" borderId="1" xfId="0" applyFont="1" applyFill="1" applyBorder="1" applyAlignment="1" applyProtection="1">
      <alignment horizontal="center"/>
      <protection locked="0"/>
    </xf>
    <xf numFmtId="41" fontId="73" fillId="9" borderId="0" xfId="0" applyNumberFormat="1" applyFont="1" applyFill="1"/>
    <xf numFmtId="41" fontId="78" fillId="9" borderId="0" xfId="0" applyNumberFormat="1" applyFont="1" applyFill="1"/>
    <xf numFmtId="11" fontId="73" fillId="9" borderId="0" xfId="0" applyNumberFormat="1" applyFont="1" applyFill="1" applyAlignment="1">
      <alignment horizontal="center"/>
    </xf>
    <xf numFmtId="164" fontId="73" fillId="3" borderId="26" xfId="0" applyNumberFormat="1" applyFont="1" applyFill="1" applyBorder="1" applyAlignment="1" applyProtection="1">
      <alignment horizontal="center"/>
      <protection locked="0"/>
    </xf>
    <xf numFmtId="164" fontId="73" fillId="3" borderId="33" xfId="0" applyNumberFormat="1" applyFont="1" applyFill="1" applyBorder="1" applyAlignment="1" applyProtection="1">
      <alignment horizontal="center"/>
      <protection locked="0"/>
    </xf>
    <xf numFmtId="11" fontId="73" fillId="3" borderId="26" xfId="0" applyNumberFormat="1" applyFont="1" applyFill="1" applyBorder="1" applyAlignment="1" applyProtection="1">
      <alignment horizontal="center"/>
      <protection locked="0"/>
    </xf>
    <xf numFmtId="11" fontId="73" fillId="3" borderId="33" xfId="0" applyNumberFormat="1" applyFont="1" applyFill="1" applyBorder="1" applyAlignment="1" applyProtection="1">
      <alignment horizontal="center"/>
      <protection locked="0"/>
    </xf>
    <xf numFmtId="0" fontId="72" fillId="9" borderId="2" xfId="0" applyFont="1" applyFill="1" applyBorder="1" applyAlignment="1" applyProtection="1">
      <alignment horizontal="center"/>
      <protection locked="0"/>
    </xf>
    <xf numFmtId="41" fontId="73" fillId="9" borderId="3" xfId="0" applyNumberFormat="1" applyFont="1" applyFill="1" applyBorder="1"/>
    <xf numFmtId="11" fontId="73" fillId="9" borderId="3" xfId="0" applyNumberFormat="1" applyFont="1" applyFill="1" applyBorder="1" applyAlignment="1">
      <alignment horizontal="center"/>
    </xf>
    <xf numFmtId="164" fontId="73" fillId="3" borderId="32" xfId="0" applyNumberFormat="1" applyFont="1" applyFill="1" applyBorder="1" applyAlignment="1" applyProtection="1">
      <alignment horizontal="center"/>
      <protection locked="0"/>
    </xf>
    <xf numFmtId="164" fontId="73" fillId="3" borderId="21" xfId="0" applyNumberFormat="1" applyFont="1" applyFill="1" applyBorder="1" applyAlignment="1" applyProtection="1">
      <alignment horizontal="center"/>
      <protection locked="0"/>
    </xf>
    <xf numFmtId="11" fontId="73" fillId="3" borderId="32" xfId="0" applyNumberFormat="1" applyFont="1" applyFill="1" applyBorder="1" applyAlignment="1" applyProtection="1">
      <alignment horizontal="center"/>
      <protection locked="0"/>
    </xf>
    <xf numFmtId="11" fontId="73" fillId="3" borderId="21" xfId="0" applyNumberFormat="1" applyFont="1" applyFill="1" applyBorder="1" applyAlignment="1" applyProtection="1">
      <alignment horizontal="center"/>
      <protection locked="0"/>
    </xf>
    <xf numFmtId="41" fontId="73" fillId="0" borderId="21" xfId="0" applyNumberFormat="1" applyFont="1" applyBorder="1"/>
    <xf numFmtId="0" fontId="72" fillId="2" borderId="4" xfId="0" applyFont="1" applyFill="1" applyBorder="1" applyProtection="1">
      <protection locked="0"/>
    </xf>
    <xf numFmtId="41" fontId="79" fillId="2" borderId="4" xfId="0" applyNumberFormat="1" applyFont="1" applyFill="1" applyBorder="1"/>
    <xf numFmtId="41" fontId="79" fillId="2" borderId="1" xfId="0" applyNumberFormat="1" applyFont="1" applyFill="1" applyBorder="1"/>
    <xf numFmtId="41" fontId="79" fillId="2" borderId="5" xfId="0" applyNumberFormat="1" applyFont="1" applyFill="1" applyBorder="1"/>
    <xf numFmtId="14" fontId="79" fillId="2" borderId="5" xfId="0" applyNumberFormat="1" applyFont="1" applyFill="1" applyBorder="1"/>
    <xf numFmtId="41" fontId="79" fillId="2" borderId="4" xfId="0" applyNumberFormat="1" applyFont="1" applyFill="1" applyBorder="1" applyAlignment="1" applyProtection="1">
      <alignment horizontal="center"/>
      <protection locked="0"/>
    </xf>
    <xf numFmtId="41" fontId="79" fillId="2" borderId="6" xfId="0" applyNumberFormat="1" applyFont="1" applyFill="1" applyBorder="1" applyAlignment="1" applyProtection="1">
      <alignment horizontal="center"/>
      <protection locked="0"/>
    </xf>
    <xf numFmtId="41" fontId="80" fillId="2" borderId="4" xfId="0" applyNumberFormat="1" applyFont="1" applyFill="1" applyBorder="1" applyAlignment="1" applyProtection="1">
      <alignment horizontal="center"/>
      <protection locked="0"/>
    </xf>
    <xf numFmtId="0" fontId="73" fillId="2" borderId="0" xfId="0" applyFont="1" applyFill="1" applyAlignment="1" applyProtection="1">
      <alignment horizontal="left"/>
      <protection locked="0"/>
    </xf>
    <xf numFmtId="0" fontId="81" fillId="2" borderId="4" xfId="0" applyFont="1" applyFill="1" applyBorder="1" applyProtection="1">
      <protection locked="0"/>
    </xf>
    <xf numFmtId="41" fontId="79" fillId="2" borderId="4" xfId="0" applyNumberFormat="1" applyFont="1" applyFill="1" applyBorder="1" applyAlignment="1">
      <alignment horizontal="center"/>
    </xf>
    <xf numFmtId="41" fontId="79" fillId="2" borderId="6" xfId="0" applyNumberFormat="1" applyFont="1" applyFill="1" applyBorder="1" applyAlignment="1">
      <alignment horizontal="center"/>
    </xf>
    <xf numFmtId="0" fontId="79" fillId="2" borderId="2" xfId="0" applyFont="1" applyFill="1" applyBorder="1" applyAlignment="1">
      <alignment horizontal="center"/>
    </xf>
    <xf numFmtId="0" fontId="79" fillId="2" borderId="7" xfId="0" applyFont="1" applyFill="1" applyBorder="1" applyAlignment="1">
      <alignment horizontal="center"/>
    </xf>
    <xf numFmtId="169" fontId="79" fillId="2" borderId="2" xfId="0" applyNumberFormat="1" applyFont="1" applyFill="1" applyBorder="1" applyAlignment="1" applyProtection="1">
      <alignment horizontal="center"/>
      <protection locked="0"/>
    </xf>
    <xf numFmtId="169" fontId="79" fillId="2" borderId="7" xfId="0" applyNumberFormat="1" applyFont="1" applyFill="1" applyBorder="1" applyAlignment="1" applyProtection="1">
      <alignment horizontal="center"/>
      <protection locked="0"/>
    </xf>
    <xf numFmtId="169" fontId="79" fillId="2" borderId="6" xfId="0" applyNumberFormat="1" applyFont="1" applyFill="1" applyBorder="1" applyAlignment="1" applyProtection="1">
      <alignment horizontal="center"/>
      <protection locked="0"/>
    </xf>
    <xf numFmtId="171" fontId="79" fillId="2" borderId="7" xfId="0" applyNumberFormat="1" applyFont="1" applyFill="1" applyBorder="1" applyAlignment="1" applyProtection="1">
      <alignment horizontal="center"/>
      <protection locked="0"/>
    </xf>
    <xf numFmtId="0" fontId="79" fillId="2" borderId="3" xfId="0" applyFont="1" applyFill="1" applyBorder="1" applyAlignment="1" applyProtection="1">
      <alignment horizontal="center"/>
      <protection locked="0"/>
    </xf>
    <xf numFmtId="0" fontId="81" fillId="0" borderId="4" xfId="0" applyFont="1" applyBorder="1" applyProtection="1">
      <protection locked="0"/>
    </xf>
    <xf numFmtId="41" fontId="73" fillId="0" borderId="8" xfId="0" applyNumberFormat="1" applyFont="1" applyBorder="1"/>
    <xf numFmtId="41" fontId="73" fillId="0" borderId="4" xfId="0" applyNumberFormat="1" applyFont="1" applyBorder="1"/>
    <xf numFmtId="41" fontId="73" fillId="0" borderId="6" xfId="0" applyNumberFormat="1" applyFont="1" applyBorder="1"/>
    <xf numFmtId="41" fontId="73" fillId="0" borderId="4" xfId="0" applyNumberFormat="1" applyFont="1" applyBorder="1" applyProtection="1">
      <protection locked="0"/>
    </xf>
    <xf numFmtId="41" fontId="73" fillId="0" borderId="6" xfId="0" applyNumberFormat="1" applyFont="1" applyBorder="1" applyAlignment="1" applyProtection="1">
      <alignment horizontal="center"/>
      <protection locked="0"/>
    </xf>
    <xf numFmtId="41" fontId="73" fillId="0" borderId="6" xfId="0" applyNumberFormat="1" applyFont="1" applyBorder="1" applyProtection="1">
      <protection locked="0"/>
    </xf>
    <xf numFmtId="0" fontId="73" fillId="0" borderId="4" xfId="0" applyFont="1" applyBorder="1" applyAlignment="1" applyProtection="1">
      <alignment horizontal="left"/>
      <protection locked="0"/>
    </xf>
    <xf numFmtId="0" fontId="72" fillId="0" borderId="4" xfId="0" applyFont="1" applyBorder="1" applyProtection="1">
      <protection locked="0"/>
    </xf>
    <xf numFmtId="41" fontId="79" fillId="0" borderId="8" xfId="0" applyNumberFormat="1" applyFont="1" applyBorder="1"/>
    <xf numFmtId="41" fontId="79" fillId="0" borderId="4" xfId="0" applyNumberFormat="1" applyFont="1" applyBorder="1"/>
    <xf numFmtId="41" fontId="79" fillId="0" borderId="6" xfId="0" applyNumberFormat="1" applyFont="1" applyBorder="1"/>
    <xf numFmtId="41" fontId="79" fillId="0" borderId="0" xfId="0" applyNumberFormat="1" applyFont="1"/>
    <xf numFmtId="41" fontId="82" fillId="0" borderId="4" xfId="0" applyNumberFormat="1" applyFont="1" applyBorder="1"/>
    <xf numFmtId="41" fontId="83" fillId="0" borderId="6" xfId="0" applyNumberFormat="1" applyFont="1" applyBorder="1" applyAlignment="1">
      <alignment horizontal="center"/>
    </xf>
    <xf numFmtId="41" fontId="84" fillId="0" borderId="6" xfId="0" applyNumberFormat="1" applyFont="1" applyBorder="1" applyAlignment="1">
      <alignment horizontal="center"/>
    </xf>
    <xf numFmtId="41" fontId="85" fillId="0" borderId="0" xfId="0" applyNumberFormat="1" applyFont="1" applyProtection="1">
      <protection locked="0"/>
    </xf>
    <xf numFmtId="41" fontId="86" fillId="0" borderId="6" xfId="0" applyNumberFormat="1" applyFont="1" applyBorder="1" applyAlignment="1">
      <alignment horizontal="center"/>
    </xf>
    <xf numFmtId="14" fontId="73" fillId="0" borderId="4" xfId="0" applyNumberFormat="1" applyFont="1" applyBorder="1" applyAlignment="1" applyProtection="1">
      <alignment horizontal="left"/>
      <protection locked="0"/>
    </xf>
    <xf numFmtId="0" fontId="81" fillId="0" borderId="2" xfId="0" applyFont="1" applyBorder="1" applyProtection="1">
      <protection locked="0"/>
    </xf>
    <xf numFmtId="41" fontId="73" fillId="0" borderId="9" xfId="0" applyNumberFormat="1" applyFont="1" applyBorder="1"/>
    <xf numFmtId="41" fontId="73" fillId="0" borderId="2" xfId="0" applyNumberFormat="1" applyFont="1" applyBorder="1"/>
    <xf numFmtId="41" fontId="87" fillId="0" borderId="2" xfId="0" applyNumberFormat="1" applyFont="1" applyBorder="1" applyProtection="1">
      <protection locked="0"/>
    </xf>
    <xf numFmtId="41" fontId="73" fillId="0" borderId="7" xfId="0" applyNumberFormat="1" applyFont="1" applyBorder="1"/>
    <xf numFmtId="41" fontId="73" fillId="0" borderId="3" xfId="0" applyNumberFormat="1" applyFont="1" applyBorder="1"/>
    <xf numFmtId="41" fontId="73" fillId="0" borderId="2" xfId="0" applyNumberFormat="1" applyFont="1" applyBorder="1" applyProtection="1">
      <protection locked="0"/>
    </xf>
    <xf numFmtId="41" fontId="73" fillId="0" borderId="7" xfId="0" applyNumberFormat="1" applyFont="1" applyBorder="1" applyAlignment="1" applyProtection="1">
      <alignment horizontal="center"/>
      <protection locked="0"/>
    </xf>
    <xf numFmtId="41" fontId="88" fillId="0" borderId="2" xfId="0" applyNumberFormat="1" applyFont="1" applyBorder="1" applyAlignment="1">
      <alignment horizontal="center"/>
    </xf>
    <xf numFmtId="41" fontId="89" fillId="0" borderId="2" xfId="0" applyNumberFormat="1" applyFont="1" applyBorder="1" applyAlignment="1">
      <alignment horizontal="center"/>
    </xf>
    <xf numFmtId="41" fontId="83" fillId="0" borderId="7" xfId="0" applyNumberFormat="1" applyFont="1" applyBorder="1" applyAlignment="1" applyProtection="1">
      <alignment horizontal="center"/>
      <protection locked="0"/>
    </xf>
    <xf numFmtId="41" fontId="73" fillId="0" borderId="7" xfId="0" applyNumberFormat="1" applyFont="1" applyBorder="1" applyProtection="1">
      <protection locked="0"/>
    </xf>
    <xf numFmtId="43" fontId="73" fillId="0" borderId="3" xfId="0" applyNumberFormat="1" applyFont="1" applyBorder="1"/>
    <xf numFmtId="0" fontId="73" fillId="0" borderId="2" xfId="0" applyFont="1" applyBorder="1" applyAlignment="1" applyProtection="1">
      <alignment horizontal="left"/>
      <protection locked="0"/>
    </xf>
    <xf numFmtId="41" fontId="87" fillId="0" borderId="4" xfId="0" applyNumberFormat="1" applyFont="1" applyBorder="1" applyProtection="1">
      <protection locked="0"/>
    </xf>
    <xf numFmtId="41" fontId="85" fillId="0" borderId="6" xfId="0" applyNumberFormat="1" applyFont="1" applyBorder="1" applyAlignment="1" applyProtection="1">
      <alignment horizontal="center"/>
      <protection locked="0"/>
    </xf>
    <xf numFmtId="41" fontId="90" fillId="0" borderId="4" xfId="0" applyNumberFormat="1" applyFont="1" applyBorder="1"/>
    <xf numFmtId="41" fontId="78" fillId="0" borderId="6" xfId="0" applyNumberFormat="1" applyFont="1" applyBorder="1" applyProtection="1">
      <protection locked="0"/>
    </xf>
    <xf numFmtId="41" fontId="85" fillId="0" borderId="6" xfId="0" applyNumberFormat="1" applyFont="1" applyBorder="1" applyProtection="1">
      <protection locked="0"/>
    </xf>
    <xf numFmtId="41" fontId="86" fillId="0" borderId="4" xfId="0" applyNumberFormat="1" applyFont="1" applyBorder="1" applyProtection="1">
      <protection locked="0"/>
    </xf>
    <xf numFmtId="41" fontId="86" fillId="0" borderId="6" xfId="0" applyNumberFormat="1" applyFont="1" applyBorder="1" applyProtection="1">
      <protection locked="0"/>
    </xf>
    <xf numFmtId="43" fontId="73" fillId="0" borderId="6" xfId="0" applyNumberFormat="1" applyFont="1" applyBorder="1"/>
    <xf numFmtId="41" fontId="78" fillId="0" borderId="6" xfId="0" applyNumberFormat="1" applyFont="1" applyBorder="1" applyAlignment="1">
      <alignment horizontal="center"/>
    </xf>
    <xf numFmtId="41" fontId="85" fillId="0" borderId="6" xfId="0" applyNumberFormat="1" applyFont="1" applyBorder="1" applyAlignment="1">
      <alignment horizontal="center"/>
    </xf>
    <xf numFmtId="41" fontId="79" fillId="0" borderId="4" xfId="0" applyNumberFormat="1" applyFont="1" applyBorder="1" applyProtection="1">
      <protection locked="0"/>
    </xf>
    <xf numFmtId="41" fontId="82" fillId="0" borderId="4" xfId="0" applyNumberFormat="1" applyFont="1" applyBorder="1" applyProtection="1">
      <protection locked="0"/>
    </xf>
    <xf numFmtId="14" fontId="83" fillId="0" borderId="6" xfId="0" applyNumberFormat="1" applyFont="1" applyBorder="1" applyAlignment="1">
      <alignment horizontal="center"/>
    </xf>
    <xf numFmtId="41" fontId="84" fillId="0" borderId="4" xfId="0" applyNumberFormat="1" applyFont="1" applyBorder="1" applyProtection="1">
      <protection locked="0"/>
    </xf>
    <xf numFmtId="41" fontId="89" fillId="0" borderId="4" xfId="0" applyNumberFormat="1" applyFont="1" applyBorder="1" applyProtection="1">
      <protection locked="0"/>
    </xf>
    <xf numFmtId="41" fontId="83" fillId="0" borderId="4" xfId="0" applyNumberFormat="1" applyFont="1" applyBorder="1" applyAlignment="1">
      <alignment horizontal="center"/>
    </xf>
    <xf numFmtId="41" fontId="83" fillId="0" borderId="0" xfId="0" applyNumberFormat="1" applyFont="1" applyAlignment="1">
      <alignment horizontal="center"/>
    </xf>
    <xf numFmtId="0" fontId="72" fillId="0" borderId="2" xfId="0" applyFont="1" applyBorder="1" applyProtection="1">
      <protection locked="0"/>
    </xf>
    <xf numFmtId="41" fontId="86" fillId="0" borderId="7" xfId="0" applyNumberFormat="1" applyFont="1" applyBorder="1" applyAlignment="1" applyProtection="1">
      <alignment horizontal="center"/>
      <protection locked="0"/>
    </xf>
    <xf numFmtId="41" fontId="86" fillId="0" borderId="2" xfId="0" applyNumberFormat="1" applyFont="1" applyBorder="1" applyAlignment="1" applyProtection="1">
      <alignment horizontal="center"/>
      <protection locked="0"/>
    </xf>
    <xf numFmtId="41" fontId="85" fillId="0" borderId="7" xfId="0" applyNumberFormat="1" applyFont="1" applyBorder="1" applyAlignment="1" applyProtection="1">
      <alignment horizontal="center"/>
      <protection locked="0"/>
    </xf>
    <xf numFmtId="41" fontId="86" fillId="0" borderId="6" xfId="0" applyNumberFormat="1" applyFont="1" applyBorder="1" applyAlignment="1" applyProtection="1">
      <alignment horizontal="center"/>
      <protection locked="0"/>
    </xf>
    <xf numFmtId="41" fontId="87" fillId="0" borderId="4" xfId="0" applyNumberFormat="1" applyFont="1" applyBorder="1"/>
    <xf numFmtId="41" fontId="83" fillId="0" borderId="6" xfId="0" applyNumberFormat="1" applyFont="1" applyBorder="1" applyAlignment="1" applyProtection="1">
      <alignment horizontal="center"/>
      <protection locked="0"/>
    </xf>
    <xf numFmtId="41" fontId="83" fillId="0" borderId="4" xfId="0" applyNumberFormat="1" applyFont="1" applyBorder="1" applyAlignment="1" applyProtection="1">
      <alignment horizontal="center"/>
      <protection locked="0"/>
    </xf>
    <xf numFmtId="41" fontId="87" fillId="0" borderId="7" xfId="0" applyNumberFormat="1" applyFont="1" applyBorder="1" applyAlignment="1" applyProtection="1">
      <alignment horizontal="center"/>
      <protection locked="0"/>
    </xf>
    <xf numFmtId="41" fontId="87" fillId="0" borderId="2" xfId="0" applyNumberFormat="1" applyFont="1" applyBorder="1" applyAlignment="1" applyProtection="1">
      <alignment horizontal="center"/>
      <protection locked="0"/>
    </xf>
    <xf numFmtId="41" fontId="87" fillId="0" borderId="6" xfId="0" applyNumberFormat="1" applyFont="1" applyBorder="1" applyAlignment="1" applyProtection="1">
      <alignment horizontal="center"/>
      <protection locked="0"/>
    </xf>
    <xf numFmtId="41" fontId="79" fillId="0" borderId="8" xfId="0" applyNumberFormat="1" applyFont="1" applyBorder="1" applyProtection="1">
      <protection locked="0"/>
    </xf>
    <xf numFmtId="41" fontId="80" fillId="0" borderId="4" xfId="0" applyNumberFormat="1" applyFont="1" applyBorder="1" applyProtection="1">
      <protection locked="0"/>
    </xf>
    <xf numFmtId="41" fontId="73" fillId="0" borderId="1" xfId="0" applyNumberFormat="1" applyFont="1" applyBorder="1"/>
    <xf numFmtId="41" fontId="73" fillId="0" borderId="5" xfId="0" applyNumberFormat="1" applyFont="1" applyBorder="1"/>
    <xf numFmtId="43" fontId="73" fillId="0" borderId="5" xfId="0" applyNumberFormat="1" applyFont="1" applyBorder="1"/>
    <xf numFmtId="0" fontId="73" fillId="0" borderId="1" xfId="0" applyFont="1" applyBorder="1" applyAlignment="1" applyProtection="1">
      <alignment horizontal="left"/>
      <protection locked="0"/>
    </xf>
    <xf numFmtId="43" fontId="90" fillId="0" borderId="4" xfId="0" applyNumberFormat="1" applyFont="1" applyBorder="1"/>
    <xf numFmtId="43" fontId="86" fillId="0" borderId="6" xfId="0" applyNumberFormat="1" applyFont="1" applyBorder="1" applyAlignment="1">
      <alignment horizontal="center"/>
    </xf>
    <xf numFmtId="41" fontId="78" fillId="0" borderId="4" xfId="0" applyNumberFormat="1" applyFont="1" applyBorder="1" applyProtection="1">
      <protection locked="0"/>
    </xf>
    <xf numFmtId="41" fontId="86" fillId="0" borderId="0" xfId="0" applyNumberFormat="1" applyFont="1" applyAlignment="1">
      <alignment horizontal="center"/>
    </xf>
    <xf numFmtId="0" fontId="81" fillId="0" borderId="4" xfId="0" applyFont="1" applyBorder="1"/>
    <xf numFmtId="41" fontId="84" fillId="0" borderId="4" xfId="0" applyNumberFormat="1" applyFont="1" applyBorder="1"/>
    <xf numFmtId="41" fontId="89" fillId="0" borderId="4" xfId="0" applyNumberFormat="1" applyFont="1" applyBorder="1"/>
    <xf numFmtId="41" fontId="83" fillId="0" borderId="4" xfId="0" applyNumberFormat="1" applyFont="1" applyBorder="1"/>
    <xf numFmtId="41" fontId="90" fillId="0" borderId="2" xfId="0" applyNumberFormat="1" applyFont="1" applyBorder="1" applyProtection="1">
      <protection locked="0"/>
    </xf>
    <xf numFmtId="41" fontId="90" fillId="0" borderId="4" xfId="0" applyNumberFormat="1" applyFont="1" applyBorder="1" applyProtection="1">
      <protection locked="0"/>
    </xf>
    <xf numFmtId="41" fontId="88" fillId="0" borderId="4" xfId="0" applyNumberFormat="1" applyFont="1" applyBorder="1"/>
    <xf numFmtId="0" fontId="79" fillId="0" borderId="4" xfId="0" applyFont="1" applyBorder="1"/>
    <xf numFmtId="3" fontId="73" fillId="0" borderId="4" xfId="0" applyNumberFormat="1" applyFont="1" applyBorder="1" applyProtection="1">
      <protection locked="0"/>
    </xf>
    <xf numFmtId="3" fontId="73" fillId="0" borderId="6" xfId="0" applyNumberFormat="1" applyFont="1" applyBorder="1" applyProtection="1">
      <protection locked="0"/>
    </xf>
    <xf numFmtId="41" fontId="87" fillId="0" borderId="6" xfId="0" applyNumberFormat="1" applyFont="1" applyBorder="1" applyProtection="1">
      <protection locked="0"/>
    </xf>
    <xf numFmtId="0" fontId="87" fillId="0" borderId="4" xfId="0" applyFont="1" applyBorder="1" applyAlignment="1" applyProtection="1">
      <alignment horizontal="left"/>
      <protection locked="0"/>
    </xf>
    <xf numFmtId="41" fontId="91" fillId="0" borderId="6" xfId="0" applyNumberFormat="1" applyFont="1" applyBorder="1" applyAlignment="1">
      <alignment horizontal="center"/>
    </xf>
    <xf numFmtId="41" fontId="87" fillId="0" borderId="6" xfId="0" applyNumberFormat="1" applyFont="1" applyBorder="1" applyAlignment="1">
      <alignment horizontal="center"/>
    </xf>
    <xf numFmtId="0" fontId="81" fillId="0" borderId="6" xfId="0" applyFont="1" applyBorder="1"/>
    <xf numFmtId="41" fontId="80" fillId="0" borderId="2" xfId="0" applyNumberFormat="1" applyFont="1" applyBorder="1" applyProtection="1">
      <protection locked="0"/>
    </xf>
    <xf numFmtId="41" fontId="82" fillId="0" borderId="2" xfId="0" applyNumberFormat="1" applyFont="1" applyBorder="1" applyProtection="1">
      <protection locked="0"/>
    </xf>
    <xf numFmtId="41" fontId="80" fillId="0" borderId="7" xfId="0" applyNumberFormat="1" applyFont="1" applyBorder="1" applyAlignment="1" applyProtection="1">
      <alignment horizontal="center"/>
      <protection locked="0"/>
    </xf>
    <xf numFmtId="41" fontId="80" fillId="0" borderId="2" xfId="0" applyNumberFormat="1" applyFont="1" applyBorder="1" applyAlignment="1" applyProtection="1">
      <alignment horizontal="center"/>
      <protection locked="0"/>
    </xf>
    <xf numFmtId="41" fontId="89" fillId="0" borderId="7" xfId="0" applyNumberFormat="1" applyFont="1" applyBorder="1" applyAlignment="1" applyProtection="1">
      <alignment horizontal="center"/>
      <protection locked="0"/>
    </xf>
    <xf numFmtId="0" fontId="79" fillId="0" borderId="2" xfId="0" applyFont="1" applyBorder="1" applyAlignment="1" applyProtection="1">
      <alignment horizontal="left"/>
      <protection locked="0"/>
    </xf>
    <xf numFmtId="41" fontId="80" fillId="0" borderId="6" xfId="0" applyNumberFormat="1" applyFont="1" applyBorder="1" applyAlignment="1" applyProtection="1">
      <alignment horizontal="center"/>
      <protection locked="0"/>
    </xf>
    <xf numFmtId="41" fontId="89" fillId="0" borderId="6" xfId="0" applyNumberFormat="1" applyFont="1" applyBorder="1" applyAlignment="1" applyProtection="1">
      <alignment horizontal="center"/>
      <protection locked="0"/>
    </xf>
    <xf numFmtId="0" fontId="79" fillId="0" borderId="4" xfId="0" applyFont="1" applyBorder="1" applyAlignment="1" applyProtection="1">
      <alignment horizontal="left"/>
      <protection locked="0"/>
    </xf>
    <xf numFmtId="41" fontId="72" fillId="0" borderId="7" xfId="0" applyNumberFormat="1" applyFont="1" applyBorder="1" applyProtection="1">
      <protection locked="0"/>
    </xf>
    <xf numFmtId="41" fontId="83" fillId="7" borderId="10" xfId="0" applyNumberFormat="1" applyFont="1" applyFill="1" applyBorder="1" applyProtection="1">
      <protection locked="0"/>
    </xf>
    <xf numFmtId="3" fontId="79" fillId="0" borderId="6" xfId="0" applyNumberFormat="1" applyFont="1" applyBorder="1"/>
    <xf numFmtId="41" fontId="82" fillId="0" borderId="6" xfId="0" applyNumberFormat="1" applyFont="1" applyBorder="1"/>
    <xf numFmtId="41" fontId="80" fillId="0" borderId="4" xfId="0" applyNumberFormat="1" applyFont="1" applyBorder="1"/>
    <xf numFmtId="41" fontId="79" fillId="0" borderId="9" xfId="0" applyNumberFormat="1" applyFont="1" applyBorder="1" applyProtection="1">
      <protection locked="0"/>
    </xf>
    <xf numFmtId="41" fontId="79" fillId="0" borderId="2" xfId="0" applyNumberFormat="1" applyFont="1" applyBorder="1" applyProtection="1">
      <protection locked="0"/>
    </xf>
    <xf numFmtId="41" fontId="79" fillId="0" borderId="7" xfId="0" applyNumberFormat="1" applyFont="1" applyBorder="1" applyProtection="1">
      <protection locked="0"/>
    </xf>
    <xf numFmtId="41" fontId="79" fillId="0" borderId="3" xfId="0" applyNumberFormat="1" applyFont="1" applyBorder="1" applyProtection="1">
      <protection locked="0"/>
    </xf>
    <xf numFmtId="41" fontId="79" fillId="0" borderId="6" xfId="0" applyNumberFormat="1" applyFont="1" applyBorder="1" applyProtection="1">
      <protection locked="0"/>
    </xf>
    <xf numFmtId="41" fontId="79" fillId="0" borderId="0" xfId="0" applyNumberFormat="1" applyFont="1" applyProtection="1">
      <protection locked="0"/>
    </xf>
    <xf numFmtId="41" fontId="81" fillId="0" borderId="6" xfId="0" applyNumberFormat="1" applyFont="1" applyBorder="1"/>
    <xf numFmtId="41" fontId="81" fillId="0" borderId="4" xfId="0" applyNumberFormat="1" applyFont="1" applyBorder="1"/>
    <xf numFmtId="41" fontId="84" fillId="0" borderId="6" xfId="0" applyNumberFormat="1" applyFont="1" applyBorder="1"/>
    <xf numFmtId="41" fontId="89" fillId="0" borderId="6" xfId="0" applyNumberFormat="1" applyFont="1" applyBorder="1"/>
    <xf numFmtId="37" fontId="90" fillId="0" borderId="4" xfId="0" applyNumberFormat="1" applyFont="1" applyBorder="1"/>
    <xf numFmtId="37" fontId="82" fillId="0" borderId="4" xfId="0" applyNumberFormat="1" applyFont="1" applyBorder="1"/>
    <xf numFmtId="0" fontId="72" fillId="0" borderId="9" xfId="0" applyFont="1" applyBorder="1" applyProtection="1">
      <protection locked="0"/>
    </xf>
    <xf numFmtId="41" fontId="78" fillId="0" borderId="7" xfId="0" applyNumberFormat="1" applyFont="1" applyBorder="1" applyAlignment="1" applyProtection="1">
      <alignment horizontal="center"/>
      <protection locked="0"/>
    </xf>
    <xf numFmtId="41" fontId="78" fillId="0" borderId="2" xfId="0" applyNumberFormat="1" applyFont="1" applyBorder="1" applyAlignment="1" applyProtection="1">
      <alignment horizontal="center"/>
      <protection locked="0"/>
    </xf>
    <xf numFmtId="41" fontId="91" fillId="0" borderId="6" xfId="0" applyNumberFormat="1" applyFont="1" applyBorder="1" applyProtection="1">
      <protection locked="0"/>
    </xf>
    <xf numFmtId="0" fontId="92" fillId="0" borderId="4" xfId="0" applyFont="1" applyBorder="1" applyAlignment="1" applyProtection="1">
      <alignment horizontal="left"/>
      <protection locked="0"/>
    </xf>
    <xf numFmtId="41" fontId="83" fillId="0" borderId="6" xfId="0" applyNumberFormat="1" applyFont="1" applyBorder="1"/>
    <xf numFmtId="41" fontId="73" fillId="0" borderId="8" xfId="0" applyNumberFormat="1" applyFont="1" applyBorder="1" applyProtection="1">
      <protection locked="0"/>
    </xf>
    <xf numFmtId="14" fontId="92" fillId="0" borderId="4" xfId="0" applyNumberFormat="1" applyFont="1" applyBorder="1" applyAlignment="1" applyProtection="1">
      <alignment horizontal="left"/>
      <protection locked="0"/>
    </xf>
    <xf numFmtId="41" fontId="86" fillId="0" borderId="4" xfId="0" applyNumberFormat="1" applyFont="1" applyBorder="1" applyAlignment="1">
      <alignment horizontal="center"/>
    </xf>
    <xf numFmtId="3" fontId="87" fillId="0" borderId="2" xfId="0" applyNumberFormat="1" applyFont="1" applyBorder="1" applyProtection="1">
      <protection locked="0"/>
    </xf>
    <xf numFmtId="3" fontId="87" fillId="0" borderId="7" xfId="0" applyNumberFormat="1" applyFont="1" applyBorder="1" applyProtection="1">
      <protection locked="0"/>
    </xf>
    <xf numFmtId="3" fontId="87" fillId="0" borderId="4" xfId="0" applyNumberFormat="1" applyFont="1" applyBorder="1" applyProtection="1">
      <protection locked="0"/>
    </xf>
    <xf numFmtId="3" fontId="87" fillId="0" borderId="6" xfId="0" applyNumberFormat="1" applyFont="1" applyBorder="1" applyProtection="1">
      <protection locked="0"/>
    </xf>
    <xf numFmtId="41" fontId="80" fillId="0" borderId="6" xfId="0" applyNumberFormat="1" applyFont="1" applyBorder="1" applyAlignment="1">
      <alignment horizontal="center"/>
    </xf>
    <xf numFmtId="41" fontId="86" fillId="0" borderId="6" xfId="0" quotePrefix="1" applyNumberFormat="1" applyFont="1" applyBorder="1" applyProtection="1">
      <protection locked="0"/>
    </xf>
    <xf numFmtId="41" fontId="78" fillId="0" borderId="6" xfId="0" applyNumberFormat="1" applyFont="1" applyBorder="1" applyAlignment="1" applyProtection="1">
      <alignment horizontal="center"/>
      <protection locked="0"/>
    </xf>
    <xf numFmtId="41" fontId="87" fillId="0" borderId="7" xfId="0" applyNumberFormat="1" applyFont="1" applyBorder="1" applyProtection="1">
      <protection locked="0"/>
    </xf>
    <xf numFmtId="3" fontId="79" fillId="0" borderId="4" xfId="0" applyNumberFormat="1" applyFont="1" applyBorder="1"/>
    <xf numFmtId="41" fontId="79" fillId="0" borderId="4" xfId="0" applyNumberFormat="1" applyFont="1" applyBorder="1" applyAlignment="1" applyProtection="1">
      <alignment horizontal="left"/>
      <protection locked="0"/>
    </xf>
    <xf numFmtId="0" fontId="81" fillId="0" borderId="10" xfId="0" applyFont="1" applyBorder="1"/>
    <xf numFmtId="41" fontId="79" fillId="0" borderId="11" xfId="0" applyNumberFormat="1" applyFont="1" applyBorder="1"/>
    <xf numFmtId="41" fontId="79" fillId="0" borderId="10" xfId="0" applyNumberFormat="1" applyFont="1" applyBorder="1"/>
    <xf numFmtId="41" fontId="79" fillId="7" borderId="10" xfId="0" applyNumberFormat="1" applyFont="1" applyFill="1" applyBorder="1"/>
    <xf numFmtId="41" fontId="82" fillId="7" borderId="10" xfId="0" applyNumberFormat="1" applyFont="1" applyFill="1" applyBorder="1"/>
    <xf numFmtId="41" fontId="84" fillId="7" borderId="10" xfId="0" applyNumberFormat="1" applyFont="1" applyFill="1" applyBorder="1"/>
    <xf numFmtId="41" fontId="89" fillId="7" borderId="10" xfId="0" applyNumberFormat="1" applyFont="1" applyFill="1" applyBorder="1"/>
    <xf numFmtId="41" fontId="83" fillId="7" borderId="10" xfId="0" applyNumberFormat="1" applyFont="1" applyFill="1" applyBorder="1"/>
    <xf numFmtId="0" fontId="73" fillId="0" borderId="10" xfId="0" applyFont="1" applyBorder="1" applyAlignment="1" applyProtection="1">
      <alignment horizontal="left"/>
      <protection locked="0"/>
    </xf>
    <xf numFmtId="41" fontId="94" fillId="0" borderId="4" xfId="0" applyNumberFormat="1" applyFont="1" applyBorder="1" applyProtection="1">
      <protection locked="0"/>
    </xf>
    <xf numFmtId="41" fontId="94" fillId="0" borderId="6" xfId="0" applyNumberFormat="1" applyFont="1" applyBorder="1" applyProtection="1">
      <protection locked="0"/>
    </xf>
    <xf numFmtId="41" fontId="94" fillId="0" borderId="6" xfId="0" applyNumberFormat="1" applyFont="1" applyBorder="1" applyAlignment="1">
      <alignment horizontal="center"/>
    </xf>
    <xf numFmtId="41" fontId="95" fillId="0" borderId="4" xfId="0" applyNumberFormat="1" applyFont="1" applyBorder="1"/>
    <xf numFmtId="3" fontId="80" fillId="0" borderId="2" xfId="0" applyNumberFormat="1" applyFont="1" applyBorder="1" applyProtection="1">
      <protection locked="0"/>
    </xf>
    <xf numFmtId="3" fontId="80" fillId="0" borderId="7" xfId="0" applyNumberFormat="1" applyFont="1" applyBorder="1" applyProtection="1">
      <protection locked="0"/>
    </xf>
    <xf numFmtId="14" fontId="83" fillId="0" borderId="7" xfId="0" applyNumberFormat="1" applyFont="1" applyBorder="1" applyAlignment="1" applyProtection="1">
      <alignment horizontal="center"/>
      <protection locked="0"/>
    </xf>
    <xf numFmtId="14" fontId="80" fillId="0" borderId="7" xfId="0" applyNumberFormat="1" applyFont="1" applyBorder="1" applyAlignment="1" applyProtection="1">
      <alignment horizontal="center"/>
      <protection locked="0"/>
    </xf>
    <xf numFmtId="14" fontId="80" fillId="0" borderId="2" xfId="0" applyNumberFormat="1" applyFont="1" applyBorder="1" applyAlignment="1" applyProtection="1">
      <alignment horizontal="center"/>
      <protection locked="0"/>
    </xf>
    <xf numFmtId="14" fontId="89" fillId="0" borderId="7" xfId="0" applyNumberFormat="1" applyFont="1" applyBorder="1" applyAlignment="1" applyProtection="1">
      <alignment horizontal="center"/>
      <protection locked="0"/>
    </xf>
    <xf numFmtId="41" fontId="83" fillId="0" borderId="2" xfId="0" applyNumberFormat="1" applyFont="1" applyBorder="1" applyAlignment="1" applyProtection="1">
      <alignment horizontal="center"/>
      <protection locked="0"/>
    </xf>
    <xf numFmtId="41" fontId="89" fillId="0" borderId="2" xfId="0" applyNumberFormat="1" applyFont="1" applyBorder="1" applyAlignment="1" applyProtection="1">
      <alignment horizontal="center"/>
      <protection locked="0"/>
    </xf>
    <xf numFmtId="3" fontId="79" fillId="0" borderId="4" xfId="0" applyNumberFormat="1" applyFont="1" applyBorder="1" applyProtection="1">
      <protection locked="0"/>
    </xf>
    <xf numFmtId="41" fontId="89" fillId="0" borderId="8" xfId="0" applyNumberFormat="1" applyFont="1" applyBorder="1" applyProtection="1">
      <protection locked="0"/>
    </xf>
    <xf numFmtId="41" fontId="83" fillId="0" borderId="8" xfId="0" applyNumberFormat="1" applyFont="1" applyBorder="1" applyAlignment="1" applyProtection="1">
      <alignment horizontal="center"/>
      <protection locked="0"/>
    </xf>
    <xf numFmtId="41" fontId="85" fillId="0" borderId="2" xfId="0" applyNumberFormat="1" applyFont="1" applyBorder="1" applyAlignment="1" applyProtection="1">
      <alignment horizontal="center"/>
      <protection locked="0"/>
    </xf>
    <xf numFmtId="41" fontId="96" fillId="0" borderId="4" xfId="0" applyNumberFormat="1" applyFont="1" applyBorder="1"/>
    <xf numFmtId="41" fontId="87" fillId="0" borderId="4" xfId="0" applyNumberFormat="1" applyFont="1" applyBorder="1" applyAlignment="1">
      <alignment horizontal="center"/>
    </xf>
    <xf numFmtId="0" fontId="81" fillId="0" borderId="2" xfId="0" applyFont="1" applyBorder="1"/>
    <xf numFmtId="41" fontId="79" fillId="0" borderId="2" xfId="0" applyNumberFormat="1" applyFont="1" applyBorder="1"/>
    <xf numFmtId="3" fontId="79" fillId="0" borderId="2" xfId="0" applyNumberFormat="1" applyFont="1" applyBorder="1"/>
    <xf numFmtId="3" fontId="79" fillId="0" borderId="7" xfId="0" applyNumberFormat="1" applyFont="1" applyBorder="1"/>
    <xf numFmtId="41" fontId="82" fillId="0" borderId="2" xfId="0" applyNumberFormat="1" applyFont="1" applyBorder="1"/>
    <xf numFmtId="14" fontId="83" fillId="0" borderId="7" xfId="0" applyNumberFormat="1" applyFont="1" applyBorder="1" applyAlignment="1">
      <alignment horizontal="center"/>
    </xf>
    <xf numFmtId="41" fontId="84" fillId="0" borderId="7" xfId="0" applyNumberFormat="1" applyFont="1" applyBorder="1"/>
    <xf numFmtId="41" fontId="84" fillId="0" borderId="2" xfId="0" applyNumberFormat="1" applyFont="1" applyBorder="1"/>
    <xf numFmtId="41" fontId="89" fillId="0" borderId="7" xfId="0" applyNumberFormat="1" applyFont="1" applyBorder="1"/>
    <xf numFmtId="41" fontId="83" fillId="0" borderId="7" xfId="0" applyNumberFormat="1" applyFont="1" applyBorder="1"/>
    <xf numFmtId="41" fontId="83" fillId="0" borderId="3" xfId="0" applyNumberFormat="1" applyFont="1" applyBorder="1" applyAlignment="1">
      <alignment horizontal="center"/>
    </xf>
    <xf numFmtId="41" fontId="83" fillId="0" borderId="2" xfId="0" applyNumberFormat="1" applyFont="1" applyBorder="1" applyAlignment="1">
      <alignment horizontal="center"/>
    </xf>
    <xf numFmtId="41" fontId="83" fillId="0" borderId="2" xfId="0" applyNumberFormat="1" applyFont="1" applyBorder="1"/>
    <xf numFmtId="41" fontId="83" fillId="0" borderId="7" xfId="0" applyNumberFormat="1" applyFont="1" applyBorder="1" applyAlignment="1">
      <alignment horizontal="center"/>
    </xf>
    <xf numFmtId="0" fontId="73" fillId="0" borderId="7" xfId="0" applyFont="1" applyBorder="1"/>
    <xf numFmtId="41" fontId="96" fillId="0" borderId="4" xfId="0" applyNumberFormat="1" applyFont="1" applyBorder="1" applyProtection="1">
      <protection locked="0"/>
    </xf>
    <xf numFmtId="41" fontId="96" fillId="0" borderId="6" xfId="0" applyNumberFormat="1" applyFont="1" applyBorder="1" applyProtection="1">
      <protection locked="0"/>
    </xf>
    <xf numFmtId="168" fontId="86" fillId="0" borderId="6" xfId="0" applyNumberFormat="1" applyFont="1" applyBorder="1" applyProtection="1">
      <protection locked="0"/>
    </xf>
    <xf numFmtId="41" fontId="96" fillId="0" borderId="6" xfId="0" applyNumberFormat="1" applyFont="1" applyBorder="1" applyAlignment="1">
      <alignment horizontal="center"/>
    </xf>
    <xf numFmtId="0" fontId="72" fillId="0" borderId="4" xfId="0" applyFont="1" applyBorder="1"/>
    <xf numFmtId="41" fontId="83" fillId="0" borderId="4" xfId="0" applyNumberFormat="1" applyFont="1" applyBorder="1" applyProtection="1">
      <protection locked="0"/>
    </xf>
    <xf numFmtId="41" fontId="97" fillId="0" borderId="4" xfId="0" applyNumberFormat="1" applyFont="1" applyBorder="1"/>
    <xf numFmtId="41" fontId="79" fillId="0" borderId="7" xfId="0" applyNumberFormat="1" applyFont="1" applyBorder="1"/>
    <xf numFmtId="41" fontId="79" fillId="3" borderId="13" xfId="0" applyNumberFormat="1" applyFont="1" applyFill="1" applyBorder="1"/>
    <xf numFmtId="41" fontId="79" fillId="7" borderId="12" xfId="0" applyNumberFormat="1" applyFont="1" applyFill="1" applyBorder="1"/>
    <xf numFmtId="41" fontId="82" fillId="7" borderId="13" xfId="0" applyNumberFormat="1" applyFont="1" applyFill="1" applyBorder="1"/>
    <xf numFmtId="41" fontId="97" fillId="7" borderId="12" xfId="0" applyNumberFormat="1" applyFont="1" applyFill="1" applyBorder="1"/>
    <xf numFmtId="41" fontId="73" fillId="0" borderId="14" xfId="0" applyNumberFormat="1" applyFont="1" applyBorder="1"/>
    <xf numFmtId="41" fontId="73" fillId="0" borderId="4" xfId="0" applyNumberFormat="1" applyFont="1" applyBorder="1" applyAlignment="1">
      <alignment horizontal="center"/>
    </xf>
    <xf numFmtId="14" fontId="80" fillId="0" borderId="6" xfId="0" applyNumberFormat="1" applyFont="1" applyBorder="1" applyAlignment="1">
      <alignment horizontal="center"/>
    </xf>
    <xf numFmtId="0" fontId="90" fillId="0" borderId="4" xfId="0" applyFont="1" applyBorder="1"/>
    <xf numFmtId="14" fontId="83" fillId="0" borderId="0" xfId="0" applyNumberFormat="1" applyFont="1" applyAlignment="1">
      <alignment horizontal="center"/>
    </xf>
    <xf numFmtId="3" fontId="72" fillId="0" borderId="0" xfId="0" applyNumberFormat="1" applyFont="1" applyProtection="1">
      <protection locked="0"/>
    </xf>
    <xf numFmtId="41" fontId="87" fillId="0" borderId="4" xfId="0" applyNumberFormat="1" applyFont="1" applyBorder="1" applyAlignment="1" applyProtection="1">
      <alignment horizontal="center"/>
      <protection locked="0"/>
    </xf>
    <xf numFmtId="3" fontId="87" fillId="0" borderId="4" xfId="0" applyNumberFormat="1" applyFont="1" applyBorder="1" applyAlignment="1" applyProtection="1">
      <alignment horizontal="center"/>
      <protection locked="0"/>
    </xf>
    <xf numFmtId="3" fontId="87" fillId="0" borderId="6" xfId="0" applyNumberFormat="1" applyFont="1" applyBorder="1" applyAlignment="1" applyProtection="1">
      <alignment horizontal="center"/>
      <protection locked="0"/>
    </xf>
    <xf numFmtId="41" fontId="90" fillId="0" borderId="4" xfId="0" applyNumberFormat="1" applyFont="1" applyBorder="1" applyAlignment="1" applyProtection="1">
      <alignment horizontal="center"/>
      <protection locked="0"/>
    </xf>
    <xf numFmtId="3" fontId="73" fillId="0" borderId="4" xfId="0" applyNumberFormat="1" applyFont="1" applyBorder="1" applyAlignment="1" applyProtection="1">
      <alignment horizontal="left"/>
      <protection locked="0"/>
    </xf>
    <xf numFmtId="0" fontId="81" fillId="0" borderId="10" xfId="0" applyFont="1" applyBorder="1" applyProtection="1">
      <protection locked="0"/>
    </xf>
    <xf numFmtId="41" fontId="79" fillId="0" borderId="10" xfId="0" applyNumberFormat="1" applyFont="1" applyBorder="1" applyProtection="1">
      <protection locked="0"/>
    </xf>
    <xf numFmtId="3" fontId="79" fillId="0" borderId="10" xfId="0" applyNumberFormat="1" applyFont="1" applyBorder="1" applyProtection="1">
      <protection locked="0"/>
    </xf>
    <xf numFmtId="3" fontId="79" fillId="0" borderId="12" xfId="0" applyNumberFormat="1" applyFont="1" applyBorder="1" applyProtection="1">
      <protection locked="0"/>
    </xf>
    <xf numFmtId="3" fontId="79" fillId="7" borderId="10" xfId="0" applyNumberFormat="1" applyFont="1" applyFill="1" applyBorder="1" applyProtection="1">
      <protection locked="0"/>
    </xf>
    <xf numFmtId="41" fontId="82" fillId="7" borderId="10" xfId="0" applyNumberFormat="1" applyFont="1" applyFill="1" applyBorder="1" applyProtection="1">
      <protection locked="0"/>
    </xf>
    <xf numFmtId="41" fontId="83" fillId="7" borderId="10" xfId="0" applyNumberFormat="1" applyFont="1" applyFill="1" applyBorder="1" applyAlignment="1" applyProtection="1">
      <alignment horizontal="center"/>
      <protection locked="0"/>
    </xf>
    <xf numFmtId="41" fontId="84" fillId="7" borderId="12" xfId="0" applyNumberFormat="1" applyFont="1" applyFill="1" applyBorder="1" applyAlignment="1" applyProtection="1">
      <alignment horizontal="center"/>
      <protection locked="0"/>
    </xf>
    <xf numFmtId="41" fontId="89" fillId="7" borderId="12" xfId="0" applyNumberFormat="1" applyFont="1" applyFill="1" applyBorder="1" applyProtection="1">
      <protection locked="0"/>
    </xf>
    <xf numFmtId="41" fontId="83" fillId="7" borderId="12" xfId="0" applyNumberFormat="1" applyFont="1" applyFill="1" applyBorder="1" applyAlignment="1" applyProtection="1">
      <alignment horizontal="center"/>
      <protection locked="0"/>
    </xf>
    <xf numFmtId="41" fontId="80" fillId="7" borderId="12" xfId="0" applyNumberFormat="1" applyFont="1" applyFill="1" applyBorder="1" applyAlignment="1" applyProtection="1">
      <alignment horizontal="center"/>
      <protection locked="0"/>
    </xf>
    <xf numFmtId="41" fontId="97" fillId="7" borderId="12" xfId="0" applyNumberFormat="1" applyFont="1" applyFill="1" applyBorder="1" applyProtection="1">
      <protection locked="0"/>
    </xf>
    <xf numFmtId="41" fontId="73" fillId="0" borderId="0" xfId="0" applyNumberFormat="1" applyFont="1" applyAlignment="1" applyProtection="1">
      <alignment horizontal="center"/>
      <protection locked="0"/>
    </xf>
    <xf numFmtId="41" fontId="87" fillId="0" borderId="65" xfId="0" applyNumberFormat="1" applyFont="1" applyBorder="1" applyAlignment="1" applyProtection="1">
      <alignment horizontal="center"/>
      <protection locked="0"/>
    </xf>
    <xf numFmtId="41" fontId="73" fillId="0" borderId="14" xfId="0" applyNumberFormat="1" applyFont="1" applyBorder="1" applyAlignment="1" applyProtection="1">
      <alignment horizontal="center"/>
      <protection locked="0"/>
    </xf>
    <xf numFmtId="41" fontId="80" fillId="0" borderId="3" xfId="0" applyNumberFormat="1" applyFont="1" applyBorder="1" applyAlignment="1">
      <alignment horizontal="center"/>
    </xf>
    <xf numFmtId="41" fontId="80" fillId="0" borderId="7" xfId="0" applyNumberFormat="1" applyFont="1" applyBorder="1" applyAlignment="1">
      <alignment horizontal="center"/>
    </xf>
    <xf numFmtId="14" fontId="73" fillId="0" borderId="2" xfId="0" applyNumberFormat="1" applyFont="1" applyBorder="1" applyAlignment="1" applyProtection="1">
      <alignment horizontal="left"/>
      <protection locked="0"/>
    </xf>
    <xf numFmtId="0" fontId="73" fillId="0" borderId="3" xfId="0" applyFont="1" applyBorder="1"/>
    <xf numFmtId="41" fontId="80" fillId="0" borderId="0" xfId="0" applyNumberFormat="1" applyFont="1" applyAlignment="1">
      <alignment horizontal="center"/>
    </xf>
    <xf numFmtId="0" fontId="72" fillId="0" borderId="1" xfId="0" applyFont="1" applyBorder="1" applyProtection="1">
      <protection locked="0"/>
    </xf>
    <xf numFmtId="41" fontId="87" fillId="0" borderId="3" xfId="0" applyNumberFormat="1" applyFont="1" applyBorder="1" applyAlignment="1" applyProtection="1">
      <alignment horizontal="center"/>
      <protection locked="0"/>
    </xf>
    <xf numFmtId="0" fontId="73" fillId="0" borderId="0" xfId="0" applyFont="1" applyAlignment="1" applyProtection="1">
      <alignment horizontal="left"/>
      <protection locked="0"/>
    </xf>
    <xf numFmtId="41" fontId="78" fillId="0" borderId="4" xfId="0" applyNumberFormat="1" applyFont="1" applyBorder="1" applyAlignment="1">
      <alignment horizontal="center"/>
    </xf>
    <xf numFmtId="41" fontId="73" fillId="0" borderId="4" xfId="0" applyNumberFormat="1" applyFont="1" applyBorder="1" applyAlignment="1" applyProtection="1">
      <alignment horizontal="left"/>
      <protection locked="0"/>
    </xf>
    <xf numFmtId="41" fontId="90" fillId="0" borderId="8" xfId="0" applyNumberFormat="1" applyFont="1" applyBorder="1"/>
    <xf numFmtId="14" fontId="87" fillId="0" borderId="4" xfId="0" applyNumberFormat="1" applyFont="1" applyBorder="1" applyAlignment="1" applyProtection="1">
      <alignment horizontal="left"/>
      <protection locked="0"/>
    </xf>
    <xf numFmtId="41" fontId="82" fillId="0" borderId="8" xfId="0" applyNumberFormat="1" applyFont="1" applyBorder="1"/>
    <xf numFmtId="14" fontId="83" fillId="0" borderId="4" xfId="0" applyNumberFormat="1" applyFont="1" applyBorder="1" applyAlignment="1">
      <alignment horizontal="center"/>
    </xf>
    <xf numFmtId="41" fontId="90" fillId="0" borderId="9" xfId="0" applyNumberFormat="1" applyFont="1" applyBorder="1" applyProtection="1">
      <protection locked="0"/>
    </xf>
    <xf numFmtId="41" fontId="73" fillId="0" borderId="2" xfId="0" applyNumberFormat="1" applyFont="1" applyBorder="1" applyAlignment="1" applyProtection="1">
      <alignment horizontal="center"/>
      <protection locked="0"/>
    </xf>
    <xf numFmtId="0" fontId="72" fillId="0" borderId="6" xfId="0" applyFont="1" applyBorder="1" applyProtection="1">
      <protection locked="0"/>
    </xf>
    <xf numFmtId="41" fontId="98" fillId="0" borderId="6" xfId="0" applyNumberFormat="1" applyFont="1" applyBorder="1" applyProtection="1">
      <protection locked="0"/>
    </xf>
    <xf numFmtId="41" fontId="98" fillId="0" borderId="6" xfId="0" applyNumberFormat="1" applyFont="1" applyBorder="1" applyAlignment="1">
      <alignment horizontal="center"/>
    </xf>
    <xf numFmtId="3" fontId="79" fillId="0" borderId="2" xfId="0" applyNumberFormat="1" applyFont="1" applyBorder="1" applyProtection="1">
      <protection locked="0"/>
    </xf>
    <xf numFmtId="3" fontId="79" fillId="0" borderId="7" xfId="0" applyNumberFormat="1" applyFont="1" applyBorder="1" applyProtection="1">
      <protection locked="0"/>
    </xf>
    <xf numFmtId="41" fontId="82" fillId="0" borderId="9" xfId="0" applyNumberFormat="1" applyFont="1" applyBorder="1" applyProtection="1">
      <protection locked="0"/>
    </xf>
    <xf numFmtId="41" fontId="85" fillId="0" borderId="4" xfId="0" applyNumberFormat="1" applyFont="1" applyBorder="1" applyProtection="1">
      <protection locked="0"/>
    </xf>
    <xf numFmtId="41" fontId="86" fillId="0" borderId="4" xfId="0" applyNumberFormat="1" applyFont="1" applyBorder="1"/>
    <xf numFmtId="41" fontId="90" fillId="0" borderId="8" xfId="0" applyNumberFormat="1" applyFont="1" applyBorder="1" applyProtection="1">
      <protection locked="0"/>
    </xf>
    <xf numFmtId="41" fontId="96" fillId="0" borderId="2" xfId="0" applyNumberFormat="1" applyFont="1" applyBorder="1" applyProtection="1">
      <protection locked="0"/>
    </xf>
    <xf numFmtId="41" fontId="85" fillId="0" borderId="2" xfId="0" applyNumberFormat="1" applyFont="1" applyBorder="1" applyProtection="1">
      <protection locked="0"/>
    </xf>
    <xf numFmtId="41" fontId="86" fillId="0" borderId="2" xfId="0" applyNumberFormat="1" applyFont="1" applyBorder="1" applyProtection="1">
      <protection locked="0"/>
    </xf>
    <xf numFmtId="41" fontId="86" fillId="0" borderId="2" xfId="0" applyNumberFormat="1" applyFont="1" applyBorder="1"/>
    <xf numFmtId="41" fontId="79" fillId="0" borderId="12" xfId="0" applyNumberFormat="1" applyFont="1" applyBorder="1" applyProtection="1">
      <protection locked="0"/>
    </xf>
    <xf numFmtId="41" fontId="79" fillId="7" borderId="12" xfId="0" applyNumberFormat="1" applyFont="1" applyFill="1" applyBorder="1" applyProtection="1">
      <protection locked="0"/>
    </xf>
    <xf numFmtId="41" fontId="82" fillId="5" borderId="10" xfId="0" applyNumberFormat="1" applyFont="1" applyFill="1" applyBorder="1" applyProtection="1">
      <protection locked="0"/>
    </xf>
    <xf numFmtId="41" fontId="88" fillId="7" borderId="10" xfId="0" applyNumberFormat="1" applyFont="1" applyFill="1" applyBorder="1" applyProtection="1">
      <protection locked="0"/>
    </xf>
    <xf numFmtId="41" fontId="89" fillId="7" borderId="10" xfId="0" applyNumberFormat="1" applyFont="1" applyFill="1" applyBorder="1" applyProtection="1">
      <protection locked="0"/>
    </xf>
    <xf numFmtId="41" fontId="83" fillId="7" borderId="12" xfId="0" applyNumberFormat="1" applyFont="1" applyFill="1" applyBorder="1" applyProtection="1">
      <protection locked="0"/>
    </xf>
    <xf numFmtId="41" fontId="83" fillId="7" borderId="12" xfId="0" applyNumberFormat="1" applyFont="1" applyFill="1" applyBorder="1"/>
    <xf numFmtId="41" fontId="79" fillId="0" borderId="4" xfId="0" applyNumberFormat="1" applyFont="1" applyBorder="1" applyAlignment="1">
      <alignment horizontal="right"/>
    </xf>
    <xf numFmtId="3" fontId="79" fillId="0" borderId="4" xfId="0" applyNumberFormat="1" applyFont="1" applyBorder="1" applyAlignment="1">
      <alignment horizontal="right"/>
    </xf>
    <xf numFmtId="41" fontId="82" fillId="0" borderId="4" xfId="0" applyNumberFormat="1" applyFont="1" applyBorder="1" applyAlignment="1">
      <alignment horizontal="right"/>
    </xf>
    <xf numFmtId="41" fontId="84" fillId="0" borderId="4" xfId="0" applyNumberFormat="1" applyFont="1" applyBorder="1" applyAlignment="1">
      <alignment horizontal="right"/>
    </xf>
    <xf numFmtId="41" fontId="89" fillId="0" borderId="4" xfId="0" applyNumberFormat="1" applyFont="1" applyBorder="1" applyAlignment="1">
      <alignment horizontal="right"/>
    </xf>
    <xf numFmtId="41" fontId="87" fillId="0" borderId="0" xfId="0" applyNumberFormat="1" applyFont="1" applyAlignment="1" applyProtection="1">
      <alignment horizontal="center"/>
      <protection locked="0"/>
    </xf>
    <xf numFmtId="41" fontId="85" fillId="0" borderId="4" xfId="0" applyNumberFormat="1" applyFont="1" applyBorder="1" applyAlignment="1" applyProtection="1">
      <alignment horizontal="center"/>
      <protection locked="0"/>
    </xf>
    <xf numFmtId="3" fontId="87" fillId="0" borderId="4" xfId="0" applyNumberFormat="1" applyFont="1" applyBorder="1"/>
    <xf numFmtId="3" fontId="87" fillId="0" borderId="6" xfId="0" applyNumberFormat="1" applyFont="1" applyBorder="1"/>
    <xf numFmtId="41" fontId="87" fillId="0" borderId="9" xfId="0" applyNumberFormat="1" applyFont="1" applyBorder="1" applyAlignment="1" applyProtection="1">
      <alignment horizontal="center"/>
      <protection locked="0"/>
    </xf>
    <xf numFmtId="41" fontId="87" fillId="0" borderId="0" xfId="0" applyNumberFormat="1" applyFont="1" applyAlignment="1">
      <alignment horizontal="center"/>
    </xf>
    <xf numFmtId="41" fontId="85" fillId="0" borderId="4" xfId="0" applyNumberFormat="1" applyFont="1" applyBorder="1" applyAlignment="1">
      <alignment horizontal="center"/>
    </xf>
    <xf numFmtId="41" fontId="86" fillId="20" borderId="6" xfId="0" applyNumberFormat="1" applyFont="1" applyFill="1" applyBorder="1" applyAlignment="1">
      <alignment horizontal="center"/>
    </xf>
    <xf numFmtId="0" fontId="73" fillId="20" borderId="0" xfId="0" applyFont="1" applyFill="1"/>
    <xf numFmtId="41" fontId="84" fillId="0" borderId="8" xfId="0" applyNumberFormat="1" applyFont="1" applyBorder="1"/>
    <xf numFmtId="41" fontId="73" fillId="20" borderId="0" xfId="0" applyNumberFormat="1" applyFont="1" applyFill="1" applyProtection="1">
      <protection locked="0"/>
    </xf>
    <xf numFmtId="41" fontId="86" fillId="20" borderId="7" xfId="0" applyNumberFormat="1" applyFont="1" applyFill="1" applyBorder="1" applyAlignment="1" applyProtection="1">
      <alignment horizontal="center"/>
      <protection locked="0"/>
    </xf>
    <xf numFmtId="41" fontId="87" fillId="0" borderId="0" xfId="0" applyNumberFormat="1" applyFont="1" applyProtection="1">
      <protection locked="0"/>
    </xf>
    <xf numFmtId="41" fontId="96" fillId="0" borderId="0" xfId="0" applyNumberFormat="1" applyFont="1" applyAlignment="1">
      <alignment horizontal="center"/>
    </xf>
    <xf numFmtId="41" fontId="99" fillId="0" borderId="4" xfId="0" applyNumberFormat="1" applyFont="1" applyBorder="1" applyProtection="1">
      <protection locked="0"/>
    </xf>
    <xf numFmtId="43" fontId="86" fillId="0" borderId="6" xfId="0" applyNumberFormat="1" applyFont="1" applyBorder="1" applyProtection="1">
      <protection locked="0"/>
    </xf>
    <xf numFmtId="41" fontId="80" fillId="0" borderId="4" xfId="0" applyNumberFormat="1" applyFont="1" applyBorder="1" applyAlignment="1">
      <alignment horizontal="center"/>
    </xf>
    <xf numFmtId="41" fontId="86" fillId="0" borderId="4" xfId="0" applyNumberFormat="1" applyFont="1" applyBorder="1" applyAlignment="1" applyProtection="1">
      <alignment horizontal="center"/>
      <protection locked="0"/>
    </xf>
    <xf numFmtId="41" fontId="84" fillId="0" borderId="2" xfId="0" applyNumberFormat="1" applyFont="1" applyBorder="1" applyProtection="1">
      <protection locked="0"/>
    </xf>
    <xf numFmtId="41" fontId="89" fillId="0" borderId="2" xfId="0" applyNumberFormat="1" applyFont="1" applyBorder="1" applyProtection="1">
      <protection locked="0"/>
    </xf>
    <xf numFmtId="41" fontId="96" fillId="0" borderId="6" xfId="0" applyNumberFormat="1" applyFont="1" applyBorder="1" applyAlignment="1" applyProtection="1">
      <alignment horizontal="center"/>
      <protection locked="0"/>
    </xf>
    <xf numFmtId="41" fontId="88" fillId="0" borderId="6" xfId="0" applyNumberFormat="1" applyFont="1" applyBorder="1"/>
    <xf numFmtId="41" fontId="88" fillId="0" borderId="2" xfId="0" applyNumberFormat="1" applyFont="1" applyBorder="1"/>
    <xf numFmtId="41" fontId="89" fillId="0" borderId="2" xfId="0" applyNumberFormat="1" applyFont="1" applyBorder="1"/>
    <xf numFmtId="41" fontId="79" fillId="0" borderId="12" xfId="0" applyNumberFormat="1" applyFont="1" applyBorder="1"/>
    <xf numFmtId="41" fontId="82" fillId="7" borderId="12" xfId="0" applyNumberFormat="1" applyFont="1" applyFill="1" applyBorder="1"/>
    <xf numFmtId="41" fontId="88" fillId="7" borderId="12" xfId="0" applyNumberFormat="1" applyFont="1" applyFill="1" applyBorder="1"/>
    <xf numFmtId="41" fontId="89" fillId="7" borderId="12" xfId="0" applyNumberFormat="1" applyFont="1" applyFill="1" applyBorder="1"/>
    <xf numFmtId="14" fontId="84" fillId="0" borderId="6" xfId="0" applyNumberFormat="1" applyFont="1" applyBorder="1" applyAlignment="1">
      <alignment horizontal="center"/>
    </xf>
    <xf numFmtId="14" fontId="89" fillId="0" borderId="6" xfId="0" applyNumberFormat="1" applyFont="1" applyBorder="1" applyAlignment="1">
      <alignment horizontal="center"/>
    </xf>
    <xf numFmtId="41" fontId="78" fillId="0" borderId="4" xfId="0" applyNumberFormat="1" applyFont="1" applyBorder="1"/>
    <xf numFmtId="41" fontId="85" fillId="0" borderId="4" xfId="0" applyNumberFormat="1" applyFont="1" applyBorder="1"/>
    <xf numFmtId="41" fontId="84" fillId="0" borderId="6" xfId="0" applyNumberFormat="1" applyFont="1" applyBorder="1" applyAlignment="1" applyProtection="1">
      <alignment horizontal="center"/>
      <protection locked="0"/>
    </xf>
    <xf numFmtId="41" fontId="80" fillId="0" borderId="4" xfId="0" applyNumberFormat="1" applyFont="1" applyBorder="1" applyAlignment="1" applyProtection="1">
      <alignment horizontal="center"/>
      <protection locked="0"/>
    </xf>
    <xf numFmtId="41" fontId="83" fillId="0" borderId="8" xfId="0" applyNumberFormat="1" applyFont="1" applyBorder="1" applyAlignment="1">
      <alignment horizontal="center"/>
    </xf>
    <xf numFmtId="3" fontId="73" fillId="0" borderId="2" xfId="0" applyNumberFormat="1" applyFont="1" applyBorder="1" applyProtection="1">
      <protection locked="0"/>
    </xf>
    <xf numFmtId="3" fontId="73" fillId="0" borderId="7" xfId="0" applyNumberFormat="1" applyFont="1" applyBorder="1" applyProtection="1">
      <protection locked="0"/>
    </xf>
    <xf numFmtId="3" fontId="79" fillId="0" borderId="6" xfId="0" applyNumberFormat="1" applyFont="1" applyBorder="1" applyProtection="1">
      <protection locked="0"/>
    </xf>
    <xf numFmtId="0" fontId="79" fillId="0" borderId="0" xfId="0" applyFont="1"/>
    <xf numFmtId="41" fontId="88" fillId="0" borderId="6" xfId="0" applyNumberFormat="1" applyFont="1" applyBorder="1" applyAlignment="1">
      <alignment horizontal="center"/>
    </xf>
    <xf numFmtId="41" fontId="89" fillId="0" borderId="6" xfId="0" applyNumberFormat="1" applyFont="1" applyBorder="1" applyAlignment="1">
      <alignment horizontal="center"/>
    </xf>
    <xf numFmtId="3" fontId="79" fillId="0" borderId="10" xfId="0" applyNumberFormat="1" applyFont="1" applyBorder="1"/>
    <xf numFmtId="3" fontId="79" fillId="0" borderId="12" xfId="0" applyNumberFormat="1" applyFont="1" applyBorder="1"/>
    <xf numFmtId="41" fontId="83" fillId="7" borderId="10" xfId="0" applyNumberFormat="1" applyFont="1" applyFill="1" applyBorder="1" applyAlignment="1">
      <alignment horizontal="center"/>
    </xf>
    <xf numFmtId="41" fontId="88" fillId="7" borderId="10" xfId="0" applyNumberFormat="1" applyFont="1" applyFill="1" applyBorder="1"/>
    <xf numFmtId="41" fontId="100" fillId="0" borderId="6" xfId="0" applyNumberFormat="1" applyFont="1" applyBorder="1" applyAlignment="1">
      <alignment horizontal="center"/>
    </xf>
    <xf numFmtId="0" fontId="73" fillId="0" borderId="6" xfId="0" applyFont="1" applyBorder="1"/>
    <xf numFmtId="41" fontId="78" fillId="0" borderId="0" xfId="0" applyNumberFormat="1" applyFont="1" applyAlignment="1">
      <alignment horizontal="center"/>
    </xf>
    <xf numFmtId="41" fontId="86" fillId="5" borderId="4" xfId="0" applyNumberFormat="1" applyFont="1" applyFill="1" applyBorder="1" applyAlignment="1">
      <alignment horizontal="center"/>
    </xf>
    <xf numFmtId="0" fontId="101" fillId="0" borderId="6" xfId="0" applyFont="1" applyBorder="1"/>
    <xf numFmtId="41" fontId="93" fillId="0" borderId="4" xfId="0" applyNumberFormat="1" applyFont="1" applyBorder="1"/>
    <xf numFmtId="41" fontId="83" fillId="0" borderId="8" xfId="0" applyNumberFormat="1" applyFont="1" applyBorder="1"/>
    <xf numFmtId="41" fontId="100" fillId="0" borderId="2" xfId="0" applyNumberFormat="1" applyFont="1" applyBorder="1" applyAlignment="1" applyProtection="1">
      <alignment horizontal="center"/>
      <protection locked="0"/>
    </xf>
    <xf numFmtId="41" fontId="100" fillId="0" borderId="6" xfId="0" applyNumberFormat="1" applyFont="1" applyBorder="1" applyAlignment="1" applyProtection="1">
      <alignment horizontal="center"/>
      <protection locked="0"/>
    </xf>
    <xf numFmtId="41" fontId="90" fillId="0" borderId="6" xfId="0" applyNumberFormat="1" applyFont="1" applyBorder="1" applyProtection="1">
      <protection locked="0"/>
    </xf>
    <xf numFmtId="41" fontId="96" fillId="0" borderId="0" xfId="0" applyNumberFormat="1" applyFont="1" applyAlignment="1" applyProtection="1">
      <alignment horizontal="center"/>
      <protection locked="0"/>
    </xf>
    <xf numFmtId="41" fontId="86" fillId="0" borderId="8" xfId="0" applyNumberFormat="1" applyFont="1" applyBorder="1" applyAlignment="1" applyProtection="1">
      <alignment horizontal="center"/>
      <protection locked="0"/>
    </xf>
    <xf numFmtId="41" fontId="86" fillId="0" borderId="8" xfId="0" applyNumberFormat="1" applyFont="1" applyBorder="1" applyAlignment="1">
      <alignment horizontal="center"/>
    </xf>
    <xf numFmtId="41" fontId="100" fillId="0" borderId="7" xfId="0" applyNumberFormat="1" applyFont="1" applyBorder="1" applyAlignment="1" applyProtection="1">
      <alignment horizontal="center"/>
      <protection locked="0"/>
    </xf>
    <xf numFmtId="41" fontId="94" fillId="0" borderId="6" xfId="0" applyNumberFormat="1" applyFont="1" applyBorder="1" applyAlignment="1" applyProtection="1">
      <alignment horizontal="center"/>
      <protection locked="0"/>
    </xf>
    <xf numFmtId="41" fontId="95" fillId="0" borderId="6" xfId="0" applyNumberFormat="1" applyFont="1" applyBorder="1" applyAlignment="1">
      <alignment horizontal="center"/>
    </xf>
    <xf numFmtId="41" fontId="93" fillId="0" borderId="6" xfId="0" applyNumberFormat="1" applyFont="1" applyBorder="1" applyAlignment="1">
      <alignment horizontal="center"/>
    </xf>
    <xf numFmtId="41" fontId="93" fillId="0" borderId="6" xfId="0" applyNumberFormat="1" applyFont="1" applyBorder="1" applyAlignment="1" applyProtection="1">
      <alignment horizontal="center"/>
      <protection locked="0"/>
    </xf>
    <xf numFmtId="41" fontId="79" fillId="3" borderId="12" xfId="0" applyNumberFormat="1" applyFont="1" applyFill="1" applyBorder="1"/>
    <xf numFmtId="41" fontId="93" fillId="7" borderId="12" xfId="0" applyNumberFormat="1" applyFont="1" applyFill="1" applyBorder="1"/>
    <xf numFmtId="41" fontId="78" fillId="0" borderId="4" xfId="0" applyNumberFormat="1" applyFont="1" applyBorder="1" applyAlignment="1" applyProtection="1">
      <alignment horizontal="center"/>
      <protection locked="0"/>
    </xf>
    <xf numFmtId="2" fontId="73" fillId="0" borderId="4" xfId="0" applyNumberFormat="1" applyFont="1" applyBorder="1" applyAlignment="1" applyProtection="1">
      <alignment horizontal="left"/>
      <protection locked="0"/>
    </xf>
    <xf numFmtId="41" fontId="84" fillId="0" borderId="4" xfId="0" applyNumberFormat="1" applyFont="1" applyBorder="1" applyAlignment="1">
      <alignment horizontal="center"/>
    </xf>
    <xf numFmtId="41" fontId="93" fillId="0" borderId="4" xfId="0" applyNumberFormat="1" applyFont="1" applyBorder="1" applyAlignment="1">
      <alignment horizontal="center"/>
    </xf>
    <xf numFmtId="41" fontId="73" fillId="0" borderId="9" xfId="0" applyNumberFormat="1" applyFont="1" applyBorder="1" applyProtection="1">
      <protection locked="0"/>
    </xf>
    <xf numFmtId="16" fontId="73" fillId="0" borderId="4" xfId="0" applyNumberFormat="1" applyFont="1" applyBorder="1" applyAlignment="1" applyProtection="1">
      <alignment horizontal="left"/>
      <protection locked="0"/>
    </xf>
    <xf numFmtId="14" fontId="83" fillId="0" borderId="6" xfId="0" applyNumberFormat="1" applyFont="1" applyBorder="1" applyAlignment="1" applyProtection="1">
      <alignment horizontal="center"/>
      <protection locked="0"/>
    </xf>
    <xf numFmtId="16" fontId="92" fillId="0" borderId="4" xfId="0" applyNumberFormat="1" applyFont="1" applyBorder="1" applyAlignment="1" applyProtection="1">
      <alignment horizontal="left"/>
      <protection locked="0"/>
    </xf>
    <xf numFmtId="41" fontId="86" fillId="0" borderId="2" xfId="0" applyNumberFormat="1" applyFont="1" applyBorder="1" applyAlignment="1">
      <alignment horizontal="center"/>
    </xf>
    <xf numFmtId="41" fontId="87" fillId="0" borderId="7" xfId="0" applyNumberFormat="1" applyFont="1" applyBorder="1" applyAlignment="1">
      <alignment horizontal="center"/>
    </xf>
    <xf numFmtId="41" fontId="87" fillId="0" borderId="2" xfId="0" applyNumberFormat="1" applyFont="1" applyBorder="1" applyAlignment="1">
      <alignment horizontal="center"/>
    </xf>
    <xf numFmtId="41" fontId="86" fillId="0" borderId="7" xfId="0" applyNumberFormat="1" applyFont="1" applyBorder="1" applyAlignment="1">
      <alignment horizontal="center"/>
    </xf>
    <xf numFmtId="0" fontId="81" fillId="0" borderId="4" xfId="0" applyFont="1" applyBorder="1" applyAlignment="1" applyProtection="1">
      <alignment horizontal="center"/>
      <protection locked="0"/>
    </xf>
    <xf numFmtId="41" fontId="83" fillId="0" borderId="6" xfId="0" applyNumberFormat="1" applyFont="1" applyBorder="1" applyAlignment="1">
      <alignment horizontal="center" wrapText="1"/>
    </xf>
    <xf numFmtId="41" fontId="79" fillId="0" borderId="19" xfId="0" applyNumberFormat="1" applyFont="1" applyBorder="1"/>
    <xf numFmtId="41" fontId="79" fillId="0" borderId="1" xfId="0" applyNumberFormat="1" applyFont="1" applyBorder="1"/>
    <xf numFmtId="41" fontId="79" fillId="3" borderId="5" xfId="0" applyNumberFormat="1" applyFont="1" applyFill="1" applyBorder="1"/>
    <xf numFmtId="41" fontId="93" fillId="7" borderId="10" xfId="0" applyNumberFormat="1" applyFont="1" applyFill="1" applyBorder="1"/>
    <xf numFmtId="41" fontId="79" fillId="7" borderId="48" xfId="0" applyNumberFormat="1" applyFont="1" applyFill="1" applyBorder="1"/>
    <xf numFmtId="41" fontId="88" fillId="7" borderId="48" xfId="0" applyNumberFormat="1" applyFont="1" applyFill="1" applyBorder="1"/>
    <xf numFmtId="41" fontId="93" fillId="7" borderId="48" xfId="0" applyNumberFormat="1" applyFont="1" applyFill="1" applyBorder="1"/>
    <xf numFmtId="41" fontId="73" fillId="0" borderId="0" xfId="0" applyNumberFormat="1" applyFont="1" applyAlignment="1" applyProtection="1">
      <alignment horizontal="right"/>
      <protection locked="0"/>
    </xf>
    <xf numFmtId="41" fontId="86" fillId="0" borderId="0" xfId="0" applyNumberFormat="1" applyFont="1" applyAlignment="1" applyProtection="1">
      <alignment horizontal="center"/>
      <protection locked="0"/>
    </xf>
    <xf numFmtId="0" fontId="81" fillId="0" borderId="15" xfId="0" applyFont="1" applyBorder="1" applyProtection="1">
      <protection locked="0"/>
    </xf>
    <xf numFmtId="41" fontId="73" fillId="0" borderId="16" xfId="0" applyNumberFormat="1" applyFont="1" applyBorder="1"/>
    <xf numFmtId="41" fontId="73" fillId="0" borderId="20" xfId="0" applyNumberFormat="1" applyFont="1" applyBorder="1" applyProtection="1">
      <protection locked="0"/>
    </xf>
    <xf numFmtId="41" fontId="86" fillId="0" borderId="20" xfId="0" applyNumberFormat="1" applyFont="1" applyBorder="1" applyAlignment="1" applyProtection="1">
      <alignment horizontal="center"/>
      <protection locked="0"/>
    </xf>
    <xf numFmtId="41" fontId="87" fillId="0" borderId="20" xfId="0" applyNumberFormat="1" applyFont="1" applyBorder="1" applyAlignment="1" applyProtection="1">
      <alignment horizontal="center"/>
      <protection locked="0"/>
    </xf>
    <xf numFmtId="0" fontId="73" fillId="0" borderId="16" xfId="0" applyFont="1" applyBorder="1" applyAlignment="1" applyProtection="1">
      <alignment horizontal="left"/>
      <protection locked="0"/>
    </xf>
    <xf numFmtId="41" fontId="100" fillId="0" borderId="6" xfId="0" applyNumberFormat="1" applyFont="1" applyBorder="1" applyProtection="1">
      <protection locked="0"/>
    </xf>
    <xf numFmtId="41" fontId="78" fillId="8" borderId="6" xfId="0" applyNumberFormat="1" applyFont="1" applyFill="1" applyBorder="1" applyAlignment="1">
      <alignment horizontal="center"/>
    </xf>
    <xf numFmtId="41" fontId="92" fillId="0" borderId="6" xfId="0" applyNumberFormat="1" applyFont="1" applyBorder="1" applyAlignment="1">
      <alignment horizontal="center"/>
    </xf>
    <xf numFmtId="0" fontId="73" fillId="0" borderId="4" xfId="0" applyFont="1" applyBorder="1" applyAlignment="1">
      <alignment horizontal="center"/>
    </xf>
    <xf numFmtId="41" fontId="84" fillId="8" borderId="6" xfId="0" applyNumberFormat="1" applyFont="1" applyFill="1" applyBorder="1" applyAlignment="1">
      <alignment horizontal="center"/>
    </xf>
    <xf numFmtId="41" fontId="83" fillId="0" borderId="20" xfId="0" applyNumberFormat="1" applyFont="1" applyBorder="1" applyAlignment="1">
      <alignment horizontal="center"/>
    </xf>
    <xf numFmtId="41" fontId="83" fillId="0" borderId="16" xfId="0" applyNumberFormat="1" applyFont="1" applyBorder="1" applyAlignment="1">
      <alignment horizontal="center"/>
    </xf>
    <xf numFmtId="0" fontId="73" fillId="0" borderId="12" xfId="0" applyFont="1" applyBorder="1" applyAlignment="1" applyProtection="1">
      <alignment horizontal="left"/>
      <protection locked="0"/>
    </xf>
    <xf numFmtId="0" fontId="81" fillId="0" borderId="0" xfId="0" applyFont="1" applyProtection="1">
      <protection locked="0"/>
    </xf>
    <xf numFmtId="41" fontId="80" fillId="0" borderId="0" xfId="0" applyNumberFormat="1" applyFont="1" applyProtection="1">
      <protection locked="0"/>
    </xf>
    <xf numFmtId="41" fontId="83" fillId="0" borderId="0" xfId="0" applyNumberFormat="1" applyFont="1" applyAlignment="1" applyProtection="1">
      <alignment horizontal="center"/>
      <protection locked="0"/>
    </xf>
    <xf numFmtId="41" fontId="80" fillId="0" borderId="0" xfId="0" applyNumberFormat="1" applyFont="1" applyAlignment="1" applyProtection="1">
      <alignment horizontal="center"/>
      <protection locked="0"/>
    </xf>
    <xf numFmtId="0" fontId="73" fillId="0" borderId="6" xfId="0" applyFont="1" applyBorder="1" applyAlignment="1" applyProtection="1">
      <alignment horizontal="left"/>
      <protection locked="0"/>
    </xf>
    <xf numFmtId="41" fontId="79" fillId="7" borderId="10" xfId="0" applyNumberFormat="1" applyFont="1" applyFill="1" applyBorder="1" applyProtection="1">
      <protection locked="0"/>
    </xf>
    <xf numFmtId="41" fontId="84" fillId="7" borderId="11" xfId="0" applyNumberFormat="1" applyFont="1" applyFill="1" applyBorder="1" applyAlignment="1" applyProtection="1">
      <alignment horizontal="center"/>
      <protection locked="0"/>
    </xf>
    <xf numFmtId="41" fontId="93" fillId="7" borderId="13" xfId="0" applyNumberFormat="1" applyFont="1" applyFill="1" applyBorder="1" applyAlignment="1" applyProtection="1">
      <alignment horizontal="center"/>
      <protection locked="0"/>
    </xf>
    <xf numFmtId="41" fontId="102" fillId="14" borderId="6" xfId="0" applyNumberFormat="1" applyFont="1" applyFill="1" applyBorder="1" applyAlignment="1" applyProtection="1">
      <alignment horizontal="center"/>
      <protection locked="0"/>
    </xf>
    <xf numFmtId="41" fontId="83" fillId="7" borderId="6" xfId="0" applyNumberFormat="1" applyFont="1" applyFill="1" applyBorder="1" applyAlignment="1" applyProtection="1">
      <alignment horizontal="center"/>
      <protection locked="0"/>
    </xf>
    <xf numFmtId="0" fontId="81" fillId="0" borderId="21" xfId="0" applyFont="1" applyBorder="1" applyProtection="1">
      <protection locked="0"/>
    </xf>
    <xf numFmtId="41" fontId="80" fillId="0" borderId="21" xfId="0" applyNumberFormat="1" applyFont="1" applyBorder="1" applyProtection="1">
      <protection locked="0"/>
    </xf>
    <xf numFmtId="41" fontId="79" fillId="0" borderId="21" xfId="0" applyNumberFormat="1" applyFont="1" applyBorder="1" applyProtection="1">
      <protection locked="0"/>
    </xf>
    <xf numFmtId="41" fontId="83" fillId="0" borderId="21" xfId="0" applyNumberFormat="1" applyFont="1" applyBorder="1" applyAlignment="1" applyProtection="1">
      <alignment horizontal="center"/>
      <protection locked="0"/>
    </xf>
    <xf numFmtId="41" fontId="80" fillId="0" borderId="21" xfId="0" applyNumberFormat="1" applyFont="1" applyBorder="1" applyAlignment="1" applyProtection="1">
      <alignment horizontal="center"/>
      <protection locked="0"/>
    </xf>
    <xf numFmtId="41" fontId="80" fillId="0" borderId="66" xfId="0" applyNumberFormat="1" applyFont="1" applyBorder="1" applyAlignment="1" applyProtection="1">
      <alignment horizontal="center"/>
      <protection locked="0"/>
    </xf>
    <xf numFmtId="0" fontId="73" fillId="0" borderId="22" xfId="0" applyFont="1" applyBorder="1" applyAlignment="1" applyProtection="1">
      <alignment horizontal="left"/>
      <protection locked="0"/>
    </xf>
    <xf numFmtId="0" fontId="81" fillId="0" borderId="8" xfId="0" applyFont="1" applyBorder="1" applyProtection="1">
      <protection locked="0"/>
    </xf>
    <xf numFmtId="41" fontId="80" fillId="0" borderId="6" xfId="0" applyNumberFormat="1" applyFont="1" applyBorder="1" applyProtection="1">
      <protection locked="0"/>
    </xf>
    <xf numFmtId="41" fontId="80" fillId="0" borderId="42" xfId="0" applyNumberFormat="1" applyFont="1" applyBorder="1" applyAlignment="1" applyProtection="1">
      <alignment horizontal="center"/>
      <protection locked="0"/>
    </xf>
    <xf numFmtId="41" fontId="73" fillId="0" borderId="4" xfId="0" applyNumberFormat="1" applyFont="1" applyBorder="1" applyAlignment="1" applyProtection="1">
      <alignment horizontal="right"/>
      <protection locked="0"/>
    </xf>
    <xf numFmtId="41" fontId="73" fillId="0" borderId="6" xfId="0" applyNumberFormat="1" applyFont="1" applyBorder="1" applyAlignment="1" applyProtection="1">
      <alignment horizontal="right"/>
      <protection locked="0"/>
    </xf>
    <xf numFmtId="41" fontId="103" fillId="0" borderId="4" xfId="0" applyNumberFormat="1" applyFont="1" applyBorder="1" applyAlignment="1" applyProtection="1">
      <alignment horizontal="right"/>
      <protection locked="0"/>
    </xf>
    <xf numFmtId="41" fontId="102" fillId="0" borderId="6" xfId="0" applyNumberFormat="1" applyFont="1" applyBorder="1" applyAlignment="1" applyProtection="1">
      <alignment horizontal="center"/>
      <protection locked="0"/>
    </xf>
    <xf numFmtId="41" fontId="102" fillId="0" borderId="6" xfId="0" quotePrefix="1" applyNumberFormat="1" applyFont="1" applyBorder="1" applyAlignment="1" applyProtection="1">
      <alignment horizontal="center"/>
      <protection locked="0"/>
    </xf>
    <xf numFmtId="0" fontId="81" fillId="0" borderId="9" xfId="0" applyFont="1" applyBorder="1" applyProtection="1">
      <protection locked="0"/>
    </xf>
    <xf numFmtId="41" fontId="103" fillId="0" borderId="2" xfId="0" applyNumberFormat="1" applyFont="1" applyBorder="1" applyProtection="1">
      <protection locked="0"/>
    </xf>
    <xf numFmtId="14" fontId="79" fillId="0" borderId="4" xfId="0" applyNumberFormat="1" applyFont="1" applyBorder="1" applyAlignment="1" applyProtection="1">
      <alignment horizontal="left"/>
      <protection locked="0"/>
    </xf>
    <xf numFmtId="0" fontId="81" fillId="0" borderId="12" xfId="0" applyFont="1" applyBorder="1"/>
    <xf numFmtId="41" fontId="104" fillId="7" borderId="10" xfId="0" applyNumberFormat="1" applyFont="1" applyFill="1" applyBorder="1"/>
    <xf numFmtId="41" fontId="83" fillId="7" borderId="12" xfId="0" applyNumberFormat="1" applyFont="1" applyFill="1" applyBorder="1" applyAlignment="1">
      <alignment horizontal="center"/>
    </xf>
    <xf numFmtId="0" fontId="81" fillId="0" borderId="18" xfId="0" applyFont="1" applyBorder="1" applyProtection="1">
      <protection locked="0"/>
    </xf>
    <xf numFmtId="41" fontId="73" fillId="0" borderId="18" xfId="0" applyNumberFormat="1" applyFont="1" applyBorder="1"/>
    <xf numFmtId="0" fontId="81" fillId="0" borderId="3" xfId="0" applyFont="1" applyBorder="1" applyProtection="1">
      <protection locked="0"/>
    </xf>
    <xf numFmtId="41" fontId="73" fillId="0" borderId="3" xfId="0" applyNumberFormat="1" applyFont="1" applyBorder="1" applyProtection="1">
      <protection locked="0"/>
    </xf>
    <xf numFmtId="41" fontId="86" fillId="0" borderId="3" xfId="0" applyNumberFormat="1" applyFont="1" applyBorder="1" applyAlignment="1" applyProtection="1">
      <alignment horizontal="center"/>
      <protection locked="0"/>
    </xf>
    <xf numFmtId="0" fontId="81" fillId="3" borderId="0" xfId="0" applyFont="1" applyFill="1" applyProtection="1">
      <protection locked="0"/>
    </xf>
    <xf numFmtId="41" fontId="79" fillId="3" borderId="4" xfId="0" applyNumberFormat="1" applyFont="1" applyFill="1" applyBorder="1" applyAlignment="1" applyProtection="1">
      <alignment horizontal="center"/>
      <protection locked="0"/>
    </xf>
    <xf numFmtId="41" fontId="79" fillId="3" borderId="0" xfId="0" applyNumberFormat="1" applyFont="1" applyFill="1" applyAlignment="1" applyProtection="1">
      <alignment horizontal="center"/>
      <protection locked="0"/>
    </xf>
    <xf numFmtId="41" fontId="79" fillId="3" borderId="6" xfId="0" applyNumberFormat="1" applyFont="1" applyFill="1" applyBorder="1" applyAlignment="1" applyProtection="1">
      <alignment horizontal="center"/>
      <protection locked="0"/>
    </xf>
    <xf numFmtId="41" fontId="83" fillId="3" borderId="6" xfId="0" applyNumberFormat="1" applyFont="1" applyFill="1" applyBorder="1" applyAlignment="1" applyProtection="1">
      <alignment horizontal="center"/>
      <protection locked="0"/>
    </xf>
    <xf numFmtId="41" fontId="80" fillId="3" borderId="6" xfId="0" applyNumberFormat="1" applyFont="1" applyFill="1" applyBorder="1" applyAlignment="1" applyProtection="1">
      <alignment horizontal="center"/>
      <protection locked="0"/>
    </xf>
    <xf numFmtId="41" fontId="97" fillId="3" borderId="1" xfId="0" applyNumberFormat="1" applyFont="1" applyFill="1" applyBorder="1" applyAlignment="1" applyProtection="1">
      <alignment horizontal="center"/>
      <protection locked="0"/>
    </xf>
    <xf numFmtId="41" fontId="82" fillId="3" borderId="1" xfId="0" applyNumberFormat="1" applyFont="1" applyFill="1" applyBorder="1" applyAlignment="1" applyProtection="1">
      <alignment horizontal="center"/>
      <protection locked="0"/>
    </xf>
    <xf numFmtId="41" fontId="80" fillId="3" borderId="1" xfId="0" applyNumberFormat="1" applyFont="1" applyFill="1" applyBorder="1" applyAlignment="1" applyProtection="1">
      <alignment horizontal="center"/>
      <protection locked="0"/>
    </xf>
    <xf numFmtId="0" fontId="81" fillId="3" borderId="3" xfId="0" applyFont="1" applyFill="1" applyBorder="1" applyProtection="1">
      <protection locked="0"/>
    </xf>
    <xf numFmtId="0" fontId="79" fillId="3" borderId="2" xfId="0" applyFont="1" applyFill="1" applyBorder="1" applyAlignment="1" applyProtection="1">
      <alignment horizontal="center"/>
      <protection locked="0"/>
    </xf>
    <xf numFmtId="0" fontId="79" fillId="3" borderId="3" xfId="0" applyFont="1" applyFill="1" applyBorder="1" applyAlignment="1" applyProtection="1">
      <alignment horizontal="center"/>
      <protection locked="0"/>
    </xf>
    <xf numFmtId="0" fontId="79" fillId="3" borderId="7" xfId="0" applyFont="1" applyFill="1" applyBorder="1" applyAlignment="1" applyProtection="1">
      <alignment horizontal="center"/>
      <protection locked="0"/>
    </xf>
    <xf numFmtId="41" fontId="79" fillId="3" borderId="7" xfId="0" applyNumberFormat="1" applyFont="1" applyFill="1" applyBorder="1" applyAlignment="1" applyProtection="1">
      <alignment horizontal="center"/>
      <protection locked="0"/>
    </xf>
    <xf numFmtId="41" fontId="83" fillId="3" borderId="7" xfId="0" applyNumberFormat="1" applyFont="1" applyFill="1" applyBorder="1" applyAlignment="1" applyProtection="1">
      <alignment horizontal="center"/>
      <protection locked="0"/>
    </xf>
    <xf numFmtId="41" fontId="80" fillId="3" borderId="7" xfId="0" applyNumberFormat="1" applyFont="1" applyFill="1" applyBorder="1" applyAlignment="1" applyProtection="1">
      <alignment horizontal="center"/>
      <protection locked="0"/>
    </xf>
    <xf numFmtId="41" fontId="97" fillId="3" borderId="2" xfId="0" applyNumberFormat="1" applyFont="1" applyFill="1" applyBorder="1" applyAlignment="1" applyProtection="1">
      <alignment horizontal="center"/>
      <protection locked="0"/>
    </xf>
    <xf numFmtId="41" fontId="82" fillId="3" borderId="2" xfId="0" applyNumberFormat="1" applyFont="1" applyFill="1" applyBorder="1" applyAlignment="1" applyProtection="1">
      <alignment horizontal="center"/>
      <protection locked="0"/>
    </xf>
    <xf numFmtId="43" fontId="73" fillId="0" borderId="1" xfId="0" applyNumberFormat="1" applyFont="1" applyBorder="1"/>
    <xf numFmtId="43" fontId="73" fillId="0" borderId="19" xfId="0" applyNumberFormat="1" applyFont="1" applyBorder="1"/>
    <xf numFmtId="43" fontId="73" fillId="0" borderId="1" xfId="0" applyNumberFormat="1" applyFont="1" applyBorder="1" applyProtection="1">
      <protection locked="0"/>
    </xf>
    <xf numFmtId="41" fontId="73" fillId="0" borderId="1" xfId="0" applyNumberFormat="1" applyFont="1" applyBorder="1" applyProtection="1">
      <protection locked="0"/>
    </xf>
    <xf numFmtId="41" fontId="86" fillId="0" borderId="1" xfId="0" applyNumberFormat="1" applyFont="1" applyBorder="1" applyAlignment="1" applyProtection="1">
      <alignment horizontal="center"/>
      <protection locked="0"/>
    </xf>
    <xf numFmtId="41" fontId="87" fillId="0" borderId="1" xfId="0" applyNumberFormat="1" applyFont="1" applyBorder="1" applyAlignment="1" applyProtection="1">
      <alignment horizontal="center"/>
      <protection locked="0"/>
    </xf>
    <xf numFmtId="41" fontId="99" fillId="0" borderId="6" xfId="0" applyNumberFormat="1" applyFont="1" applyBorder="1" applyAlignment="1">
      <alignment horizontal="center"/>
    </xf>
    <xf numFmtId="0" fontId="72" fillId="0" borderId="23" xfId="0" applyFont="1" applyBorder="1"/>
    <xf numFmtId="3" fontId="73" fillId="0" borderId="1" xfId="0" applyNumberFormat="1" applyFont="1" applyBorder="1"/>
    <xf numFmtId="41" fontId="87" fillId="0" borderId="1" xfId="0" applyNumberFormat="1" applyFont="1" applyBorder="1"/>
    <xf numFmtId="0" fontId="72" fillId="0" borderId="12" xfId="0" applyFont="1" applyBorder="1"/>
    <xf numFmtId="41" fontId="73" fillId="0" borderId="13" xfId="0" applyNumberFormat="1" applyFont="1" applyBorder="1"/>
    <xf numFmtId="41" fontId="73" fillId="0" borderId="12" xfId="0" applyNumberFormat="1" applyFont="1" applyBorder="1"/>
    <xf numFmtId="41" fontId="86" fillId="0" borderId="13" xfId="0" applyNumberFormat="1" applyFont="1" applyBorder="1" applyAlignment="1">
      <alignment horizontal="center"/>
    </xf>
    <xf numFmtId="10" fontId="87" fillId="0" borderId="12" xfId="0" applyNumberFormat="1" applyFont="1" applyBorder="1"/>
    <xf numFmtId="10" fontId="86" fillId="0" borderId="10" xfId="0" applyNumberFormat="1" applyFont="1" applyBorder="1"/>
    <xf numFmtId="0" fontId="72" fillId="2" borderId="23" xfId="0" applyFont="1" applyFill="1" applyBorder="1" applyProtection="1">
      <protection locked="0"/>
    </xf>
    <xf numFmtId="41" fontId="73" fillId="2" borderId="23" xfId="0" applyNumberFormat="1" applyFont="1" applyFill="1" applyBorder="1"/>
    <xf numFmtId="41" fontId="73" fillId="2" borderId="23" xfId="0" applyNumberFormat="1" applyFont="1" applyFill="1" applyBorder="1" applyAlignment="1" applyProtection="1">
      <alignment horizontal="center"/>
      <protection locked="0"/>
    </xf>
    <xf numFmtId="41" fontId="87" fillId="2" borderId="23" xfId="0" applyNumberFormat="1" applyFont="1" applyFill="1" applyBorder="1" applyAlignment="1" applyProtection="1">
      <alignment horizontal="center"/>
      <protection locked="0"/>
    </xf>
    <xf numFmtId="41" fontId="73" fillId="2" borderId="23" xfId="0" applyNumberFormat="1" applyFont="1" applyFill="1" applyBorder="1" applyProtection="1">
      <protection locked="0"/>
    </xf>
    <xf numFmtId="0" fontId="73" fillId="10" borderId="23" xfId="0" applyFont="1" applyFill="1" applyBorder="1"/>
    <xf numFmtId="0" fontId="72" fillId="2" borderId="0" xfId="0" applyFont="1" applyFill="1" applyProtection="1">
      <protection locked="0"/>
    </xf>
    <xf numFmtId="41" fontId="73" fillId="2" borderId="0" xfId="0" applyNumberFormat="1" applyFont="1" applyFill="1"/>
    <xf numFmtId="41" fontId="73" fillId="2" borderId="0" xfId="0" applyNumberFormat="1" applyFont="1" applyFill="1" applyProtection="1">
      <protection locked="0"/>
    </xf>
    <xf numFmtId="0" fontId="73" fillId="10" borderId="0" xfId="0" applyFont="1" applyFill="1"/>
    <xf numFmtId="0" fontId="72" fillId="2" borderId="21" xfId="0" applyFont="1" applyFill="1" applyBorder="1" applyProtection="1">
      <protection locked="0"/>
    </xf>
    <xf numFmtId="41" fontId="73" fillId="2" borderId="21" xfId="0" applyNumberFormat="1" applyFont="1" applyFill="1" applyBorder="1"/>
    <xf numFmtId="41" fontId="73" fillId="2" borderId="21" xfId="0" applyNumberFormat="1" applyFont="1" applyFill="1" applyBorder="1" applyProtection="1">
      <protection locked="0"/>
    </xf>
    <xf numFmtId="0" fontId="73" fillId="10" borderId="21" xfId="0" applyFont="1" applyFill="1" applyBorder="1"/>
    <xf numFmtId="168" fontId="77" fillId="0" borderId="0" xfId="0" applyNumberFormat="1" applyFont="1" applyProtection="1">
      <protection locked="0"/>
    </xf>
    <xf numFmtId="41" fontId="105" fillId="0" borderId="0" xfId="0" applyNumberFormat="1" applyFont="1" applyProtection="1">
      <protection locked="0"/>
    </xf>
    <xf numFmtId="41" fontId="106" fillId="0" borderId="33" xfId="0" applyNumberFormat="1" applyFont="1" applyBorder="1" applyProtection="1">
      <protection locked="0"/>
    </xf>
    <xf numFmtId="0" fontId="106" fillId="0" borderId="33" xfId="0" applyFont="1" applyBorder="1" applyProtection="1">
      <protection locked="0"/>
    </xf>
    <xf numFmtId="41" fontId="106" fillId="0" borderId="33" xfId="0" applyNumberFormat="1" applyFont="1" applyBorder="1"/>
    <xf numFmtId="41" fontId="107" fillId="0" borderId="26" xfId="0" applyNumberFormat="1" applyFont="1" applyBorder="1" applyProtection="1">
      <protection locked="0"/>
    </xf>
    <xf numFmtId="41" fontId="108" fillId="0" borderId="33" xfId="0" applyNumberFormat="1" applyFont="1" applyBorder="1" applyProtection="1">
      <protection locked="0"/>
    </xf>
    <xf numFmtId="41" fontId="109" fillId="0" borderId="0" xfId="0" applyNumberFormat="1" applyFont="1"/>
    <xf numFmtId="41" fontId="107" fillId="0" borderId="33" xfId="0" applyNumberFormat="1" applyFont="1" applyBorder="1" applyProtection="1">
      <protection locked="0"/>
    </xf>
    <xf numFmtId="41" fontId="108" fillId="0" borderId="33" xfId="0" applyNumberFormat="1" applyFont="1" applyBorder="1"/>
    <xf numFmtId="0" fontId="108" fillId="0" borderId="33" xfId="0" applyFont="1" applyBorder="1" applyProtection="1">
      <protection locked="0"/>
    </xf>
    <xf numFmtId="0" fontId="108" fillId="0" borderId="25" xfId="0" applyFont="1" applyBorder="1" applyAlignment="1" applyProtection="1">
      <alignment horizontal="left"/>
      <protection locked="0"/>
    </xf>
    <xf numFmtId="0" fontId="110" fillId="0" borderId="0" xfId="0" applyFont="1"/>
    <xf numFmtId="41" fontId="111" fillId="0" borderId="0" xfId="0" applyNumberFormat="1" applyFont="1" applyProtection="1">
      <protection locked="0"/>
    </xf>
    <xf numFmtId="41" fontId="106" fillId="0" borderId="0" xfId="0" applyNumberFormat="1" applyFont="1" applyProtection="1">
      <protection locked="0"/>
    </xf>
    <xf numFmtId="0" fontId="106" fillId="0" borderId="0" xfId="0" applyFont="1" applyProtection="1">
      <protection locked="0"/>
    </xf>
    <xf numFmtId="41" fontId="106" fillId="0" borderId="0" xfId="0" applyNumberFormat="1" applyFont="1"/>
    <xf numFmtId="41" fontId="107" fillId="0" borderId="29" xfId="0" applyNumberFormat="1" applyFont="1" applyBorder="1" applyProtection="1">
      <protection locked="0"/>
    </xf>
    <xf numFmtId="41" fontId="112" fillId="0" borderId="0" xfId="0" applyNumberFormat="1" applyFont="1" applyProtection="1">
      <protection locked="0"/>
    </xf>
    <xf numFmtId="41" fontId="107" fillId="0" borderId="0" xfId="0" applyNumberFormat="1" applyFont="1" applyProtection="1">
      <protection locked="0"/>
    </xf>
    <xf numFmtId="41" fontId="108" fillId="0" borderId="0" xfId="0" applyNumberFormat="1" applyFont="1" applyProtection="1">
      <protection locked="0"/>
    </xf>
    <xf numFmtId="41" fontId="108" fillId="0" borderId="0" xfId="0" applyNumberFormat="1" applyFont="1"/>
    <xf numFmtId="0" fontId="108" fillId="0" borderId="0" xfId="0" applyFont="1" applyProtection="1">
      <protection locked="0"/>
    </xf>
    <xf numFmtId="41" fontId="108" fillId="0" borderId="28" xfId="0" applyNumberFormat="1" applyFont="1" applyBorder="1" applyAlignment="1" applyProtection="1">
      <alignment horizontal="left"/>
      <protection locked="0"/>
    </xf>
    <xf numFmtId="41" fontId="107" fillId="0" borderId="32" xfId="0" applyNumberFormat="1" applyFont="1" applyBorder="1" applyProtection="1">
      <protection locked="0"/>
    </xf>
    <xf numFmtId="41" fontId="112" fillId="0" borderId="21" xfId="0" applyNumberFormat="1" applyFont="1" applyBorder="1" applyProtection="1">
      <protection locked="0"/>
    </xf>
    <xf numFmtId="41" fontId="107" fillId="0" borderId="3" xfId="0" applyNumberFormat="1" applyFont="1" applyBorder="1" applyProtection="1">
      <protection locked="0"/>
    </xf>
    <xf numFmtId="41" fontId="108" fillId="0" borderId="21" xfId="0" applyNumberFormat="1" applyFont="1" applyBorder="1"/>
    <xf numFmtId="43" fontId="113" fillId="0" borderId="0" xfId="0" applyNumberFormat="1" applyFont="1"/>
    <xf numFmtId="0" fontId="114" fillId="10" borderId="27" xfId="0" applyFont="1" applyFill="1" applyBorder="1"/>
    <xf numFmtId="1" fontId="114" fillId="10" borderId="24" xfId="0" applyNumberFormat="1" applyFont="1" applyFill="1" applyBorder="1" applyAlignment="1">
      <alignment horizontal="center"/>
    </xf>
    <xf numFmtId="1" fontId="114" fillId="10" borderId="26" xfId="0" applyNumberFormat="1" applyFont="1" applyFill="1" applyBorder="1" applyAlignment="1">
      <alignment horizontal="center"/>
    </xf>
    <xf numFmtId="1" fontId="114" fillId="10" borderId="29" xfId="0" applyNumberFormat="1" applyFont="1" applyFill="1" applyBorder="1" applyAlignment="1">
      <alignment horizontal="center"/>
    </xf>
    <xf numFmtId="0" fontId="113" fillId="0" borderId="0" xfId="0" applyFont="1"/>
    <xf numFmtId="1" fontId="114" fillId="10" borderId="27" xfId="0" applyNumberFormat="1" applyFont="1" applyFill="1" applyBorder="1" applyAlignment="1">
      <alignment horizontal="center"/>
    </xf>
    <xf numFmtId="0" fontId="114" fillId="10" borderId="30" xfId="0" applyFont="1" applyFill="1" applyBorder="1"/>
    <xf numFmtId="1" fontId="114" fillId="10" borderId="30" xfId="0" applyNumberFormat="1" applyFont="1" applyFill="1" applyBorder="1" applyAlignment="1">
      <alignment horizontal="center"/>
    </xf>
    <xf numFmtId="1" fontId="114" fillId="10" borderId="32" xfId="0" applyNumberFormat="1" applyFont="1" applyFill="1" applyBorder="1" applyAlignment="1">
      <alignment horizontal="center"/>
    </xf>
    <xf numFmtId="0" fontId="115" fillId="0" borderId="27" xfId="0" applyFont="1" applyBorder="1"/>
    <xf numFmtId="41" fontId="109" fillId="0" borderId="27" xfId="0" applyNumberFormat="1" applyFont="1" applyBorder="1"/>
    <xf numFmtId="41" fontId="109" fillId="0" borderId="29" xfId="0" applyNumberFormat="1" applyFont="1" applyBorder="1"/>
    <xf numFmtId="41" fontId="109" fillId="0" borderId="26" xfId="0" applyNumberFormat="1" applyFont="1" applyBorder="1"/>
    <xf numFmtId="41" fontId="109" fillId="0" borderId="24" xfId="0" applyNumberFormat="1" applyFont="1" applyBorder="1"/>
    <xf numFmtId="41" fontId="109" fillId="0" borderId="25" xfId="0" applyNumberFormat="1" applyFont="1" applyBorder="1"/>
    <xf numFmtId="0" fontId="118" fillId="9" borderId="19" xfId="0" applyFont="1" applyFill="1" applyBorder="1"/>
    <xf numFmtId="0" fontId="118" fillId="9" borderId="23" xfId="0" applyFont="1" applyFill="1" applyBorder="1" applyAlignment="1">
      <alignment horizontal="center"/>
    </xf>
    <xf numFmtId="0" fontId="118" fillId="9" borderId="5" xfId="0" applyFont="1" applyFill="1" applyBorder="1" applyAlignment="1">
      <alignment horizontal="center"/>
    </xf>
    <xf numFmtId="41" fontId="109" fillId="0" borderId="28" xfId="0" applyNumberFormat="1" applyFont="1" applyBorder="1"/>
    <xf numFmtId="0" fontId="110" fillId="9" borderId="8" xfId="0" applyFont="1" applyFill="1" applyBorder="1"/>
    <xf numFmtId="0" fontId="110" fillId="9" borderId="0" xfId="0" applyFont="1" applyFill="1"/>
    <xf numFmtId="0" fontId="118" fillId="9" borderId="0" xfId="0" applyFont="1" applyFill="1" applyAlignment="1">
      <alignment horizontal="center"/>
    </xf>
    <xf numFmtId="0" fontId="110" fillId="9" borderId="6" xfId="0" applyFont="1" applyFill="1" applyBorder="1"/>
    <xf numFmtId="0" fontId="120" fillId="0" borderId="27" xfId="0" applyFont="1" applyBorder="1"/>
    <xf numFmtId="3" fontId="109" fillId="0" borderId="27" xfId="0" applyNumberFormat="1" applyFont="1" applyBorder="1"/>
    <xf numFmtId="10" fontId="109" fillId="0" borderId="28" xfId="3" applyNumberFormat="1" applyFont="1" applyBorder="1"/>
    <xf numFmtId="0" fontId="118" fillId="8" borderId="19" xfId="0" applyFont="1" applyFill="1" applyBorder="1"/>
    <xf numFmtId="0" fontId="110" fillId="8" borderId="23" xfId="0" applyFont="1" applyFill="1" applyBorder="1"/>
    <xf numFmtId="0" fontId="110" fillId="8" borderId="5" xfId="0" applyFont="1" applyFill="1" applyBorder="1"/>
    <xf numFmtId="41" fontId="110" fillId="0" borderId="0" xfId="0" applyNumberFormat="1" applyFont="1"/>
    <xf numFmtId="0" fontId="110" fillId="8" borderId="8" xfId="0" applyFont="1" applyFill="1" applyBorder="1"/>
    <xf numFmtId="41" fontId="110" fillId="8" borderId="0" xfId="0" applyNumberFormat="1" applyFont="1" applyFill="1"/>
    <xf numFmtId="2" fontId="110" fillId="8" borderId="6" xfId="0" applyNumberFormat="1" applyFont="1" applyFill="1" applyBorder="1" applyAlignment="1">
      <alignment horizontal="center"/>
    </xf>
    <xf numFmtId="41" fontId="120" fillId="0" borderId="27" xfId="0" applyNumberFormat="1" applyFont="1" applyBorder="1"/>
    <xf numFmtId="41" fontId="119" fillId="0" borderId="29" xfId="0" applyNumberFormat="1" applyFont="1" applyBorder="1"/>
    <xf numFmtId="0" fontId="118" fillId="8" borderId="8" xfId="0" applyFont="1" applyFill="1" applyBorder="1"/>
    <xf numFmtId="0" fontId="110" fillId="8" borderId="0" xfId="0" applyFont="1" applyFill="1"/>
    <xf numFmtId="0" fontId="110" fillId="8" borderId="6" xfId="0" applyFont="1" applyFill="1" applyBorder="1" applyAlignment="1">
      <alignment horizontal="center"/>
    </xf>
    <xf numFmtId="43" fontId="110" fillId="8" borderId="0" xfId="0" applyNumberFormat="1" applyFont="1" applyFill="1"/>
    <xf numFmtId="0" fontId="110" fillId="8" borderId="6" xfId="0" applyFont="1" applyFill="1" applyBorder="1"/>
    <xf numFmtId="0" fontId="118" fillId="8" borderId="8" xfId="0" applyFont="1" applyFill="1" applyBorder="1" applyAlignment="1">
      <alignment horizontal="center"/>
    </xf>
    <xf numFmtId="41" fontId="109" fillId="8" borderId="62" xfId="0" applyNumberFormat="1" applyFont="1" applyFill="1" applyBorder="1"/>
    <xf numFmtId="41" fontId="109" fillId="8" borderId="40" xfId="0" applyNumberFormat="1" applyFont="1" applyFill="1" applyBorder="1"/>
    <xf numFmtId="41" fontId="109" fillId="8" borderId="63" xfId="0" applyNumberFormat="1" applyFont="1" applyFill="1" applyBorder="1"/>
    <xf numFmtId="41" fontId="109" fillId="8" borderId="56" xfId="0" applyNumberFormat="1" applyFont="1" applyFill="1" applyBorder="1"/>
    <xf numFmtId="41" fontId="109" fillId="8" borderId="17" xfId="0" applyNumberFormat="1" applyFont="1" applyFill="1" applyBorder="1"/>
    <xf numFmtId="10" fontId="109" fillId="8" borderId="17" xfId="3" applyNumberFormat="1" applyFont="1" applyFill="1" applyBorder="1"/>
    <xf numFmtId="10" fontId="110" fillId="8" borderId="6" xfId="0" applyNumberFormat="1" applyFont="1" applyFill="1" applyBorder="1"/>
    <xf numFmtId="41" fontId="109" fillId="0" borderId="41" xfId="0" applyNumberFormat="1" applyFont="1" applyBorder="1"/>
    <xf numFmtId="41" fontId="109" fillId="0" borderId="69" xfId="0" applyNumberFormat="1" applyFont="1" applyBorder="1"/>
    <xf numFmtId="41" fontId="109" fillId="0" borderId="70" xfId="0" applyNumberFormat="1" applyFont="1" applyBorder="1"/>
    <xf numFmtId="41" fontId="121" fillId="0" borderId="28" xfId="0" applyNumberFormat="1" applyFont="1" applyBorder="1"/>
    <xf numFmtId="0" fontId="110" fillId="8" borderId="8" xfId="0" applyFont="1" applyFill="1" applyBorder="1" applyAlignment="1">
      <alignment horizontal="center"/>
    </xf>
    <xf numFmtId="0" fontId="120" fillId="0" borderId="34" xfId="0" applyFont="1" applyBorder="1"/>
    <xf numFmtId="41" fontId="109" fillId="0" borderId="34" xfId="0" applyNumberFormat="1" applyFont="1" applyBorder="1"/>
    <xf numFmtId="41" fontId="109" fillId="0" borderId="37" xfId="0" applyNumberFormat="1" applyFont="1" applyBorder="1"/>
    <xf numFmtId="41" fontId="109" fillId="8" borderId="20" xfId="0" applyNumberFormat="1" applyFont="1" applyFill="1" applyBorder="1"/>
    <xf numFmtId="41" fontId="109" fillId="8" borderId="15" xfId="0" applyNumberFormat="1" applyFont="1" applyFill="1" applyBorder="1"/>
    <xf numFmtId="41" fontId="123" fillId="8" borderId="56" xfId="0" applyNumberFormat="1" applyFont="1" applyFill="1" applyBorder="1"/>
    <xf numFmtId="41" fontId="124" fillId="8" borderId="56" xfId="0" applyNumberFormat="1" applyFont="1" applyFill="1" applyBorder="1"/>
    <xf numFmtId="41" fontId="109" fillId="8" borderId="34" xfId="0" applyNumberFormat="1" applyFont="1" applyFill="1" applyBorder="1"/>
    <xf numFmtId="0" fontId="115" fillId="0" borderId="34" xfId="0" applyFont="1" applyBorder="1"/>
    <xf numFmtId="41" fontId="109" fillId="0" borderId="15" xfId="0" applyNumberFormat="1" applyFont="1" applyBorder="1"/>
    <xf numFmtId="41" fontId="109" fillId="0" borderId="63" xfId="0" applyNumberFormat="1" applyFont="1" applyBorder="1"/>
    <xf numFmtId="41" fontId="109" fillId="0" borderId="40" xfId="0" applyNumberFormat="1" applyFont="1" applyBorder="1"/>
    <xf numFmtId="41" fontId="109" fillId="0" borderId="56" xfId="0" applyNumberFormat="1" applyFont="1" applyBorder="1"/>
    <xf numFmtId="0" fontId="118" fillId="8" borderId="11" xfId="0" applyFont="1" applyFill="1" applyBorder="1" applyAlignment="1">
      <alignment horizontal="center"/>
    </xf>
    <xf numFmtId="41" fontId="110" fillId="8" borderId="13" xfId="0" applyNumberFormat="1" applyFont="1" applyFill="1" applyBorder="1"/>
    <xf numFmtId="2" fontId="110" fillId="8" borderId="12" xfId="0" applyNumberFormat="1" applyFont="1" applyFill="1" applyBorder="1" applyAlignment="1">
      <alignment horizontal="center"/>
    </xf>
    <xf numFmtId="0" fontId="118" fillId="8" borderId="0" xfId="0" applyFont="1" applyFill="1"/>
    <xf numFmtId="3" fontId="110" fillId="8" borderId="0" xfId="0" applyNumberFormat="1" applyFont="1" applyFill="1"/>
    <xf numFmtId="41" fontId="110" fillId="0" borderId="28" xfId="0" applyNumberFormat="1" applyFont="1" applyBorder="1"/>
    <xf numFmtId="3" fontId="110" fillId="8" borderId="0" xfId="0" applyNumberFormat="1" applyFont="1" applyFill="1" applyAlignment="1">
      <alignment horizontal="right"/>
    </xf>
    <xf numFmtId="41" fontId="110" fillId="8" borderId="0" xfId="0" applyNumberFormat="1" applyFont="1" applyFill="1" applyAlignment="1">
      <alignment horizontal="right"/>
    </xf>
    <xf numFmtId="41" fontId="109" fillId="0" borderId="27" xfId="0" applyNumberFormat="1" applyFont="1" applyBorder="1" applyAlignment="1">
      <alignment horizontal="center"/>
    </xf>
    <xf numFmtId="41" fontId="109" fillId="0" borderId="29" xfId="0" applyNumberFormat="1" applyFont="1" applyBorder="1" applyAlignment="1">
      <alignment horizontal="center"/>
    </xf>
    <xf numFmtId="41" fontId="109" fillId="0" borderId="34" xfId="0" applyNumberFormat="1" applyFont="1" applyBorder="1" applyAlignment="1">
      <alignment horizontal="center"/>
    </xf>
    <xf numFmtId="170" fontId="125" fillId="0" borderId="28" xfId="0" applyNumberFormat="1" applyFont="1" applyBorder="1"/>
    <xf numFmtId="0" fontId="120" fillId="0" borderId="35" xfId="0" applyFont="1" applyBorder="1"/>
    <xf numFmtId="41" fontId="109" fillId="0" borderId="35" xfId="0" applyNumberFormat="1" applyFont="1" applyBorder="1"/>
    <xf numFmtId="41" fontId="109" fillId="0" borderId="38" xfId="0" applyNumberFormat="1" applyFont="1" applyBorder="1"/>
    <xf numFmtId="41" fontId="109" fillId="8" borderId="19" xfId="0" applyNumberFormat="1" applyFont="1" applyFill="1" applyBorder="1"/>
    <xf numFmtId="41" fontId="109" fillId="8" borderId="69" xfId="0" applyNumberFormat="1" applyFont="1" applyFill="1" applyBorder="1"/>
    <xf numFmtId="41" fontId="109" fillId="8" borderId="41" xfId="0" applyNumberFormat="1" applyFont="1" applyFill="1" applyBorder="1"/>
    <xf numFmtId="41" fontId="109" fillId="8" borderId="70" xfId="0" applyNumberFormat="1" applyFont="1" applyFill="1" applyBorder="1"/>
    <xf numFmtId="10" fontId="110" fillId="8" borderId="12" xfId="0" applyNumberFormat="1" applyFont="1" applyFill="1" applyBorder="1"/>
    <xf numFmtId="0" fontId="118" fillId="8" borderId="58" xfId="0" applyFont="1" applyFill="1" applyBorder="1" applyAlignment="1">
      <alignment horizontal="center"/>
    </xf>
    <xf numFmtId="41" fontId="118" fillId="8" borderId="51" xfId="0" applyNumberFormat="1" applyFont="1" applyFill="1" applyBorder="1"/>
    <xf numFmtId="0" fontId="110" fillId="8" borderId="51" xfId="0" applyFont="1" applyFill="1" applyBorder="1"/>
    <xf numFmtId="0" fontId="110" fillId="8" borderId="68" xfId="0" applyFont="1" applyFill="1" applyBorder="1"/>
    <xf numFmtId="41" fontId="109" fillId="0" borderId="32" xfId="0" applyNumberFormat="1" applyFont="1" applyBorder="1"/>
    <xf numFmtId="41" fontId="109" fillId="0" borderId="30" xfId="0" applyNumberFormat="1" applyFont="1" applyBorder="1"/>
    <xf numFmtId="41" fontId="109" fillId="0" borderId="31" xfId="0" applyNumberFormat="1" applyFont="1" applyBorder="1"/>
    <xf numFmtId="0" fontId="110" fillId="8" borderId="9" xfId="0" applyFont="1" applyFill="1" applyBorder="1"/>
    <xf numFmtId="0" fontId="110" fillId="8" borderId="3" xfId="0" applyFont="1" applyFill="1" applyBorder="1"/>
    <xf numFmtId="0" fontId="110" fillId="8" borderId="7" xfId="0" applyFont="1" applyFill="1" applyBorder="1"/>
    <xf numFmtId="0" fontId="120" fillId="0" borderId="36" xfId="0" applyFont="1" applyBorder="1"/>
    <xf numFmtId="41" fontId="109" fillId="0" borderId="36" xfId="0" applyNumberFormat="1" applyFont="1" applyBorder="1"/>
    <xf numFmtId="41" fontId="109" fillId="8" borderId="36" xfId="0" applyNumberFormat="1" applyFont="1" applyFill="1" applyBorder="1"/>
    <xf numFmtId="41" fontId="109" fillId="8" borderId="39" xfId="0" applyNumberFormat="1" applyFont="1" applyFill="1" applyBorder="1"/>
    <xf numFmtId="41" fontId="109" fillId="8" borderId="26" xfId="0" applyNumberFormat="1" applyFont="1" applyFill="1" applyBorder="1"/>
    <xf numFmtId="41" fontId="109" fillId="8" borderId="24" xfId="0" applyNumberFormat="1" applyFont="1" applyFill="1" applyBorder="1"/>
    <xf numFmtId="41" fontId="109" fillId="8" borderId="25" xfId="0" applyNumberFormat="1" applyFont="1" applyFill="1" applyBorder="1"/>
    <xf numFmtId="41" fontId="109" fillId="0" borderId="17" xfId="0" applyNumberFormat="1" applyFont="1" applyBorder="1"/>
    <xf numFmtId="41" fontId="127" fillId="0" borderId="26" xfId="0" applyNumberFormat="1" applyFont="1" applyBorder="1"/>
    <xf numFmtId="41" fontId="127" fillId="7" borderId="24" xfId="0" applyNumberFormat="1" applyFont="1" applyFill="1" applyBorder="1"/>
    <xf numFmtId="41" fontId="127" fillId="7" borderId="37" xfId="0" applyNumberFormat="1" applyFont="1" applyFill="1" applyBorder="1"/>
    <xf numFmtId="41" fontId="127" fillId="7" borderId="34" xfId="0" applyNumberFormat="1" applyFont="1" applyFill="1" applyBorder="1"/>
    <xf numFmtId="41" fontId="127" fillId="7" borderId="28" xfId="0" applyNumberFormat="1" applyFont="1" applyFill="1" applyBorder="1"/>
    <xf numFmtId="41" fontId="127" fillId="7" borderId="0" xfId="0" applyNumberFormat="1" applyFont="1" applyFill="1"/>
    <xf numFmtId="41" fontId="119" fillId="0" borderId="63" xfId="0" applyNumberFormat="1" applyFont="1" applyBorder="1"/>
    <xf numFmtId="41" fontId="119" fillId="0" borderId="37" xfId="0" applyNumberFormat="1" applyFont="1" applyBorder="1"/>
    <xf numFmtId="41" fontId="119" fillId="0" borderId="17" xfId="0" applyNumberFormat="1" applyFont="1" applyBorder="1"/>
    <xf numFmtId="41" fontId="111" fillId="0" borderId="17" xfId="0" applyNumberFormat="1" applyFont="1" applyBorder="1"/>
    <xf numFmtId="0" fontId="110" fillId="5" borderId="29" xfId="0" applyFont="1" applyFill="1" applyBorder="1"/>
    <xf numFmtId="0" fontId="110" fillId="5" borderId="0" xfId="0" applyFont="1" applyFill="1"/>
    <xf numFmtId="0" fontId="110" fillId="5" borderId="28" xfId="0" applyFont="1" applyFill="1" applyBorder="1"/>
    <xf numFmtId="41" fontId="117" fillId="0" borderId="27" xfId="0" applyNumberFormat="1" applyFont="1" applyBorder="1"/>
    <xf numFmtId="0" fontId="119" fillId="0" borderId="27" xfId="0" applyFont="1" applyBorder="1"/>
    <xf numFmtId="0" fontId="127" fillId="5" borderId="29" xfId="0" applyFont="1" applyFill="1" applyBorder="1"/>
    <xf numFmtId="41" fontId="119" fillId="0" borderId="27" xfId="0" applyNumberFormat="1" applyFont="1" applyBorder="1"/>
    <xf numFmtId="41" fontId="119" fillId="0" borderId="28" xfId="0" applyNumberFormat="1" applyFont="1" applyBorder="1"/>
    <xf numFmtId="41" fontId="119" fillId="0" borderId="0" xfId="0" applyNumberFormat="1" applyFont="1"/>
    <xf numFmtId="0" fontId="110" fillId="5" borderId="32" xfId="0" applyFont="1" applyFill="1" applyBorder="1"/>
    <xf numFmtId="0" fontId="110" fillId="5" borderId="21" xfId="0" applyFont="1" applyFill="1" applyBorder="1"/>
    <xf numFmtId="0" fontId="110" fillId="0" borderId="31" xfId="0" applyFont="1" applyBorder="1"/>
    <xf numFmtId="0" fontId="120" fillId="0" borderId="30" xfId="0" applyFont="1" applyBorder="1"/>
    <xf numFmtId="168" fontId="109" fillId="0" borderId="30" xfId="0" applyNumberFormat="1" applyFont="1" applyBorder="1"/>
    <xf numFmtId="168" fontId="109" fillId="0" borderId="32" xfId="0" applyNumberFormat="1" applyFont="1" applyBorder="1"/>
    <xf numFmtId="168" fontId="119" fillId="0" borderId="30" xfId="0" applyNumberFormat="1" applyFont="1" applyBorder="1"/>
    <xf numFmtId="168" fontId="119" fillId="0" borderId="32" xfId="0" applyNumberFormat="1" applyFont="1" applyBorder="1"/>
    <xf numFmtId="0" fontId="109" fillId="0" borderId="0" xfId="0" applyFont="1"/>
    <xf numFmtId="0" fontId="109" fillId="10" borderId="19" xfId="0" applyFont="1" applyFill="1" applyBorder="1"/>
    <xf numFmtId="0" fontId="109" fillId="10" borderId="23" xfId="0" applyFont="1" applyFill="1" applyBorder="1"/>
    <xf numFmtId="41" fontId="109" fillId="10" borderId="23" xfId="0" applyNumberFormat="1" applyFont="1" applyFill="1" applyBorder="1"/>
    <xf numFmtId="170" fontId="109" fillId="10" borderId="5" xfId="0" applyNumberFormat="1" applyFont="1" applyFill="1" applyBorder="1"/>
    <xf numFmtId="170" fontId="109" fillId="10" borderId="1" xfId="0" applyNumberFormat="1" applyFont="1" applyFill="1" applyBorder="1"/>
    <xf numFmtId="170" fontId="109" fillId="10" borderId="23" xfId="0" applyNumberFormat="1" applyFont="1" applyFill="1" applyBorder="1"/>
    <xf numFmtId="0" fontId="128" fillId="0" borderId="0" xfId="0" applyFont="1"/>
    <xf numFmtId="0" fontId="109" fillId="10" borderId="8" xfId="0" applyFont="1" applyFill="1" applyBorder="1"/>
    <xf numFmtId="0" fontId="109" fillId="10" borderId="0" xfId="0" applyFont="1" applyFill="1"/>
    <xf numFmtId="41" fontId="109" fillId="10" borderId="0" xfId="0" applyNumberFormat="1" applyFont="1" applyFill="1"/>
    <xf numFmtId="41" fontId="109" fillId="10" borderId="8" xfId="0" applyNumberFormat="1" applyFont="1" applyFill="1" applyBorder="1"/>
    <xf numFmtId="170" fontId="109" fillId="10" borderId="6" xfId="0" applyNumberFormat="1" applyFont="1" applyFill="1" applyBorder="1"/>
    <xf numFmtId="170" fontId="109" fillId="10" borderId="4" xfId="0" applyNumberFormat="1" applyFont="1" applyFill="1" applyBorder="1"/>
    <xf numFmtId="170" fontId="109" fillId="10" borderId="0" xfId="0" applyNumberFormat="1" applyFont="1" applyFill="1"/>
    <xf numFmtId="170" fontId="119" fillId="10" borderId="4" xfId="0" applyNumberFormat="1" applyFont="1" applyFill="1" applyBorder="1"/>
    <xf numFmtId="0" fontId="120" fillId="10" borderId="9" xfId="0" applyFont="1" applyFill="1" applyBorder="1"/>
    <xf numFmtId="0" fontId="109" fillId="10" borderId="3" xfId="0" applyFont="1" applyFill="1" applyBorder="1"/>
    <xf numFmtId="41" fontId="109" fillId="10" borderId="3" xfId="0" applyNumberFormat="1" applyFont="1" applyFill="1" applyBorder="1"/>
    <xf numFmtId="0" fontId="109" fillId="10" borderId="9" xfId="0" applyFont="1" applyFill="1" applyBorder="1"/>
    <xf numFmtId="170" fontId="127" fillId="10" borderId="7" xfId="0" applyNumberFormat="1" applyFont="1" applyFill="1" applyBorder="1"/>
    <xf numFmtId="170" fontId="123" fillId="10" borderId="7" xfId="0" applyNumberFormat="1" applyFont="1" applyFill="1" applyBorder="1"/>
    <xf numFmtId="170" fontId="123" fillId="10" borderId="2" xfId="0" applyNumberFormat="1" applyFont="1" applyFill="1" applyBorder="1"/>
    <xf numFmtId="170" fontId="127" fillId="10" borderId="2" xfId="0" applyNumberFormat="1" applyFont="1" applyFill="1" applyBorder="1"/>
    <xf numFmtId="0" fontId="120" fillId="0" borderId="0" xfId="0" applyFont="1"/>
    <xf numFmtId="170" fontId="109" fillId="0" borderId="0" xfId="0" applyNumberFormat="1" applyFont="1"/>
    <xf numFmtId="0" fontId="3" fillId="0" borderId="6" xfId="0" applyFont="1" applyBorder="1" applyProtection="1">
      <protection locked="0"/>
    </xf>
    <xf numFmtId="168" fontId="45" fillId="0" borderId="0" xfId="0" applyNumberFormat="1" applyFont="1"/>
    <xf numFmtId="172" fontId="35" fillId="0" borderId="0" xfId="0" applyNumberFormat="1" applyFont="1" applyProtection="1">
      <protection locked="0"/>
    </xf>
    <xf numFmtId="0" fontId="66" fillId="0" borderId="4" xfId="0" applyFont="1" applyBorder="1" applyProtection="1">
      <protection locked="0"/>
    </xf>
    <xf numFmtId="41" fontId="16" fillId="0" borderId="27" xfId="0" applyNumberFormat="1" applyFont="1" applyBorder="1"/>
    <xf numFmtId="41" fontId="16" fillId="0" borderId="29" xfId="0" applyNumberFormat="1" applyFont="1" applyBorder="1"/>
    <xf numFmtId="41" fontId="16" fillId="0" borderId="28" xfId="0" applyNumberFormat="1" applyFont="1" applyBorder="1"/>
    <xf numFmtId="0" fontId="17" fillId="8" borderId="8" xfId="0" applyFont="1" applyFill="1" applyBorder="1" applyAlignment="1">
      <alignment horizontal="center"/>
    </xf>
    <xf numFmtId="0" fontId="16" fillId="8" borderId="0" xfId="0" applyFont="1" applyFill="1"/>
    <xf numFmtId="10" fontId="16" fillId="8" borderId="6" xfId="0" applyNumberFormat="1" applyFont="1" applyFill="1" applyBorder="1" applyAlignment="1">
      <alignment horizontal="center"/>
    </xf>
    <xf numFmtId="41" fontId="16" fillId="0" borderId="0" xfId="0" applyNumberFormat="1" applyFont="1"/>
    <xf numFmtId="41" fontId="7" fillId="0" borderId="28" xfId="0" applyNumberFormat="1" applyFont="1" applyBorder="1"/>
    <xf numFmtId="43" fontId="7" fillId="15" borderId="0" xfId="4" applyFont="1" applyFill="1"/>
    <xf numFmtId="41" fontId="5" fillId="2" borderId="6" xfId="0" applyNumberFormat="1" applyFont="1" applyFill="1" applyBorder="1" applyAlignment="1" applyProtection="1">
      <alignment horizontal="center"/>
      <protection locked="0"/>
    </xf>
    <xf numFmtId="171" fontId="5" fillId="2" borderId="7" xfId="0" applyNumberFormat="1" applyFont="1" applyFill="1" applyBorder="1" applyAlignment="1" applyProtection="1">
      <alignment horizontal="center"/>
      <protection locked="0"/>
    </xf>
    <xf numFmtId="41" fontId="86" fillId="0" borderId="0" xfId="0" applyNumberFormat="1" applyFont="1" applyProtection="1">
      <protection locked="0"/>
    </xf>
    <xf numFmtId="41" fontId="86" fillId="0" borderId="6" xfId="0" applyNumberFormat="1" applyFont="1" applyBorder="1" applyAlignment="1" applyProtection="1">
      <alignment wrapText="1"/>
      <protection locked="0"/>
    </xf>
    <xf numFmtId="41" fontId="101" fillId="0" borderId="6" xfId="0" applyNumberFormat="1" applyFont="1" applyBorder="1" applyAlignment="1">
      <alignment horizontal="center" wrapText="1"/>
    </xf>
    <xf numFmtId="0" fontId="3" fillId="0" borderId="74" xfId="0" applyFont="1" applyBorder="1" applyAlignment="1">
      <alignment wrapText="1"/>
    </xf>
    <xf numFmtId="173" fontId="64" fillId="0" borderId="0" xfId="0" applyNumberFormat="1" applyFont="1"/>
    <xf numFmtId="41" fontId="145" fillId="0" borderId="6" xfId="0" applyNumberFormat="1" applyFont="1" applyBorder="1" applyProtection="1">
      <protection locked="0"/>
    </xf>
    <xf numFmtId="173" fontId="15" fillId="0" borderId="0" xfId="4" applyNumberFormat="1" applyFont="1"/>
    <xf numFmtId="10" fontId="6" fillId="0" borderId="12" xfId="0" applyNumberFormat="1" applyFont="1" applyBorder="1" applyProtection="1">
      <protection locked="0"/>
    </xf>
    <xf numFmtId="41" fontId="86" fillId="20" borderId="0" xfId="0" applyNumberFormat="1" applyFont="1" applyFill="1" applyProtection="1">
      <protection locked="0"/>
    </xf>
    <xf numFmtId="41" fontId="83" fillId="20" borderId="0" xfId="0" applyNumberFormat="1" applyFont="1" applyFill="1" applyAlignment="1">
      <alignment horizontal="center"/>
    </xf>
    <xf numFmtId="41" fontId="86" fillId="20" borderId="0" xfId="0" applyNumberFormat="1" applyFont="1" applyFill="1" applyAlignment="1">
      <alignment horizontal="center"/>
    </xf>
    <xf numFmtId="41" fontId="146" fillId="8" borderId="56" xfId="0" applyNumberFormat="1" applyFont="1" applyFill="1" applyBorder="1"/>
    <xf numFmtId="41" fontId="125" fillId="0" borderId="28" xfId="0" applyNumberFormat="1" applyFont="1" applyBorder="1"/>
    <xf numFmtId="0" fontId="4" fillId="0" borderId="4" xfId="0" applyFont="1" applyBorder="1" applyAlignment="1" applyProtection="1">
      <alignment horizontal="left"/>
      <protection locked="0"/>
    </xf>
    <xf numFmtId="41" fontId="86" fillId="15" borderId="6" xfId="0" applyNumberFormat="1" applyFont="1" applyFill="1" applyBorder="1" applyProtection="1">
      <protection locked="0"/>
    </xf>
    <xf numFmtId="10" fontId="64" fillId="0" borderId="8" xfId="0" applyNumberFormat="1" applyFont="1" applyBorder="1"/>
    <xf numFmtId="10" fontId="64" fillId="0" borderId="20" xfId="0" applyNumberFormat="1" applyFont="1" applyBorder="1"/>
    <xf numFmtId="41" fontId="86" fillId="20" borderId="6" xfId="0" applyNumberFormat="1" applyFont="1" applyFill="1" applyBorder="1" applyAlignment="1" applyProtection="1">
      <alignment horizontal="center"/>
      <protection locked="0"/>
    </xf>
    <xf numFmtId="41" fontId="80" fillId="20" borderId="4" xfId="0" applyNumberFormat="1" applyFont="1" applyFill="1" applyBorder="1" applyProtection="1">
      <protection locked="0"/>
    </xf>
    <xf numFmtId="41" fontId="79" fillId="0" borderId="5" xfId="0" applyNumberFormat="1" applyFont="1" applyBorder="1"/>
    <xf numFmtId="41" fontId="82" fillId="0" borderId="1" xfId="0" applyNumberFormat="1" applyFont="1" applyBorder="1"/>
    <xf numFmtId="41" fontId="83" fillId="0" borderId="5" xfId="0" applyNumberFormat="1" applyFont="1" applyBorder="1" applyAlignment="1">
      <alignment horizontal="center"/>
    </xf>
    <xf numFmtId="41" fontId="80" fillId="0" borderId="23" xfId="0" applyNumberFormat="1" applyFont="1" applyBorder="1" applyAlignment="1">
      <alignment horizontal="center"/>
    </xf>
    <xf numFmtId="41" fontId="80" fillId="0" borderId="5" xfId="0" applyNumberFormat="1" applyFont="1" applyBorder="1" applyAlignment="1">
      <alignment horizontal="center"/>
    </xf>
    <xf numFmtId="14" fontId="73" fillId="0" borderId="1" xfId="0" applyNumberFormat="1" applyFont="1" applyBorder="1" applyAlignment="1" applyProtection="1">
      <alignment horizontal="left"/>
      <protection locked="0"/>
    </xf>
    <xf numFmtId="0" fontId="3" fillId="0" borderId="1" xfId="0" applyFont="1" applyBorder="1"/>
    <xf numFmtId="0" fontId="3" fillId="0" borderId="4" xfId="0" applyFont="1" applyBorder="1" applyProtection="1">
      <protection locked="0"/>
    </xf>
    <xf numFmtId="43" fontId="87" fillId="0" borderId="4" xfId="0" applyNumberFormat="1" applyFont="1" applyBorder="1" applyAlignment="1" applyProtection="1">
      <alignment horizontal="left"/>
      <protection locked="0"/>
    </xf>
    <xf numFmtId="0" fontId="14" fillId="0" borderId="30" xfId="0" applyFont="1" applyBorder="1" applyAlignment="1">
      <alignment horizontal="center"/>
    </xf>
    <xf numFmtId="43" fontId="63" fillId="0" borderId="0" xfId="0" applyNumberFormat="1" applyFont="1"/>
    <xf numFmtId="173" fontId="109" fillId="0" borderId="0" xfId="0" applyNumberFormat="1" applyFont="1"/>
    <xf numFmtId="0" fontId="109" fillId="52" borderId="0" xfId="0" applyFont="1" applyFill="1"/>
    <xf numFmtId="170" fontId="127" fillId="52" borderId="0" xfId="0" applyNumberFormat="1" applyFont="1" applyFill="1" applyAlignment="1">
      <alignment horizontal="center"/>
    </xf>
    <xf numFmtId="41" fontId="109" fillId="52" borderId="0" xfId="0" applyNumberFormat="1" applyFont="1" applyFill="1"/>
    <xf numFmtId="41" fontId="7" fillId="52" borderId="17" xfId="0" applyNumberFormat="1" applyFont="1" applyFill="1" applyBorder="1"/>
    <xf numFmtId="41" fontId="7" fillId="52" borderId="15" xfId="0" applyNumberFormat="1" applyFont="1" applyFill="1" applyBorder="1" applyAlignment="1">
      <alignment horizontal="left"/>
    </xf>
    <xf numFmtId="41" fontId="109" fillId="52" borderId="40" xfId="0" applyNumberFormat="1" applyFont="1" applyFill="1" applyBorder="1"/>
    <xf numFmtId="41" fontId="27" fillId="52" borderId="29" xfId="0" applyNumberFormat="1" applyFont="1" applyFill="1" applyBorder="1" applyAlignment="1">
      <alignment horizontal="right"/>
    </xf>
    <xf numFmtId="0" fontId="14" fillId="52" borderId="0" xfId="0" applyFont="1" applyFill="1" applyAlignment="1">
      <alignment horizontal="left"/>
    </xf>
    <xf numFmtId="41" fontId="147" fillId="0" borderId="0" xfId="0" applyNumberFormat="1" applyFont="1"/>
    <xf numFmtId="43" fontId="61" fillId="0" borderId="0" xfId="0" applyNumberFormat="1" applyFont="1"/>
    <xf numFmtId="0" fontId="66" fillId="2" borderId="2" xfId="0" applyFont="1" applyFill="1" applyBorder="1" applyProtection="1">
      <protection locked="0"/>
    </xf>
    <xf numFmtId="41" fontId="80" fillId="20" borderId="6" xfId="0" applyNumberFormat="1" applyFont="1" applyFill="1" applyBorder="1" applyProtection="1">
      <protection locked="0"/>
    </xf>
    <xf numFmtId="41" fontId="86" fillId="0" borderId="6" xfId="0" applyNumberFormat="1" applyFont="1" applyBorder="1"/>
    <xf numFmtId="41" fontId="87" fillId="0" borderId="6" xfId="0" applyNumberFormat="1" applyFont="1" applyBorder="1"/>
    <xf numFmtId="10" fontId="86" fillId="0" borderId="12" xfId="0" applyNumberFormat="1" applyFont="1" applyBorder="1"/>
    <xf numFmtId="43" fontId="64" fillId="0" borderId="88" xfId="0" applyNumberFormat="1" applyFont="1" applyBorder="1"/>
    <xf numFmtId="1" fontId="66" fillId="2" borderId="88" xfId="0" applyNumberFormat="1" applyFont="1" applyFill="1" applyBorder="1" applyAlignment="1">
      <alignment horizontal="center"/>
    </xf>
    <xf numFmtId="1" fontId="66" fillId="2" borderId="89" xfId="0" applyNumberFormat="1" applyFont="1" applyFill="1" applyBorder="1" applyAlignment="1">
      <alignment horizontal="center"/>
    </xf>
    <xf numFmtId="43" fontId="67" fillId="0" borderId="88" xfId="0" applyNumberFormat="1" applyFont="1" applyBorder="1"/>
    <xf numFmtId="43" fontId="64" fillId="0" borderId="90" xfId="0" applyNumberFormat="1" applyFont="1" applyBorder="1"/>
    <xf numFmtId="43" fontId="67" fillId="15" borderId="88" xfId="0" applyNumberFormat="1" applyFont="1" applyFill="1" applyBorder="1"/>
    <xf numFmtId="43" fontId="68" fillId="0" borderId="88" xfId="0" applyNumberFormat="1" applyFont="1" applyBorder="1"/>
    <xf numFmtId="43" fontId="64" fillId="0" borderId="91" xfId="0" applyNumberFormat="1" applyFont="1" applyBorder="1"/>
    <xf numFmtId="43" fontId="66" fillId="0" borderId="92" xfId="0" applyNumberFormat="1" applyFont="1" applyBorder="1"/>
    <xf numFmtId="43" fontId="64" fillId="0" borderId="93" xfId="0" applyNumberFormat="1" applyFont="1" applyBorder="1"/>
    <xf numFmtId="43" fontId="67" fillId="16" borderId="88" xfId="0" applyNumberFormat="1" applyFont="1" applyFill="1" applyBorder="1"/>
    <xf numFmtId="43" fontId="64" fillId="0" borderId="88" xfId="0" applyNumberFormat="1" applyFont="1" applyBorder="1" applyAlignment="1">
      <alignment horizontal="left" indent="1"/>
    </xf>
    <xf numFmtId="43" fontId="4" fillId="17" borderId="88" xfId="0" applyNumberFormat="1" applyFont="1" applyFill="1" applyBorder="1"/>
    <xf numFmtId="43" fontId="4" fillId="0" borderId="88" xfId="0" applyNumberFormat="1" applyFont="1" applyBorder="1"/>
    <xf numFmtId="43" fontId="70" fillId="0" borderId="88" xfId="0" applyNumberFormat="1" applyFont="1" applyBorder="1"/>
    <xf numFmtId="43" fontId="70" fillId="19" borderId="88" xfId="0" applyNumberFormat="1" applyFont="1" applyFill="1" applyBorder="1"/>
    <xf numFmtId="0" fontId="64" fillId="0" borderId="88" xfId="0" applyFont="1" applyBorder="1"/>
    <xf numFmtId="0" fontId="64" fillId="0" borderId="94" xfId="0" applyFont="1" applyBorder="1"/>
    <xf numFmtId="44" fontId="3" fillId="0" borderId="15" xfId="5" applyFont="1" applyBorder="1"/>
    <xf numFmtId="44" fontId="64" fillId="0" borderId="90" xfId="5" applyFont="1" applyBorder="1"/>
    <xf numFmtId="44" fontId="71" fillId="0" borderId="90" xfId="5" applyFont="1" applyBorder="1"/>
    <xf numFmtId="44" fontId="64" fillId="0" borderId="91" xfId="5" applyFont="1" applyBorder="1"/>
    <xf numFmtId="44" fontId="64" fillId="0" borderId="94" xfId="5" applyFont="1" applyBorder="1"/>
    <xf numFmtId="0" fontId="64" fillId="0" borderId="90" xfId="0" applyFont="1" applyBorder="1"/>
    <xf numFmtId="44" fontId="64" fillId="0" borderId="95" xfId="0" applyNumberFormat="1" applyFont="1" applyBorder="1"/>
    <xf numFmtId="0" fontId="64" fillId="0" borderId="96" xfId="0" applyFont="1" applyBorder="1"/>
    <xf numFmtId="0" fontId="64" fillId="0" borderId="17" xfId="0" applyFont="1" applyBorder="1"/>
    <xf numFmtId="44" fontId="64" fillId="0" borderId="17" xfId="0" applyNumberFormat="1" applyFont="1" applyBorder="1"/>
    <xf numFmtId="0" fontId="64" fillId="0" borderId="23" xfId="0" applyFont="1" applyBorder="1"/>
    <xf numFmtId="44" fontId="64" fillId="0" borderId="23" xfId="5" applyFont="1" applyBorder="1"/>
    <xf numFmtId="0" fontId="64" fillId="0" borderId="97" xfId="0" applyFont="1" applyBorder="1"/>
    <xf numFmtId="43" fontId="6" fillId="0" borderId="0" xfId="0" applyNumberFormat="1" applyFont="1"/>
    <xf numFmtId="43" fontId="66" fillId="0" borderId="0" xfId="0" applyNumberFormat="1" applyFont="1"/>
    <xf numFmtId="0" fontId="3" fillId="0" borderId="46" xfId="0" applyFont="1" applyBorder="1" applyAlignment="1">
      <alignment wrapText="1"/>
    </xf>
    <xf numFmtId="0" fontId="64" fillId="0" borderId="54" xfId="0" applyFont="1" applyBorder="1"/>
    <xf numFmtId="10" fontId="64" fillId="0" borderId="2" xfId="0" applyNumberFormat="1" applyFont="1" applyBorder="1"/>
    <xf numFmtId="10" fontId="64" fillId="0" borderId="1" xfId="0" applyNumberFormat="1" applyFont="1" applyBorder="1"/>
    <xf numFmtId="165" fontId="5" fillId="8" borderId="0" xfId="0" applyNumberFormat="1" applyFont="1" applyFill="1" applyAlignment="1">
      <alignment horizontal="center"/>
    </xf>
    <xf numFmtId="0" fontId="5" fillId="8" borderId="0" xfId="0" applyFont="1" applyFill="1" applyAlignment="1">
      <alignment horizontal="center"/>
    </xf>
    <xf numFmtId="43" fontId="5" fillId="8" borderId="0" xfId="0" applyNumberFormat="1" applyFont="1" applyFill="1" applyAlignment="1">
      <alignment horizontal="center"/>
    </xf>
    <xf numFmtId="175" fontId="64" fillId="0" borderId="1" xfId="5" applyNumberFormat="1" applyFont="1" applyBorder="1"/>
    <xf numFmtId="175" fontId="64" fillId="0" borderId="4" xfId="5" applyNumberFormat="1" applyFont="1" applyBorder="1"/>
    <xf numFmtId="10" fontId="64" fillId="0" borderId="4" xfId="0" applyNumberFormat="1" applyFont="1" applyBorder="1"/>
    <xf numFmtId="173" fontId="64" fillId="0" borderId="2" xfId="4" applyNumberFormat="1" applyFont="1" applyBorder="1"/>
    <xf numFmtId="0" fontId="3" fillId="0" borderId="0" xfId="0" applyFont="1"/>
    <xf numFmtId="43" fontId="148" fillId="0" borderId="0" xfId="0" applyNumberFormat="1" applyFont="1"/>
    <xf numFmtId="0" fontId="66" fillId="0" borderId="0" xfId="0" applyFont="1"/>
    <xf numFmtId="0" fontId="3" fillId="0" borderId="76" xfId="0" applyFont="1" applyBorder="1" applyAlignment="1">
      <alignment wrapText="1"/>
    </xf>
    <xf numFmtId="43" fontId="3" fillId="0" borderId="0" xfId="0" applyNumberFormat="1" applyFont="1"/>
    <xf numFmtId="43" fontId="63" fillId="0" borderId="4" xfId="0" applyNumberFormat="1" applyFont="1" applyBorder="1"/>
    <xf numFmtId="49" fontId="5" fillId="0" borderId="2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43" fontId="4" fillId="0" borderId="1" xfId="0" applyNumberFormat="1" applyFont="1" applyBorder="1"/>
    <xf numFmtId="43" fontId="4" fillId="0" borderId="5" xfId="4" applyFont="1" applyBorder="1" applyAlignment="1">
      <alignment horizontal="center"/>
    </xf>
    <xf numFmtId="6" fontId="4" fillId="0" borderId="0" xfId="0" applyNumberFormat="1" applyFont="1"/>
    <xf numFmtId="0" fontId="149" fillId="0" borderId="4" xfId="0" applyFont="1" applyBorder="1" applyAlignment="1" applyProtection="1">
      <alignment horizontal="left"/>
      <protection locked="0"/>
    </xf>
    <xf numFmtId="44" fontId="3" fillId="0" borderId="17" xfId="5" applyFont="1" applyBorder="1"/>
    <xf numFmtId="44" fontId="64" fillId="0" borderId="17" xfId="5" applyFont="1" applyBorder="1"/>
    <xf numFmtId="44" fontId="71" fillId="0" borderId="17" xfId="5" applyFont="1" applyBorder="1"/>
    <xf numFmtId="43" fontId="19" fillId="0" borderId="0" xfId="4" applyFont="1"/>
    <xf numFmtId="43" fontId="3" fillId="0" borderId="8" xfId="0" applyNumberFormat="1" applyFont="1" applyBorder="1"/>
    <xf numFmtId="0" fontId="150" fillId="0" borderId="4" xfId="0" applyFont="1" applyBorder="1" applyProtection="1">
      <protection locked="0"/>
    </xf>
    <xf numFmtId="41" fontId="4" fillId="0" borderId="6" xfId="0" applyNumberFormat="1" applyFont="1" applyBorder="1"/>
    <xf numFmtId="41" fontId="61" fillId="0" borderId="20" xfId="0" applyNumberFormat="1" applyFont="1" applyBorder="1" applyProtection="1">
      <protection locked="0"/>
    </xf>
    <xf numFmtId="41" fontId="61" fillId="0" borderId="1" xfId="0" applyNumberFormat="1" applyFont="1" applyBorder="1" applyAlignment="1" applyProtection="1">
      <alignment wrapText="1"/>
      <protection locked="0"/>
    </xf>
    <xf numFmtId="41" fontId="4" fillId="0" borderId="6" xfId="3" applyNumberFormat="1" applyFont="1" applyBorder="1"/>
    <xf numFmtId="0" fontId="151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41" fontId="4" fillId="0" borderId="0" xfId="0" applyNumberFormat="1" applyFont="1" applyProtection="1">
      <protection locked="0"/>
    </xf>
    <xf numFmtId="43" fontId="4" fillId="0" borderId="4" xfId="0" applyNumberFormat="1" applyFont="1" applyBorder="1" applyAlignment="1" applyProtection="1">
      <alignment horizontal="left"/>
      <protection locked="0"/>
    </xf>
    <xf numFmtId="0" fontId="24" fillId="0" borderId="29" xfId="0" applyFont="1" applyBorder="1" applyAlignment="1">
      <alignment horizontal="center"/>
    </xf>
    <xf numFmtId="173" fontId="19" fillId="0" borderId="28" xfId="4" applyNumberFormat="1" applyFont="1" applyBorder="1"/>
    <xf numFmtId="41" fontId="37" fillId="0" borderId="27" xfId="0" applyNumberFormat="1" applyFont="1" applyBorder="1"/>
    <xf numFmtId="41" fontId="61" fillId="0" borderId="1" xfId="0" applyNumberFormat="1" applyFont="1" applyBorder="1" applyProtection="1">
      <protection locked="0"/>
    </xf>
    <xf numFmtId="0" fontId="3" fillId="0" borderId="76" xfId="0" applyFont="1" applyBorder="1"/>
    <xf numFmtId="41" fontId="61" fillId="0" borderId="6" xfId="0" applyNumberFormat="1" applyFont="1" applyBorder="1" applyAlignment="1" applyProtection="1">
      <alignment wrapText="1"/>
      <protection locked="0"/>
    </xf>
    <xf numFmtId="0" fontId="15" fillId="53" borderId="24" xfId="0" applyFont="1" applyFill="1" applyBorder="1" applyAlignment="1">
      <alignment horizontal="center"/>
    </xf>
    <xf numFmtId="0" fontId="15" fillId="53" borderId="30" xfId="0" applyFont="1" applyFill="1" applyBorder="1" applyAlignment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175" fontId="64" fillId="0" borderId="8" xfId="5" applyNumberFormat="1" applyFont="1" applyBorder="1"/>
    <xf numFmtId="0" fontId="64" fillId="0" borderId="46" xfId="0" applyFont="1" applyBorder="1"/>
    <xf numFmtId="173" fontId="64" fillId="0" borderId="8" xfId="4" applyNumberFormat="1" applyFont="1" applyBorder="1"/>
    <xf numFmtId="10" fontId="3" fillId="0" borderId="8" xfId="3" applyNumberFormat="1" applyFont="1" applyBorder="1"/>
    <xf numFmtId="43" fontId="7" fillId="0" borderId="0" xfId="4" applyFont="1"/>
    <xf numFmtId="10" fontId="3" fillId="0" borderId="8" xfId="0" applyNumberFormat="1" applyFont="1" applyBorder="1"/>
    <xf numFmtId="0" fontId="4" fillId="0" borderId="0" xfId="0" applyFont="1" applyAlignment="1" applyProtection="1">
      <alignment horizontal="left"/>
      <protection locked="0"/>
    </xf>
    <xf numFmtId="41" fontId="86" fillId="54" borderId="6" xfId="0" applyNumberFormat="1" applyFont="1" applyFill="1" applyBorder="1" applyAlignment="1">
      <alignment horizontal="center"/>
    </xf>
    <xf numFmtId="41" fontId="145" fillId="54" borderId="6" xfId="0" applyNumberFormat="1" applyFont="1" applyFill="1" applyBorder="1" applyProtection="1">
      <protection locked="0"/>
    </xf>
    <xf numFmtId="41" fontId="83" fillId="54" borderId="6" xfId="0" applyNumberFormat="1" applyFont="1" applyFill="1" applyBorder="1" applyAlignment="1">
      <alignment horizontal="center"/>
    </xf>
    <xf numFmtId="41" fontId="86" fillId="54" borderId="2" xfId="0" applyNumberFormat="1" applyFont="1" applyFill="1" applyBorder="1" applyAlignment="1" applyProtection="1">
      <alignment horizontal="center"/>
      <protection locked="0"/>
    </xf>
    <xf numFmtId="41" fontId="86" fillId="54" borderId="6" xfId="0" applyNumberFormat="1" applyFont="1" applyFill="1" applyBorder="1" applyAlignment="1" applyProtection="1">
      <alignment horizontal="center"/>
      <protection locked="0"/>
    </xf>
    <xf numFmtId="1" fontId="153" fillId="10" borderId="26" xfId="0" applyNumberFormat="1" applyFont="1" applyFill="1" applyBorder="1" applyAlignment="1">
      <alignment horizontal="center"/>
    </xf>
    <xf numFmtId="1" fontId="153" fillId="10" borderId="29" xfId="0" applyNumberFormat="1" applyFont="1" applyFill="1" applyBorder="1" applyAlignment="1">
      <alignment horizontal="center"/>
    </xf>
    <xf numFmtId="1" fontId="153" fillId="10" borderId="32" xfId="0" applyNumberFormat="1" applyFont="1" applyFill="1" applyBorder="1" applyAlignment="1">
      <alignment horizontal="center"/>
    </xf>
    <xf numFmtId="41" fontId="10" fillId="0" borderId="25" xfId="0" applyNumberFormat="1" applyFont="1" applyBorder="1"/>
    <xf numFmtId="41" fontId="10" fillId="0" borderId="28" xfId="0" applyNumberFormat="1" applyFont="1" applyBorder="1"/>
    <xf numFmtId="41" fontId="154" fillId="0" borderId="28" xfId="0" applyNumberFormat="1" applyFont="1" applyBorder="1"/>
    <xf numFmtId="41" fontId="10" fillId="8" borderId="17" xfId="0" applyNumberFormat="1" applyFont="1" applyFill="1" applyBorder="1"/>
    <xf numFmtId="41" fontId="10" fillId="0" borderId="70" xfId="0" applyNumberFormat="1" applyFont="1" applyBorder="1"/>
    <xf numFmtId="41" fontId="154" fillId="0" borderId="28" xfId="0" quotePrefix="1" applyNumberFormat="1" applyFont="1" applyBorder="1" applyAlignment="1">
      <alignment wrapText="1"/>
    </xf>
    <xf numFmtId="43" fontId="0" fillId="0" borderId="0" xfId="4" applyFont="1"/>
    <xf numFmtId="0" fontId="155" fillId="0" borderId="0" xfId="0" applyFont="1"/>
    <xf numFmtId="43" fontId="7" fillId="54" borderId="0" xfId="4" applyFont="1" applyFill="1"/>
    <xf numFmtId="43" fontId="7" fillId="55" borderId="0" xfId="4" applyFont="1" applyFill="1"/>
    <xf numFmtId="43" fontId="7" fillId="0" borderId="0" xfId="0" applyNumberFormat="1" applyFont="1"/>
    <xf numFmtId="10" fontId="7" fillId="0" borderId="0" xfId="3" applyNumberFormat="1" applyFont="1"/>
    <xf numFmtId="179" fontId="102" fillId="0" borderId="6" xfId="0" quotePrefix="1" applyNumberFormat="1" applyFont="1" applyBorder="1" applyAlignment="1" applyProtection="1">
      <alignment horizontal="center"/>
      <protection locked="0"/>
    </xf>
    <xf numFmtId="0" fontId="152" fillId="0" borderId="4" xfId="0" applyFont="1" applyBorder="1" applyAlignment="1" applyProtection="1">
      <alignment horizontal="left"/>
      <protection locked="0"/>
    </xf>
    <xf numFmtId="14" fontId="4" fillId="0" borderId="4" xfId="0" applyNumberFormat="1" applyFont="1" applyBorder="1" applyAlignment="1" applyProtection="1">
      <alignment horizontal="left"/>
      <protection locked="0"/>
    </xf>
    <xf numFmtId="180" fontId="19" fillId="0" borderId="0" xfId="0" applyNumberFormat="1" applyFont="1" applyAlignment="1">
      <alignment horizontal="left" indent="6"/>
    </xf>
    <xf numFmtId="0" fontId="7" fillId="52" borderId="0" xfId="0" applyFont="1" applyFill="1"/>
    <xf numFmtId="41" fontId="34" fillId="0" borderId="27" xfId="0" applyNumberFormat="1" applyFont="1" applyBorder="1"/>
    <xf numFmtId="0" fontId="79" fillId="15" borderId="4" xfId="0" applyFont="1" applyFill="1" applyBorder="1" applyAlignment="1" applyProtection="1">
      <alignment horizontal="left"/>
      <protection locked="0"/>
    </xf>
    <xf numFmtId="41" fontId="7" fillId="52" borderId="0" xfId="0" applyNumberFormat="1" applyFont="1" applyFill="1" applyAlignment="1">
      <alignment horizontal="right"/>
    </xf>
    <xf numFmtId="41" fontId="27" fillId="52" borderId="0" xfId="0" applyNumberFormat="1" applyFont="1" applyFill="1" applyAlignment="1">
      <alignment horizontal="right"/>
    </xf>
    <xf numFmtId="0" fontId="120" fillId="52" borderId="0" xfId="0" applyFont="1" applyFill="1"/>
    <xf numFmtId="41" fontId="109" fillId="52" borderId="17" xfId="0" applyNumberFormat="1" applyFont="1" applyFill="1" applyBorder="1"/>
    <xf numFmtId="43" fontId="109" fillId="52" borderId="17" xfId="4" applyFont="1" applyFill="1" applyBorder="1"/>
    <xf numFmtId="0" fontId="120" fillId="52" borderId="17" xfId="0" applyFont="1" applyFill="1" applyBorder="1"/>
    <xf numFmtId="4" fontId="21" fillId="0" borderId="29" xfId="0" applyNumberFormat="1" applyFont="1" applyBorder="1"/>
    <xf numFmtId="179" fontId="4" fillId="0" borderId="4" xfId="0" applyNumberFormat="1" applyFont="1" applyBorder="1" applyAlignment="1" applyProtection="1">
      <alignment horizontal="left"/>
      <protection locked="0"/>
    </xf>
    <xf numFmtId="175" fontId="64" fillId="0" borderId="0" xfId="5" applyNumberFormat="1" applyFont="1" applyBorder="1"/>
    <xf numFmtId="168" fontId="35" fillId="0" borderId="0" xfId="0" applyNumberFormat="1" applyFont="1" applyProtection="1">
      <protection locked="0"/>
    </xf>
    <xf numFmtId="0" fontId="156" fillId="0" borderId="0" xfId="0" applyFont="1" applyProtection="1">
      <protection locked="0"/>
    </xf>
    <xf numFmtId="178" fontId="64" fillId="0" borderId="0" xfId="0" applyNumberFormat="1" applyFont="1"/>
    <xf numFmtId="43" fontId="64" fillId="0" borderId="23" xfId="5" applyNumberFormat="1" applyFont="1" applyBorder="1"/>
    <xf numFmtId="44" fontId="64" fillId="0" borderId="0" xfId="5" applyFont="1" applyBorder="1"/>
    <xf numFmtId="0" fontId="64" fillId="0" borderId="0" xfId="5" applyNumberFormat="1" applyFont="1" applyBorder="1"/>
    <xf numFmtId="181" fontId="77" fillId="0" borderId="0" xfId="0" applyNumberFormat="1" applyFont="1" applyProtection="1">
      <protection locked="0"/>
    </xf>
    <xf numFmtId="172" fontId="75" fillId="0" borderId="0" xfId="0" applyNumberFormat="1" applyFont="1"/>
    <xf numFmtId="10" fontId="109" fillId="8" borderId="25" xfId="3" applyNumberFormat="1" applyFont="1" applyFill="1" applyBorder="1"/>
    <xf numFmtId="10" fontId="109" fillId="0" borderId="0" xfId="3" applyNumberFormat="1" applyFont="1"/>
    <xf numFmtId="43" fontId="7" fillId="52" borderId="17" xfId="4" applyFont="1" applyFill="1" applyBorder="1"/>
    <xf numFmtId="41" fontId="113" fillId="0" borderId="0" xfId="0" applyNumberFormat="1" applyFont="1"/>
    <xf numFmtId="170" fontId="7" fillId="10" borderId="4" xfId="0" applyNumberFormat="1" applyFont="1" applyFill="1" applyBorder="1"/>
    <xf numFmtId="182" fontId="127" fillId="0" borderId="0" xfId="0" applyNumberFormat="1" applyFont="1"/>
    <xf numFmtId="3" fontId="19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38" fontId="15" fillId="0" borderId="28" xfId="0" applyNumberFormat="1" applyFont="1" applyBorder="1"/>
    <xf numFmtId="41" fontId="86" fillId="18" borderId="6" xfId="0" applyNumberFormat="1" applyFont="1" applyFill="1" applyBorder="1" applyAlignment="1" applyProtection="1">
      <alignment horizontal="center"/>
      <protection locked="0"/>
    </xf>
    <xf numFmtId="41" fontId="86" fillId="18" borderId="7" xfId="0" applyNumberFormat="1" applyFont="1" applyFill="1" applyBorder="1" applyAlignment="1" applyProtection="1">
      <alignment horizontal="center"/>
      <protection locked="0"/>
    </xf>
    <xf numFmtId="43" fontId="64" fillId="0" borderId="27" xfId="0" applyNumberFormat="1" applyFont="1" applyBorder="1"/>
    <xf numFmtId="1" fontId="66" fillId="2" borderId="27" xfId="0" applyNumberFormat="1" applyFont="1" applyFill="1" applyBorder="1" applyAlignment="1">
      <alignment horizontal="center"/>
    </xf>
    <xf numFmtId="1" fontId="66" fillId="2" borderId="34" xfId="0" applyNumberFormat="1" applyFont="1" applyFill="1" applyBorder="1" applyAlignment="1">
      <alignment horizontal="center"/>
    </xf>
    <xf numFmtId="43" fontId="67" fillId="0" borderId="27" xfId="0" applyNumberFormat="1" applyFont="1" applyBorder="1"/>
    <xf numFmtId="43" fontId="68" fillId="0" borderId="27" xfId="0" applyNumberFormat="1" applyFont="1" applyBorder="1"/>
    <xf numFmtId="43" fontId="64" fillId="0" borderId="63" xfId="0" applyNumberFormat="1" applyFont="1" applyBorder="1"/>
    <xf numFmtId="43" fontId="66" fillId="0" borderId="98" xfId="0" applyNumberFormat="1" applyFont="1" applyBorder="1"/>
    <xf numFmtId="43" fontId="4" fillId="17" borderId="27" xfId="0" applyNumberFormat="1" applyFont="1" applyFill="1" applyBorder="1"/>
    <xf numFmtId="43" fontId="4" fillId="0" borderId="27" xfId="0" applyNumberFormat="1" applyFont="1" applyBorder="1"/>
    <xf numFmtId="43" fontId="70" fillId="0" borderId="27" xfId="0" applyNumberFormat="1" applyFont="1" applyBorder="1"/>
    <xf numFmtId="0" fontId="64" fillId="0" borderId="27" xfId="0" applyFont="1" applyBorder="1"/>
    <xf numFmtId="172" fontId="86" fillId="0" borderId="0" xfId="0" applyNumberFormat="1" applyFont="1" applyAlignment="1" applyProtection="1">
      <alignment horizontal="center"/>
      <protection locked="0"/>
    </xf>
    <xf numFmtId="181" fontId="86" fillId="0" borderId="0" xfId="0" applyNumberFormat="1" applyFont="1" applyAlignment="1" applyProtection="1">
      <alignment horizontal="center"/>
      <protection locked="0"/>
    </xf>
    <xf numFmtId="43" fontId="157" fillId="0" borderId="0" xfId="4" applyFont="1"/>
    <xf numFmtId="184" fontId="77" fillId="0" borderId="0" xfId="3" applyNumberFormat="1" applyFont="1" applyProtection="1">
      <protection locked="0"/>
    </xf>
    <xf numFmtId="172" fontId="77" fillId="0" borderId="0" xfId="0" applyNumberFormat="1" applyFont="1" applyProtection="1">
      <protection locked="0"/>
    </xf>
    <xf numFmtId="183" fontId="110" fillId="56" borderId="0" xfId="3" applyNumberFormat="1" applyFont="1" applyFill="1"/>
    <xf numFmtId="1" fontId="113" fillId="0" borderId="0" xfId="0" applyNumberFormat="1" applyFont="1"/>
    <xf numFmtId="43" fontId="73" fillId="0" borderId="4" xfId="0" applyNumberFormat="1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181" fontId="73" fillId="0" borderId="6" xfId="0" applyNumberFormat="1" applyFont="1" applyBorder="1" applyAlignment="1" applyProtection="1">
      <alignment horizontal="center"/>
      <protection locked="0"/>
    </xf>
    <xf numFmtId="175" fontId="7" fillId="52" borderId="17" xfId="5" applyNumberFormat="1" applyFont="1" applyFill="1" applyBorder="1"/>
    <xf numFmtId="43" fontId="5" fillId="57" borderId="4" xfId="4" applyFont="1" applyFill="1" applyBorder="1" applyAlignment="1">
      <alignment horizontal="center"/>
    </xf>
    <xf numFmtId="41" fontId="83" fillId="0" borderId="3" xfId="0" applyNumberFormat="1" applyFont="1" applyBorder="1" applyAlignment="1" applyProtection="1">
      <alignment horizontal="center"/>
      <protection locked="0"/>
    </xf>
    <xf numFmtId="41" fontId="86" fillId="20" borderId="0" xfId="0" applyNumberFormat="1" applyFont="1" applyFill="1" applyAlignment="1" applyProtection="1">
      <alignment horizontal="center"/>
      <protection locked="0"/>
    </xf>
    <xf numFmtId="41" fontId="80" fillId="20" borderId="0" xfId="0" applyNumberFormat="1" applyFont="1" applyFill="1" applyProtection="1">
      <protection locked="0"/>
    </xf>
    <xf numFmtId="41" fontId="86" fillId="20" borderId="3" xfId="0" applyNumberFormat="1" applyFont="1" applyFill="1" applyBorder="1" applyAlignment="1" applyProtection="1">
      <alignment horizontal="center"/>
      <protection locked="0"/>
    </xf>
    <xf numFmtId="41" fontId="86" fillId="0" borderId="0" xfId="0" quotePrefix="1" applyNumberFormat="1" applyFont="1" applyProtection="1">
      <protection locked="0"/>
    </xf>
    <xf numFmtId="41" fontId="83" fillId="0" borderId="0" xfId="0" applyNumberFormat="1" applyFont="1"/>
    <xf numFmtId="41" fontId="83" fillId="7" borderId="11" xfId="0" applyNumberFormat="1" applyFont="1" applyFill="1" applyBorder="1"/>
    <xf numFmtId="41" fontId="83" fillId="0" borderId="9" xfId="0" applyNumberFormat="1" applyFont="1" applyBorder="1" applyAlignment="1" applyProtection="1">
      <alignment horizontal="center"/>
      <protection locked="0"/>
    </xf>
    <xf numFmtId="41" fontId="86" fillId="0" borderId="9" xfId="0" applyNumberFormat="1" applyFont="1" applyBorder="1" applyAlignment="1" applyProtection="1">
      <alignment horizontal="center"/>
      <protection locked="0"/>
    </xf>
    <xf numFmtId="41" fontId="83" fillId="0" borderId="0" xfId="0" applyNumberFormat="1" applyFont="1" applyAlignment="1">
      <alignment horizontal="center" wrapText="1"/>
    </xf>
    <xf numFmtId="41" fontId="89" fillId="0" borderId="0" xfId="0" applyNumberFormat="1" applyFont="1"/>
    <xf numFmtId="41" fontId="97" fillId="7" borderId="13" xfId="0" applyNumberFormat="1" applyFont="1" applyFill="1" applyBorder="1"/>
    <xf numFmtId="41" fontId="80" fillId="7" borderId="13" xfId="0" applyNumberFormat="1" applyFont="1" applyFill="1" applyBorder="1" applyAlignment="1" applyProtection="1">
      <alignment horizontal="center"/>
      <protection locked="0"/>
    </xf>
    <xf numFmtId="181" fontId="73" fillId="0" borderId="0" xfId="0" applyNumberFormat="1" applyFont="1" applyAlignment="1" applyProtection="1">
      <alignment horizontal="center"/>
      <protection locked="0"/>
    </xf>
    <xf numFmtId="41" fontId="83" fillId="0" borderId="23" xfId="0" applyNumberFormat="1" applyFont="1" applyBorder="1" applyAlignment="1">
      <alignment horizontal="center"/>
    </xf>
    <xf numFmtId="41" fontId="73" fillId="0" borderId="3" xfId="0" applyNumberFormat="1" applyFont="1" applyBorder="1" applyAlignment="1" applyProtection="1">
      <alignment horizontal="center"/>
      <protection locked="0"/>
    </xf>
    <xf numFmtId="41" fontId="86" fillId="0" borderId="0" xfId="0" applyNumberFormat="1" applyFont="1"/>
    <xf numFmtId="41" fontId="83" fillId="7" borderId="13" xfId="0" applyNumberFormat="1" applyFont="1" applyFill="1" applyBorder="1"/>
    <xf numFmtId="41" fontId="87" fillId="0" borderId="0" xfId="0" applyNumberFormat="1" applyFont="1"/>
    <xf numFmtId="41" fontId="86" fillId="54" borderId="0" xfId="0" applyNumberFormat="1" applyFont="1" applyFill="1" applyAlignment="1">
      <alignment horizontal="center"/>
    </xf>
    <xf numFmtId="41" fontId="83" fillId="54" borderId="0" xfId="0" applyNumberFormat="1" applyFont="1" applyFill="1" applyAlignment="1">
      <alignment horizontal="center"/>
    </xf>
    <xf numFmtId="41" fontId="145" fillId="54" borderId="0" xfId="0" applyNumberFormat="1" applyFont="1" applyFill="1" applyProtection="1">
      <protection locked="0"/>
    </xf>
    <xf numFmtId="41" fontId="86" fillId="54" borderId="9" xfId="0" applyNumberFormat="1" applyFont="1" applyFill="1" applyBorder="1" applyAlignment="1" applyProtection="1">
      <alignment horizontal="center"/>
      <protection locked="0"/>
    </xf>
    <xf numFmtId="41" fontId="86" fillId="54" borderId="0" xfId="0" applyNumberFormat="1" applyFont="1" applyFill="1" applyAlignment="1" applyProtection="1">
      <alignment horizontal="center"/>
      <protection locked="0"/>
    </xf>
    <xf numFmtId="41" fontId="86" fillId="0" borderId="3" xfId="0" applyNumberFormat="1" applyFont="1" applyBorder="1" applyAlignment="1">
      <alignment horizontal="center"/>
    </xf>
    <xf numFmtId="41" fontId="83" fillId="7" borderId="11" xfId="0" applyNumberFormat="1" applyFont="1" applyFill="1" applyBorder="1" applyAlignment="1">
      <alignment horizontal="center"/>
    </xf>
    <xf numFmtId="41" fontId="93" fillId="7" borderId="58" xfId="0" applyNumberFormat="1" applyFont="1" applyFill="1" applyBorder="1"/>
    <xf numFmtId="41" fontId="86" fillId="0" borderId="15" xfId="0" applyNumberFormat="1" applyFont="1" applyBorder="1" applyAlignment="1" applyProtection="1">
      <alignment horizontal="center"/>
      <protection locked="0"/>
    </xf>
    <xf numFmtId="41" fontId="83" fillId="0" borderId="17" xfId="0" applyNumberFormat="1" applyFont="1" applyBorder="1" applyAlignment="1">
      <alignment horizontal="center"/>
    </xf>
    <xf numFmtId="41" fontId="93" fillId="7" borderId="11" xfId="0" applyNumberFormat="1" applyFont="1" applyFill="1" applyBorder="1"/>
    <xf numFmtId="41" fontId="83" fillId="7" borderId="13" xfId="0" applyNumberFormat="1" applyFont="1" applyFill="1" applyBorder="1" applyAlignment="1" applyProtection="1">
      <alignment horizontal="center"/>
      <protection locked="0"/>
    </xf>
    <xf numFmtId="41" fontId="102" fillId="0" borderId="0" xfId="0" quotePrefix="1" applyNumberFormat="1" applyFont="1" applyAlignment="1" applyProtection="1">
      <alignment horizontal="center"/>
      <protection locked="0"/>
    </xf>
    <xf numFmtId="164" fontId="73" fillId="3" borderId="99" xfId="0" applyNumberFormat="1" applyFont="1" applyFill="1" applyBorder="1" applyAlignment="1" applyProtection="1">
      <alignment horizontal="center"/>
      <protection locked="0"/>
    </xf>
    <xf numFmtId="164" fontId="73" fillId="3" borderId="100" xfId="0" applyNumberFormat="1" applyFont="1" applyFill="1" applyBorder="1" applyAlignment="1" applyProtection="1">
      <alignment horizontal="center"/>
      <protection locked="0"/>
    </xf>
    <xf numFmtId="41" fontId="73" fillId="0" borderId="101" xfId="0" applyNumberFormat="1" applyFont="1" applyBorder="1" applyAlignment="1" applyProtection="1">
      <alignment horizontal="center"/>
      <protection locked="0"/>
    </xf>
    <xf numFmtId="41" fontId="86" fillId="0" borderId="101" xfId="0" applyNumberFormat="1" applyFont="1" applyBorder="1" applyAlignment="1">
      <alignment horizontal="center"/>
    </xf>
    <xf numFmtId="41" fontId="83" fillId="0" borderId="102" xfId="0" applyNumberFormat="1" applyFont="1" applyBorder="1" applyAlignment="1" applyProtection="1">
      <alignment horizontal="center"/>
      <protection locked="0"/>
    </xf>
    <xf numFmtId="41" fontId="86" fillId="0" borderId="101" xfId="0" applyNumberFormat="1" applyFont="1" applyBorder="1" applyProtection="1">
      <protection locked="0"/>
    </xf>
    <xf numFmtId="41" fontId="83" fillId="0" borderId="101" xfId="0" applyNumberFormat="1" applyFont="1" applyBorder="1" applyAlignment="1">
      <alignment horizontal="center"/>
    </xf>
    <xf numFmtId="41" fontId="86" fillId="0" borderId="102" xfId="0" applyNumberFormat="1" applyFont="1" applyBorder="1" applyAlignment="1" applyProtection="1">
      <alignment horizontal="center"/>
      <protection locked="0"/>
    </xf>
    <xf numFmtId="41" fontId="86" fillId="0" borderId="101" xfId="0" applyNumberFormat="1" applyFont="1" applyBorder="1" applyAlignment="1" applyProtection="1">
      <alignment horizontal="center"/>
      <protection locked="0"/>
    </xf>
    <xf numFmtId="41" fontId="86" fillId="20" borderId="101" xfId="0" applyNumberFormat="1" applyFont="1" applyFill="1" applyBorder="1" applyAlignment="1" applyProtection="1">
      <alignment horizontal="center"/>
      <protection locked="0"/>
    </xf>
    <xf numFmtId="41" fontId="86" fillId="20" borderId="101" xfId="0" applyNumberFormat="1" applyFont="1" applyFill="1" applyBorder="1" applyAlignment="1">
      <alignment horizontal="center"/>
    </xf>
    <xf numFmtId="41" fontId="80" fillId="20" borderId="101" xfId="0" applyNumberFormat="1" applyFont="1" applyFill="1" applyBorder="1" applyProtection="1">
      <protection locked="0"/>
    </xf>
    <xf numFmtId="41" fontId="86" fillId="20" borderId="102" xfId="0" applyNumberFormat="1" applyFont="1" applyFill="1" applyBorder="1" applyAlignment="1" applyProtection="1">
      <alignment horizontal="center"/>
      <protection locked="0"/>
    </xf>
    <xf numFmtId="41" fontId="83" fillId="0" borderId="101" xfId="0" applyNumberFormat="1" applyFont="1" applyBorder="1" applyAlignment="1" applyProtection="1">
      <alignment horizontal="center"/>
      <protection locked="0"/>
    </xf>
    <xf numFmtId="41" fontId="86" fillId="0" borderId="101" xfId="0" quotePrefix="1" applyNumberFormat="1" applyFont="1" applyBorder="1" applyProtection="1">
      <protection locked="0"/>
    </xf>
    <xf numFmtId="41" fontId="83" fillId="0" borderId="101" xfId="0" applyNumberFormat="1" applyFont="1" applyBorder="1"/>
    <xf numFmtId="41" fontId="83" fillId="7" borderId="103" xfId="0" applyNumberFormat="1" applyFont="1" applyFill="1" applyBorder="1"/>
    <xf numFmtId="41" fontId="83" fillId="0" borderId="102" xfId="0" applyNumberFormat="1" applyFont="1" applyBorder="1" applyAlignment="1">
      <alignment horizontal="center"/>
    </xf>
    <xf numFmtId="41" fontId="83" fillId="0" borderId="101" xfId="0" applyNumberFormat="1" applyFont="1" applyBorder="1" applyAlignment="1">
      <alignment horizontal="center" wrapText="1"/>
    </xf>
    <xf numFmtId="41" fontId="89" fillId="0" borderId="101" xfId="0" applyNumberFormat="1" applyFont="1" applyBorder="1"/>
    <xf numFmtId="41" fontId="97" fillId="7" borderId="103" xfId="0" applyNumberFormat="1" applyFont="1" applyFill="1" applyBorder="1"/>
    <xf numFmtId="41" fontId="80" fillId="7" borderId="103" xfId="0" applyNumberFormat="1" applyFont="1" applyFill="1" applyBorder="1" applyAlignment="1" applyProtection="1">
      <alignment horizontal="center"/>
      <protection locked="0"/>
    </xf>
    <xf numFmtId="181" fontId="73" fillId="0" borderId="101" xfId="0" applyNumberFormat="1" applyFont="1" applyBorder="1" applyAlignment="1" applyProtection="1">
      <alignment horizontal="center"/>
      <protection locked="0"/>
    </xf>
    <xf numFmtId="41" fontId="83" fillId="0" borderId="104" xfId="0" applyNumberFormat="1" applyFont="1" applyBorder="1" applyAlignment="1">
      <alignment horizontal="center"/>
    </xf>
    <xf numFmtId="41" fontId="73" fillId="0" borderId="102" xfId="0" applyNumberFormat="1" applyFont="1" applyBorder="1" applyAlignment="1" applyProtection="1">
      <alignment horizontal="center"/>
      <protection locked="0"/>
    </xf>
    <xf numFmtId="41" fontId="86" fillId="0" borderId="101" xfId="0" applyNumberFormat="1" applyFont="1" applyBorder="1"/>
    <xf numFmtId="0" fontId="73" fillId="20" borderId="105" xfId="0" applyFont="1" applyFill="1" applyBorder="1"/>
    <xf numFmtId="41" fontId="73" fillId="20" borderId="105" xfId="0" applyNumberFormat="1" applyFont="1" applyFill="1" applyBorder="1" applyProtection="1">
      <protection locked="0"/>
    </xf>
    <xf numFmtId="41" fontId="87" fillId="0" borderId="101" xfId="0" applyNumberFormat="1" applyFont="1" applyBorder="1"/>
    <xf numFmtId="41" fontId="80" fillId="0" borderId="101" xfId="0" applyNumberFormat="1" applyFont="1" applyBorder="1" applyAlignment="1" applyProtection="1">
      <alignment horizontal="center"/>
      <protection locked="0"/>
    </xf>
    <xf numFmtId="41" fontId="86" fillId="54" borderId="101" xfId="0" applyNumberFormat="1" applyFont="1" applyFill="1" applyBorder="1" applyAlignment="1">
      <alignment horizontal="center"/>
    </xf>
    <xf numFmtId="41" fontId="83" fillId="54" borderId="101" xfId="0" applyNumberFormat="1" applyFont="1" applyFill="1" applyBorder="1" applyAlignment="1">
      <alignment horizontal="center"/>
    </xf>
    <xf numFmtId="41" fontId="145" fillId="54" borderId="101" xfId="0" applyNumberFormat="1" applyFont="1" applyFill="1" applyBorder="1" applyProtection="1">
      <protection locked="0"/>
    </xf>
    <xf numFmtId="41" fontId="86" fillId="54" borderId="102" xfId="0" applyNumberFormat="1" applyFont="1" applyFill="1" applyBorder="1" applyAlignment="1" applyProtection="1">
      <alignment horizontal="center"/>
      <protection locked="0"/>
    </xf>
    <xf numFmtId="41" fontId="86" fillId="54" borderId="101" xfId="0" applyNumberFormat="1" applyFont="1" applyFill="1" applyBorder="1" applyAlignment="1" applyProtection="1">
      <alignment horizontal="center"/>
      <protection locked="0"/>
    </xf>
    <xf numFmtId="41" fontId="86" fillId="0" borderId="102" xfId="0" applyNumberFormat="1" applyFont="1" applyBorder="1" applyAlignment="1">
      <alignment horizontal="center"/>
    </xf>
    <xf numFmtId="41" fontId="83" fillId="7" borderId="103" xfId="0" applyNumberFormat="1" applyFont="1" applyFill="1" applyBorder="1" applyAlignment="1">
      <alignment horizontal="center"/>
    </xf>
    <xf numFmtId="41" fontId="93" fillId="7" borderId="106" xfId="0" applyNumberFormat="1" applyFont="1" applyFill="1" applyBorder="1"/>
    <xf numFmtId="41" fontId="86" fillId="0" borderId="105" xfId="0" applyNumberFormat="1" applyFont="1" applyBorder="1" applyAlignment="1" applyProtection="1">
      <alignment horizontal="center"/>
      <protection locked="0"/>
    </xf>
    <xf numFmtId="41" fontId="73" fillId="0" borderId="105" xfId="0" applyNumberFormat="1" applyFont="1" applyBorder="1" applyAlignment="1" applyProtection="1">
      <alignment horizontal="center"/>
      <protection locked="0"/>
    </xf>
    <xf numFmtId="41" fontId="86" fillId="0" borderId="107" xfId="0" applyNumberFormat="1" applyFont="1" applyBorder="1" applyAlignment="1" applyProtection="1">
      <alignment horizontal="center"/>
      <protection locked="0"/>
    </xf>
    <xf numFmtId="41" fontId="83" fillId="0" borderId="107" xfId="0" applyNumberFormat="1" applyFont="1" applyBorder="1" applyAlignment="1">
      <alignment horizontal="center"/>
    </xf>
    <xf numFmtId="41" fontId="93" fillId="7" borderId="103" xfId="0" applyNumberFormat="1" applyFont="1" applyFill="1" applyBorder="1"/>
    <xf numFmtId="41" fontId="83" fillId="0" borderId="105" xfId="0" applyNumberFormat="1" applyFont="1" applyBorder="1" applyAlignment="1" applyProtection="1">
      <alignment horizontal="center"/>
      <protection locked="0"/>
    </xf>
    <xf numFmtId="41" fontId="83" fillId="7" borderId="103" xfId="0" applyNumberFormat="1" applyFont="1" applyFill="1" applyBorder="1" applyAlignment="1" applyProtection="1">
      <alignment horizontal="center"/>
      <protection locked="0"/>
    </xf>
    <xf numFmtId="41" fontId="83" fillId="0" borderId="100" xfId="0" applyNumberFormat="1" applyFont="1" applyBorder="1" applyAlignment="1" applyProtection="1">
      <alignment horizontal="center"/>
      <protection locked="0"/>
    </xf>
    <xf numFmtId="41" fontId="102" fillId="0" borderId="101" xfId="0" quotePrefix="1" applyNumberFormat="1" applyFont="1" applyBorder="1" applyAlignment="1" applyProtection="1">
      <alignment horizontal="center"/>
      <protection locked="0"/>
    </xf>
    <xf numFmtId="164" fontId="159" fillId="3" borderId="21" xfId="0" applyNumberFormat="1" applyFont="1" applyFill="1" applyBorder="1" applyAlignment="1" applyProtection="1">
      <alignment horizontal="center"/>
      <protection locked="0"/>
    </xf>
    <xf numFmtId="41" fontId="151" fillId="0" borderId="33" xfId="0" applyNumberFormat="1" applyFont="1" applyBorder="1"/>
    <xf numFmtId="41" fontId="151" fillId="0" borderId="0" xfId="0" applyNumberFormat="1" applyFont="1"/>
    <xf numFmtId="41" fontId="151" fillId="0" borderId="21" xfId="0" applyNumberFormat="1" applyFont="1" applyBorder="1"/>
    <xf numFmtId="164" fontId="30" fillId="3" borderId="33" xfId="0" applyNumberFormat="1" applyFont="1" applyFill="1" applyBorder="1" applyAlignment="1" applyProtection="1">
      <alignment horizontal="center"/>
      <protection locked="0"/>
    </xf>
    <xf numFmtId="164" fontId="30" fillId="3" borderId="21" xfId="0" applyNumberFormat="1" applyFont="1" applyFill="1" applyBorder="1" applyAlignment="1" applyProtection="1">
      <alignment horizontal="center"/>
      <protection locked="0"/>
    </xf>
    <xf numFmtId="41" fontId="30" fillId="0" borderId="6" xfId="0" applyNumberFormat="1" applyFont="1" applyBorder="1" applyAlignment="1" applyProtection="1">
      <alignment horizontal="center"/>
      <protection locked="0"/>
    </xf>
    <xf numFmtId="41" fontId="164" fillId="0" borderId="6" xfId="0" applyNumberFormat="1" applyFont="1" applyBorder="1" applyAlignment="1">
      <alignment horizontal="center"/>
    </xf>
    <xf numFmtId="41" fontId="165" fillId="0" borderId="7" xfId="0" applyNumberFormat="1" applyFont="1" applyBorder="1" applyAlignment="1" applyProtection="1">
      <alignment horizontal="center"/>
      <protection locked="0"/>
    </xf>
    <xf numFmtId="41" fontId="164" fillId="0" borderId="6" xfId="0" applyNumberFormat="1" applyFont="1" applyBorder="1" applyProtection="1">
      <protection locked="0"/>
    </xf>
    <xf numFmtId="41" fontId="165" fillId="0" borderId="6" xfId="0" applyNumberFormat="1" applyFont="1" applyBorder="1" applyAlignment="1">
      <alignment horizontal="center"/>
    </xf>
    <xf numFmtId="41" fontId="164" fillId="0" borderId="7" xfId="0" applyNumberFormat="1" applyFont="1" applyBorder="1" applyAlignment="1" applyProtection="1">
      <alignment horizontal="center"/>
      <protection locked="0"/>
    </xf>
    <xf numFmtId="41" fontId="164" fillId="0" borderId="6" xfId="0" applyNumberFormat="1" applyFont="1" applyBorder="1" applyAlignment="1" applyProtection="1">
      <alignment horizontal="center"/>
      <protection locked="0"/>
    </xf>
    <xf numFmtId="41" fontId="164" fillId="20" borderId="6" xfId="0" applyNumberFormat="1" applyFont="1" applyFill="1" applyBorder="1" applyAlignment="1" applyProtection="1">
      <alignment horizontal="center"/>
      <protection locked="0"/>
    </xf>
    <xf numFmtId="41" fontId="164" fillId="20" borderId="6" xfId="0" applyNumberFormat="1" applyFont="1" applyFill="1" applyBorder="1" applyAlignment="1">
      <alignment horizontal="center"/>
    </xf>
    <xf numFmtId="41" fontId="151" fillId="20" borderId="6" xfId="0" applyNumberFormat="1" applyFont="1" applyFill="1" applyBorder="1" applyProtection="1">
      <protection locked="0"/>
    </xf>
    <xf numFmtId="41" fontId="164" fillId="20" borderId="7" xfId="0" applyNumberFormat="1" applyFont="1" applyFill="1" applyBorder="1" applyAlignment="1" applyProtection="1">
      <alignment horizontal="center"/>
      <protection locked="0"/>
    </xf>
    <xf numFmtId="41" fontId="165" fillId="0" borderId="6" xfId="0" applyNumberFormat="1" applyFont="1" applyBorder="1" applyAlignment="1" applyProtection="1">
      <alignment horizontal="center"/>
      <protection locked="0"/>
    </xf>
    <xf numFmtId="41" fontId="165" fillId="0" borderId="4" xfId="0" applyNumberFormat="1" applyFont="1" applyBorder="1" applyAlignment="1">
      <alignment horizontal="center"/>
    </xf>
    <xf numFmtId="41" fontId="164" fillId="0" borderId="6" xfId="0" quotePrefix="1" applyNumberFormat="1" applyFont="1" applyBorder="1" applyProtection="1">
      <protection locked="0"/>
    </xf>
    <xf numFmtId="41" fontId="165" fillId="0" borderId="6" xfId="0" applyNumberFormat="1" applyFont="1" applyBorder="1"/>
    <xf numFmtId="41" fontId="165" fillId="7" borderId="10" xfId="0" applyNumberFormat="1" applyFont="1" applyFill="1" applyBorder="1"/>
    <xf numFmtId="41" fontId="165" fillId="0" borderId="2" xfId="0" applyNumberFormat="1" applyFont="1" applyBorder="1" applyAlignment="1" applyProtection="1">
      <alignment horizontal="center"/>
      <protection locked="0"/>
    </xf>
    <xf numFmtId="41" fontId="164" fillId="0" borderId="2" xfId="0" applyNumberFormat="1" applyFont="1" applyBorder="1" applyAlignment="1" applyProtection="1">
      <alignment horizontal="center"/>
      <protection locked="0"/>
    </xf>
    <xf numFmtId="41" fontId="165" fillId="0" borderId="7" xfId="0" applyNumberFormat="1" applyFont="1" applyBorder="1" applyAlignment="1">
      <alignment horizontal="center"/>
    </xf>
    <xf numFmtId="41" fontId="165" fillId="0" borderId="6" xfId="0" applyNumberFormat="1" applyFont="1" applyBorder="1" applyAlignment="1">
      <alignment horizontal="center" wrapText="1"/>
    </xf>
    <xf numFmtId="41" fontId="166" fillId="0" borderId="6" xfId="0" applyNumberFormat="1" applyFont="1" applyBorder="1"/>
    <xf numFmtId="41" fontId="167" fillId="7" borderId="12" xfId="0" applyNumberFormat="1" applyFont="1" applyFill="1" applyBorder="1"/>
    <xf numFmtId="41" fontId="151" fillId="7" borderId="12" xfId="0" applyNumberFormat="1" applyFont="1" applyFill="1" applyBorder="1" applyAlignment="1" applyProtection="1">
      <alignment horizontal="center"/>
      <protection locked="0"/>
    </xf>
    <xf numFmtId="181" fontId="30" fillId="0" borderId="6" xfId="0" applyNumberFormat="1" applyFont="1" applyBorder="1" applyAlignment="1" applyProtection="1">
      <alignment horizontal="center"/>
      <protection locked="0"/>
    </xf>
    <xf numFmtId="41" fontId="165" fillId="0" borderId="5" xfId="0" applyNumberFormat="1" applyFont="1" applyBorder="1" applyAlignment="1">
      <alignment horizontal="center"/>
    </xf>
    <xf numFmtId="41" fontId="30" fillId="0" borderId="7" xfId="0" applyNumberFormat="1" applyFont="1" applyBorder="1" applyAlignment="1" applyProtection="1">
      <alignment horizontal="center"/>
      <protection locked="0"/>
    </xf>
    <xf numFmtId="41" fontId="165" fillId="0" borderId="4" xfId="0" applyNumberFormat="1" applyFont="1" applyBorder="1"/>
    <xf numFmtId="41" fontId="164" fillId="0" borderId="6" xfId="0" applyNumberFormat="1" applyFont="1" applyBorder="1"/>
    <xf numFmtId="41" fontId="165" fillId="7" borderId="12" xfId="0" applyNumberFormat="1" applyFont="1" applyFill="1" applyBorder="1"/>
    <xf numFmtId="0" fontId="30" fillId="20" borderId="0" xfId="0" applyFont="1" applyFill="1"/>
    <xf numFmtId="41" fontId="30" fillId="20" borderId="0" xfId="0" applyNumberFormat="1" applyFont="1" applyFill="1" applyProtection="1">
      <protection locked="0"/>
    </xf>
    <xf numFmtId="41" fontId="168" fillId="0" borderId="6" xfId="0" applyNumberFormat="1" applyFont="1" applyBorder="1"/>
    <xf numFmtId="41" fontId="151" fillId="0" borderId="6" xfId="0" applyNumberFormat="1" applyFont="1" applyBorder="1" applyAlignment="1" applyProtection="1">
      <alignment horizontal="center"/>
      <protection locked="0"/>
    </xf>
    <xf numFmtId="41" fontId="164" fillId="0" borderId="4" xfId="0" applyNumberFormat="1" applyFont="1" applyBorder="1" applyAlignment="1">
      <alignment horizontal="center"/>
    </xf>
    <xf numFmtId="41" fontId="164" fillId="54" borderId="6" xfId="0" applyNumberFormat="1" applyFont="1" applyFill="1" applyBorder="1" applyAlignment="1">
      <alignment horizontal="center"/>
    </xf>
    <xf numFmtId="41" fontId="165" fillId="54" borderId="6" xfId="0" applyNumberFormat="1" applyFont="1" applyFill="1" applyBorder="1" applyAlignment="1">
      <alignment horizontal="center"/>
    </xf>
    <xf numFmtId="41" fontId="169" fillId="54" borderId="6" xfId="0" applyNumberFormat="1" applyFont="1" applyFill="1" applyBorder="1" applyProtection="1">
      <protection locked="0"/>
    </xf>
    <xf numFmtId="41" fontId="164" fillId="54" borderId="2" xfId="0" applyNumberFormat="1" applyFont="1" applyFill="1" applyBorder="1" applyAlignment="1" applyProtection="1">
      <alignment horizontal="center"/>
      <protection locked="0"/>
    </xf>
    <xf numFmtId="41" fontId="164" fillId="54" borderId="6" xfId="0" applyNumberFormat="1" applyFont="1" applyFill="1" applyBorder="1" applyAlignment="1" applyProtection="1">
      <alignment horizontal="center"/>
      <protection locked="0"/>
    </xf>
    <xf numFmtId="41" fontId="164" fillId="0" borderId="7" xfId="0" applyNumberFormat="1" applyFont="1" applyBorder="1" applyAlignment="1">
      <alignment horizontal="center"/>
    </xf>
    <xf numFmtId="41" fontId="165" fillId="7" borderId="10" xfId="0" applyNumberFormat="1" applyFont="1" applyFill="1" applyBorder="1" applyAlignment="1">
      <alignment horizontal="center"/>
    </xf>
    <xf numFmtId="41" fontId="170" fillId="7" borderId="48" xfId="0" applyNumberFormat="1" applyFont="1" applyFill="1" applyBorder="1"/>
    <xf numFmtId="41" fontId="164" fillId="0" borderId="0" xfId="0" applyNumberFormat="1" applyFont="1" applyAlignment="1" applyProtection="1">
      <alignment horizontal="center"/>
      <protection locked="0"/>
    </xf>
    <xf numFmtId="41" fontId="30" fillId="0" borderId="0" xfId="0" applyNumberFormat="1" applyFont="1" applyAlignment="1" applyProtection="1">
      <alignment horizontal="center"/>
      <protection locked="0"/>
    </xf>
    <xf numFmtId="41" fontId="164" fillId="0" borderId="20" xfId="0" applyNumberFormat="1" applyFont="1" applyBorder="1" applyAlignment="1" applyProtection="1">
      <alignment horizontal="center"/>
      <protection locked="0"/>
    </xf>
    <xf numFmtId="41" fontId="165" fillId="0" borderId="16" xfId="0" applyNumberFormat="1" applyFont="1" applyBorder="1" applyAlignment="1">
      <alignment horizontal="center"/>
    </xf>
    <xf numFmtId="41" fontId="170" fillId="7" borderId="10" xfId="0" applyNumberFormat="1" applyFont="1" applyFill="1" applyBorder="1"/>
    <xf numFmtId="41" fontId="165" fillId="0" borderId="0" xfId="0" applyNumberFormat="1" applyFont="1" applyAlignment="1" applyProtection="1">
      <alignment horizontal="center"/>
      <protection locked="0"/>
    </xf>
    <xf numFmtId="41" fontId="165" fillId="7" borderId="12" xfId="0" applyNumberFormat="1" applyFont="1" applyFill="1" applyBorder="1" applyAlignment="1" applyProtection="1">
      <alignment horizontal="center"/>
      <protection locked="0"/>
    </xf>
    <xf numFmtId="41" fontId="165" fillId="0" borderId="21" xfId="0" applyNumberFormat="1" applyFont="1" applyBorder="1" applyAlignment="1" applyProtection="1">
      <alignment horizontal="center"/>
      <protection locked="0"/>
    </xf>
    <xf numFmtId="41" fontId="171" fillId="0" borderId="6" xfId="0" quotePrefix="1" applyNumberFormat="1" applyFont="1" applyBorder="1" applyAlignment="1" applyProtection="1">
      <alignment horizontal="center"/>
      <protection locked="0"/>
    </xf>
    <xf numFmtId="41" fontId="30" fillId="0" borderId="0" xfId="0" applyNumberFormat="1" applyFont="1" applyProtection="1">
      <protection locked="0"/>
    </xf>
    <xf numFmtId="164" fontId="73" fillId="3" borderId="25" xfId="0" applyNumberFormat="1" applyFont="1" applyFill="1" applyBorder="1" applyAlignment="1" applyProtection="1">
      <alignment horizontal="center"/>
      <protection locked="0"/>
    </xf>
    <xf numFmtId="164" fontId="73" fillId="3" borderId="31" xfId="0" applyNumberFormat="1" applyFont="1" applyFill="1" applyBorder="1" applyAlignment="1" applyProtection="1">
      <alignment horizontal="center"/>
      <protection locked="0"/>
    </xf>
    <xf numFmtId="41" fontId="73" fillId="0" borderId="28" xfId="0" applyNumberFormat="1" applyFont="1" applyBorder="1" applyAlignment="1" applyProtection="1">
      <alignment horizontal="center"/>
      <protection locked="0"/>
    </xf>
    <xf numFmtId="41" fontId="86" fillId="0" borderId="28" xfId="0" applyNumberFormat="1" applyFont="1" applyBorder="1" applyAlignment="1">
      <alignment horizontal="center"/>
    </xf>
    <xf numFmtId="41" fontId="83" fillId="0" borderId="52" xfId="0" applyNumberFormat="1" applyFont="1" applyBorder="1" applyAlignment="1" applyProtection="1">
      <alignment horizontal="center"/>
      <protection locked="0"/>
    </xf>
    <xf numFmtId="41" fontId="86" fillId="0" borderId="28" xfId="0" applyNumberFormat="1" applyFont="1" applyBorder="1" applyProtection="1">
      <protection locked="0"/>
    </xf>
    <xf numFmtId="41" fontId="83" fillId="0" borderId="28" xfId="0" applyNumberFormat="1" applyFont="1" applyBorder="1" applyAlignment="1">
      <alignment horizontal="center"/>
    </xf>
    <xf numFmtId="41" fontId="86" fillId="0" borderId="52" xfId="0" applyNumberFormat="1" applyFont="1" applyBorder="1" applyAlignment="1" applyProtection="1">
      <alignment horizontal="center"/>
      <protection locked="0"/>
    </xf>
    <xf numFmtId="41" fontId="86" fillId="0" borderId="28" xfId="0" applyNumberFormat="1" applyFont="1" applyBorder="1" applyAlignment="1" applyProtection="1">
      <alignment horizontal="center"/>
      <protection locked="0"/>
    </xf>
    <xf numFmtId="41" fontId="86" fillId="20" borderId="28" xfId="0" applyNumberFormat="1" applyFont="1" applyFill="1" applyBorder="1" applyAlignment="1" applyProtection="1">
      <alignment horizontal="center"/>
      <protection locked="0"/>
    </xf>
    <xf numFmtId="41" fontId="86" fillId="20" borderId="28" xfId="0" applyNumberFormat="1" applyFont="1" applyFill="1" applyBorder="1" applyAlignment="1">
      <alignment horizontal="center"/>
    </xf>
    <xf numFmtId="41" fontId="80" fillId="20" borderId="28" xfId="0" applyNumberFormat="1" applyFont="1" applyFill="1" applyBorder="1" applyProtection="1">
      <protection locked="0"/>
    </xf>
    <xf numFmtId="41" fontId="86" fillId="20" borderId="52" xfId="0" applyNumberFormat="1" applyFont="1" applyFill="1" applyBorder="1" applyAlignment="1" applyProtection="1">
      <alignment horizontal="center"/>
      <protection locked="0"/>
    </xf>
    <xf numFmtId="41" fontId="83" fillId="0" borderId="28" xfId="0" applyNumberFormat="1" applyFont="1" applyBorder="1" applyAlignment="1" applyProtection="1">
      <alignment horizontal="center"/>
      <protection locked="0"/>
    </xf>
    <xf numFmtId="41" fontId="83" fillId="0" borderId="44" xfId="0" applyNumberFormat="1" applyFont="1" applyBorder="1" applyAlignment="1">
      <alignment horizontal="center"/>
    </xf>
    <xf numFmtId="41" fontId="86" fillId="0" borderId="28" xfId="0" quotePrefix="1" applyNumberFormat="1" applyFont="1" applyBorder="1" applyProtection="1">
      <protection locked="0"/>
    </xf>
    <xf numFmtId="41" fontId="83" fillId="0" borderId="28" xfId="0" applyNumberFormat="1" applyFont="1" applyBorder="1"/>
    <xf numFmtId="41" fontId="83" fillId="7" borderId="108" xfId="0" applyNumberFormat="1" applyFont="1" applyFill="1" applyBorder="1"/>
    <xf numFmtId="41" fontId="83" fillId="0" borderId="45" xfId="0" applyNumberFormat="1" applyFont="1" applyBorder="1" applyAlignment="1" applyProtection="1">
      <alignment horizontal="center"/>
      <protection locked="0"/>
    </xf>
    <xf numFmtId="41" fontId="86" fillId="0" borderId="45" xfId="0" applyNumberFormat="1" applyFont="1" applyBorder="1" applyAlignment="1" applyProtection="1">
      <alignment horizontal="center"/>
      <protection locked="0"/>
    </xf>
    <xf numFmtId="41" fontId="83" fillId="0" borderId="52" xfId="0" applyNumberFormat="1" applyFont="1" applyBorder="1" applyAlignment="1">
      <alignment horizontal="center"/>
    </xf>
    <xf numFmtId="41" fontId="83" fillId="0" borderId="28" xfId="0" applyNumberFormat="1" applyFont="1" applyBorder="1" applyAlignment="1">
      <alignment horizontal="center" wrapText="1"/>
    </xf>
    <xf numFmtId="41" fontId="89" fillId="0" borderId="28" xfId="0" applyNumberFormat="1" applyFont="1" applyBorder="1"/>
    <xf numFmtId="41" fontId="97" fillId="7" borderId="109" xfId="0" applyNumberFormat="1" applyFont="1" applyFill="1" applyBorder="1"/>
    <xf numFmtId="41" fontId="80" fillId="7" borderId="109" xfId="0" applyNumberFormat="1" applyFont="1" applyFill="1" applyBorder="1" applyAlignment="1" applyProtection="1">
      <alignment horizontal="center"/>
      <protection locked="0"/>
    </xf>
    <xf numFmtId="181" fontId="73" fillId="0" borderId="28" xfId="0" applyNumberFormat="1" applyFont="1" applyBorder="1" applyAlignment="1" applyProtection="1">
      <alignment horizontal="center"/>
      <protection locked="0"/>
    </xf>
    <xf numFmtId="41" fontId="83" fillId="0" borderId="70" xfId="0" applyNumberFormat="1" applyFont="1" applyBorder="1" applyAlignment="1">
      <alignment horizontal="center"/>
    </xf>
    <xf numFmtId="41" fontId="73" fillId="0" borderId="52" xfId="0" applyNumberFormat="1" applyFont="1" applyBorder="1" applyAlignment="1" applyProtection="1">
      <alignment horizontal="center"/>
      <protection locked="0"/>
    </xf>
    <xf numFmtId="41" fontId="83" fillId="0" borderId="44" xfId="0" applyNumberFormat="1" applyFont="1" applyBorder="1"/>
    <xf numFmtId="41" fontId="86" fillId="0" borderId="28" xfId="0" applyNumberFormat="1" applyFont="1" applyBorder="1"/>
    <xf numFmtId="41" fontId="83" fillId="7" borderId="109" xfId="0" applyNumberFormat="1" applyFont="1" applyFill="1" applyBorder="1"/>
    <xf numFmtId="0" fontId="73" fillId="20" borderId="28" xfId="0" applyFont="1" applyFill="1" applyBorder="1"/>
    <xf numFmtId="41" fontId="73" fillId="20" borderId="28" xfId="0" applyNumberFormat="1" applyFont="1" applyFill="1" applyBorder="1" applyProtection="1">
      <protection locked="0"/>
    </xf>
    <xf numFmtId="41" fontId="87" fillId="0" borderId="28" xfId="0" applyNumberFormat="1" applyFont="1" applyBorder="1"/>
    <xf numFmtId="41" fontId="80" fillId="0" borderId="28" xfId="0" applyNumberFormat="1" applyFont="1" applyBorder="1" applyAlignment="1" applyProtection="1">
      <alignment horizontal="center"/>
      <protection locked="0"/>
    </xf>
    <xf numFmtId="41" fontId="86" fillId="0" borderId="44" xfId="0" applyNumberFormat="1" applyFont="1" applyBorder="1" applyAlignment="1">
      <alignment horizontal="center"/>
    </xf>
    <xf numFmtId="41" fontId="86" fillId="54" borderId="28" xfId="0" applyNumberFormat="1" applyFont="1" applyFill="1" applyBorder="1" applyAlignment="1">
      <alignment horizontal="center"/>
    </xf>
    <xf numFmtId="41" fontId="83" fillId="54" borderId="28" xfId="0" applyNumberFormat="1" applyFont="1" applyFill="1" applyBorder="1" applyAlignment="1">
      <alignment horizontal="center"/>
    </xf>
    <xf numFmtId="41" fontId="145" fillId="54" borderId="28" xfId="0" applyNumberFormat="1" applyFont="1" applyFill="1" applyBorder="1" applyProtection="1">
      <protection locked="0"/>
    </xf>
    <xf numFmtId="41" fontId="86" fillId="54" borderId="45" xfId="0" applyNumberFormat="1" applyFont="1" applyFill="1" applyBorder="1" applyAlignment="1" applyProtection="1">
      <alignment horizontal="center"/>
      <protection locked="0"/>
    </xf>
    <xf numFmtId="41" fontId="86" fillId="54" borderId="28" xfId="0" applyNumberFormat="1" applyFont="1" applyFill="1" applyBorder="1" applyAlignment="1" applyProtection="1">
      <alignment horizontal="center"/>
      <protection locked="0"/>
    </xf>
    <xf numFmtId="41" fontId="86" fillId="0" borderId="52" xfId="0" applyNumberFormat="1" applyFont="1" applyBorder="1" applyAlignment="1">
      <alignment horizontal="center"/>
    </xf>
    <xf numFmtId="41" fontId="83" fillId="7" borderId="108" xfId="0" applyNumberFormat="1" applyFont="1" applyFill="1" applyBorder="1" applyAlignment="1">
      <alignment horizontal="center"/>
    </xf>
    <xf numFmtId="41" fontId="93" fillId="7" borderId="47" xfId="0" applyNumberFormat="1" applyFont="1" applyFill="1" applyBorder="1"/>
    <xf numFmtId="41" fontId="86" fillId="0" borderId="62" xfId="0" applyNumberFormat="1" applyFont="1" applyBorder="1" applyAlignment="1" applyProtection="1">
      <alignment horizontal="center"/>
      <protection locked="0"/>
    </xf>
    <xf numFmtId="41" fontId="83" fillId="0" borderId="56" xfId="0" applyNumberFormat="1" applyFont="1" applyBorder="1" applyAlignment="1">
      <alignment horizontal="center"/>
    </xf>
    <xf numFmtId="41" fontId="93" fillId="7" borderId="108" xfId="0" applyNumberFormat="1" applyFont="1" applyFill="1" applyBorder="1"/>
    <xf numFmtId="41" fontId="83" fillId="7" borderId="109" xfId="0" applyNumberFormat="1" applyFont="1" applyFill="1" applyBorder="1" applyAlignment="1" applyProtection="1">
      <alignment horizontal="center"/>
      <protection locked="0"/>
    </xf>
    <xf numFmtId="41" fontId="83" fillId="0" borderId="31" xfId="0" applyNumberFormat="1" applyFont="1" applyBorder="1" applyAlignment="1" applyProtection="1">
      <alignment horizontal="center"/>
      <protection locked="0"/>
    </xf>
    <xf numFmtId="41" fontId="102" fillId="0" borderId="28" xfId="0" quotePrefix="1" applyNumberFormat="1" applyFont="1" applyBorder="1" applyAlignment="1" applyProtection="1">
      <alignment horizontal="center"/>
      <protection locked="0"/>
    </xf>
    <xf numFmtId="41" fontId="164" fillId="0" borderId="5" xfId="0" applyNumberFormat="1" applyFont="1" applyBorder="1" applyAlignment="1" applyProtection="1">
      <alignment horizontal="center"/>
      <protection locked="0"/>
    </xf>
    <xf numFmtId="41" fontId="86" fillId="0" borderId="5" xfId="0" applyNumberFormat="1" applyFont="1" applyBorder="1" applyAlignment="1" applyProtection="1">
      <alignment horizontal="center"/>
      <protection locked="0"/>
    </xf>
    <xf numFmtId="41" fontId="86" fillId="0" borderId="23" xfId="0" applyNumberFormat="1" applyFont="1" applyBorder="1" applyAlignment="1" applyProtection="1">
      <alignment horizontal="center"/>
      <protection locked="0"/>
    </xf>
    <xf numFmtId="41" fontId="86" fillId="0" borderId="104" xfId="0" applyNumberFormat="1" applyFont="1" applyBorder="1" applyAlignment="1" applyProtection="1">
      <alignment horizontal="center"/>
      <protection locked="0"/>
    </xf>
    <xf numFmtId="41" fontId="86" fillId="0" borderId="70" xfId="0" applyNumberFormat="1" applyFont="1" applyBorder="1" applyAlignment="1" applyProtection="1">
      <alignment horizontal="center"/>
      <protection locked="0"/>
    </xf>
    <xf numFmtId="183" fontId="110" fillId="0" borderId="0" xfId="3" applyNumberFormat="1" applyFont="1" applyFill="1"/>
    <xf numFmtId="3" fontId="17" fillId="18" borderId="27" xfId="0" applyNumberFormat="1" applyFont="1" applyFill="1" applyBorder="1" applyAlignment="1">
      <alignment horizontal="center"/>
    </xf>
    <xf numFmtId="3" fontId="17" fillId="18" borderId="30" xfId="0" applyNumberFormat="1" applyFont="1" applyFill="1" applyBorder="1" applyAlignment="1">
      <alignment horizontal="center"/>
    </xf>
    <xf numFmtId="3" fontId="16" fillId="18" borderId="27" xfId="0" applyNumberFormat="1" applyFont="1" applyFill="1" applyBorder="1"/>
    <xf numFmtId="3" fontId="17" fillId="18" borderId="27" xfId="0" applyNumberFormat="1" applyFont="1" applyFill="1" applyBorder="1"/>
    <xf numFmtId="0" fontId="160" fillId="18" borderId="4" xfId="0" applyFont="1" applyFill="1" applyBorder="1" applyProtection="1">
      <protection locked="0"/>
    </xf>
    <xf numFmtId="41" fontId="5" fillId="18" borderId="6" xfId="0" applyNumberFormat="1" applyFont="1" applyFill="1" applyBorder="1" applyAlignment="1" applyProtection="1">
      <alignment horizontal="center"/>
      <protection locked="0"/>
    </xf>
    <xf numFmtId="41" fontId="5" fillId="18" borderId="0" xfId="0" applyNumberFormat="1" applyFont="1" applyFill="1" applyAlignment="1" applyProtection="1">
      <alignment horizontal="center"/>
      <protection locked="0"/>
    </xf>
    <xf numFmtId="41" fontId="5" fillId="18" borderId="101" xfId="0" applyNumberFormat="1" applyFont="1" applyFill="1" applyBorder="1" applyAlignment="1" applyProtection="1">
      <alignment horizontal="center"/>
      <protection locked="0"/>
    </xf>
    <xf numFmtId="41" fontId="5" fillId="18" borderId="28" xfId="0" applyNumberFormat="1" applyFont="1" applyFill="1" applyBorder="1" applyAlignment="1" applyProtection="1">
      <alignment horizontal="center"/>
      <protection locked="0"/>
    </xf>
    <xf numFmtId="41" fontId="31" fillId="18" borderId="6" xfId="0" applyNumberFormat="1" applyFont="1" applyFill="1" applyBorder="1" applyAlignment="1" applyProtection="1">
      <alignment horizontal="center"/>
      <protection locked="0"/>
    </xf>
    <xf numFmtId="41" fontId="31" fillId="18" borderId="0" xfId="0" applyNumberFormat="1" applyFont="1" applyFill="1" applyAlignment="1" applyProtection="1">
      <alignment horizontal="center"/>
      <protection locked="0"/>
    </xf>
    <xf numFmtId="41" fontId="31" fillId="18" borderId="101" xfId="0" applyNumberFormat="1" applyFont="1" applyFill="1" applyBorder="1" applyAlignment="1" applyProtection="1">
      <alignment horizontal="center"/>
      <protection locked="0"/>
    </xf>
    <xf numFmtId="41" fontId="31" fillId="18" borderId="28" xfId="0" applyNumberFormat="1" applyFont="1" applyFill="1" applyBorder="1" applyAlignment="1" applyProtection="1">
      <alignment horizontal="center"/>
      <protection locked="0"/>
    </xf>
    <xf numFmtId="41" fontId="25" fillId="18" borderId="6" xfId="0" applyNumberFormat="1" applyFont="1" applyFill="1" applyBorder="1" applyAlignment="1" applyProtection="1">
      <alignment horizontal="center"/>
      <protection locked="0"/>
    </xf>
    <xf numFmtId="171" fontId="31" fillId="18" borderId="7" xfId="0" applyNumberFormat="1" applyFont="1" applyFill="1" applyBorder="1" applyAlignment="1" applyProtection="1">
      <alignment horizontal="center"/>
      <protection locked="0"/>
    </xf>
    <xf numFmtId="171" fontId="31" fillId="18" borderId="3" xfId="0" applyNumberFormat="1" applyFont="1" applyFill="1" applyBorder="1" applyAlignment="1" applyProtection="1">
      <alignment horizontal="center"/>
      <protection locked="0"/>
    </xf>
    <xf numFmtId="171" fontId="31" fillId="18" borderId="102" xfId="0" applyNumberFormat="1" applyFont="1" applyFill="1" applyBorder="1" applyAlignment="1" applyProtection="1">
      <alignment horizontal="center"/>
      <protection locked="0"/>
    </xf>
    <xf numFmtId="171" fontId="31" fillId="18" borderId="52" xfId="0" applyNumberFormat="1" applyFont="1" applyFill="1" applyBorder="1" applyAlignment="1" applyProtection="1">
      <alignment horizontal="center"/>
      <protection locked="0"/>
    </xf>
    <xf numFmtId="0" fontId="156" fillId="0" borderId="0" xfId="0" applyFont="1"/>
    <xf numFmtId="0" fontId="160" fillId="0" borderId="0" xfId="0" applyFont="1"/>
    <xf numFmtId="0" fontId="160" fillId="9" borderId="1" xfId="0" applyFont="1" applyFill="1" applyBorder="1" applyAlignment="1">
      <alignment horizontal="center"/>
    </xf>
    <xf numFmtId="0" fontId="160" fillId="9" borderId="2" xfId="0" applyFont="1" applyFill="1" applyBorder="1" applyAlignment="1">
      <alignment horizontal="center"/>
    </xf>
    <xf numFmtId="0" fontId="160" fillId="2" borderId="4" xfId="0" applyFont="1" applyFill="1" applyBorder="1"/>
    <xf numFmtId="41" fontId="31" fillId="2" borderId="6" xfId="0" applyNumberFormat="1" applyFont="1" applyFill="1" applyBorder="1" applyAlignment="1">
      <alignment horizontal="center"/>
    </xf>
    <xf numFmtId="0" fontId="161" fillId="2" borderId="4" xfId="0" applyFont="1" applyFill="1" applyBorder="1"/>
    <xf numFmtId="0" fontId="161" fillId="2" borderId="2" xfId="0" applyFont="1" applyFill="1" applyBorder="1"/>
    <xf numFmtId="171" fontId="31" fillId="2" borderId="7" xfId="0" applyNumberFormat="1" applyFont="1" applyFill="1" applyBorder="1" applyAlignment="1">
      <alignment horizontal="center"/>
    </xf>
    <xf numFmtId="0" fontId="161" fillId="0" borderId="4" xfId="0" applyFont="1" applyBorder="1"/>
    <xf numFmtId="41" fontId="30" fillId="0" borderId="6" xfId="0" applyNumberFormat="1" applyFont="1" applyBorder="1" applyAlignment="1">
      <alignment horizontal="center"/>
    </xf>
    <xf numFmtId="0" fontId="160" fillId="0" borderId="4" xfId="0" applyFont="1" applyBorder="1"/>
    <xf numFmtId="0" fontId="161" fillId="0" borderId="2" xfId="0" applyFont="1" applyBorder="1"/>
    <xf numFmtId="0" fontId="160" fillId="0" borderId="2" xfId="0" applyFont="1" applyBorder="1"/>
    <xf numFmtId="41" fontId="151" fillId="20" borderId="6" xfId="0" applyNumberFormat="1" applyFont="1" applyFill="1" applyBorder="1"/>
    <xf numFmtId="41" fontId="164" fillId="20" borderId="7" xfId="0" applyNumberFormat="1" applyFont="1" applyFill="1" applyBorder="1" applyAlignment="1">
      <alignment horizontal="center"/>
    </xf>
    <xf numFmtId="0" fontId="31" fillId="0" borderId="4" xfId="0" applyFont="1" applyBorder="1"/>
    <xf numFmtId="0" fontId="161" fillId="0" borderId="6" xfId="0" applyFont="1" applyBorder="1"/>
    <xf numFmtId="41" fontId="160" fillId="0" borderId="7" xfId="0" applyNumberFormat="1" applyFont="1" applyBorder="1"/>
    <xf numFmtId="0" fontId="160" fillId="0" borderId="9" xfId="0" applyFont="1" applyBorder="1"/>
    <xf numFmtId="41" fontId="164" fillId="0" borderId="6" xfId="0" quotePrefix="1" applyNumberFormat="1" applyFont="1" applyBorder="1"/>
    <xf numFmtId="0" fontId="160" fillId="0" borderId="1" xfId="0" applyFont="1" applyBorder="1"/>
    <xf numFmtId="41" fontId="164" fillId="0" borderId="5" xfId="0" applyNumberFormat="1" applyFont="1" applyBorder="1" applyAlignment="1">
      <alignment horizontal="center"/>
    </xf>
    <xf numFmtId="0" fontId="161" fillId="0" borderId="10" xfId="0" applyFont="1" applyBorder="1"/>
    <xf numFmtId="41" fontId="165" fillId="0" borderId="2" xfId="0" applyNumberFormat="1" applyFont="1" applyBorder="1" applyAlignment="1">
      <alignment horizontal="center"/>
    </xf>
    <xf numFmtId="41" fontId="164" fillId="0" borderId="2" xfId="0" applyNumberFormat="1" applyFont="1" applyBorder="1" applyAlignment="1">
      <alignment horizontal="center"/>
    </xf>
    <xf numFmtId="0" fontId="30" fillId="0" borderId="7" xfId="0" applyFont="1" applyBorder="1"/>
    <xf numFmtId="3" fontId="160" fillId="0" borderId="0" xfId="0" applyNumberFormat="1" applyFont="1"/>
    <xf numFmtId="41" fontId="151" fillId="7" borderId="12" xfId="0" applyNumberFormat="1" applyFont="1" applyFill="1" applyBorder="1" applyAlignment="1">
      <alignment horizontal="center"/>
    </xf>
    <xf numFmtId="181" fontId="30" fillId="0" borderId="6" xfId="0" applyNumberFormat="1" applyFont="1" applyBorder="1" applyAlignment="1">
      <alignment horizontal="center"/>
    </xf>
    <xf numFmtId="41" fontId="30" fillId="0" borderId="7" xfId="0" applyNumberFormat="1" applyFont="1" applyBorder="1" applyAlignment="1">
      <alignment horizontal="center"/>
    </xf>
    <xf numFmtId="0" fontId="160" fillId="0" borderId="6" xfId="0" applyFont="1" applyBorder="1"/>
    <xf numFmtId="41" fontId="30" fillId="20" borderId="0" xfId="0" applyNumberFormat="1" applyFont="1" applyFill="1"/>
    <xf numFmtId="41" fontId="151" fillId="0" borderId="6" xfId="0" applyNumberFormat="1" applyFont="1" applyBorder="1" applyAlignment="1">
      <alignment horizontal="center"/>
    </xf>
    <xf numFmtId="0" fontId="30" fillId="0" borderId="6" xfId="0" applyFont="1" applyBorder="1"/>
    <xf numFmtId="0" fontId="162" fillId="0" borderId="6" xfId="0" applyFont="1" applyBorder="1"/>
    <xf numFmtId="41" fontId="169" fillId="54" borderId="6" xfId="0" applyNumberFormat="1" applyFont="1" applyFill="1" applyBorder="1"/>
    <xf numFmtId="41" fontId="164" fillId="54" borderId="2" xfId="0" applyNumberFormat="1" applyFont="1" applyFill="1" applyBorder="1" applyAlignment="1">
      <alignment horizontal="center"/>
    </xf>
    <xf numFmtId="0" fontId="161" fillId="0" borderId="4" xfId="0" applyFont="1" applyBorder="1" applyAlignment="1">
      <alignment horizontal="center"/>
    </xf>
    <xf numFmtId="0" fontId="163" fillId="0" borderId="4" xfId="0" applyFont="1" applyBorder="1"/>
    <xf numFmtId="41" fontId="164" fillId="0" borderId="0" xfId="0" applyNumberFormat="1" applyFont="1" applyAlignment="1">
      <alignment horizontal="center"/>
    </xf>
    <xf numFmtId="41" fontId="30" fillId="0" borderId="0" xfId="0" applyNumberFormat="1" applyFont="1" applyAlignment="1">
      <alignment horizontal="center"/>
    </xf>
    <xf numFmtId="0" fontId="161" fillId="0" borderId="15" xfId="0" applyFont="1" applyBorder="1"/>
    <xf numFmtId="41" fontId="164" fillId="0" borderId="20" xfId="0" applyNumberFormat="1" applyFont="1" applyBorder="1" applyAlignment="1">
      <alignment horizontal="center"/>
    </xf>
    <xf numFmtId="0" fontId="161" fillId="0" borderId="0" xfId="0" applyFont="1"/>
    <xf numFmtId="41" fontId="165" fillId="0" borderId="0" xfId="0" applyNumberFormat="1" applyFont="1" applyAlignment="1">
      <alignment horizontal="center"/>
    </xf>
    <xf numFmtId="41" fontId="165" fillId="7" borderId="12" xfId="0" applyNumberFormat="1" applyFont="1" applyFill="1" applyBorder="1" applyAlignment="1">
      <alignment horizontal="center"/>
    </xf>
    <xf numFmtId="0" fontId="161" fillId="0" borderId="21" xfId="0" applyFont="1" applyBorder="1"/>
    <xf numFmtId="41" fontId="165" fillId="0" borderId="21" xfId="0" applyNumberFormat="1" applyFont="1" applyBorder="1" applyAlignment="1">
      <alignment horizontal="center"/>
    </xf>
    <xf numFmtId="0" fontId="161" fillId="0" borderId="8" xfId="0" applyFont="1" applyBorder="1"/>
    <xf numFmtId="41" fontId="171" fillId="0" borderId="6" xfId="0" quotePrefix="1" applyNumberFormat="1" applyFont="1" applyBorder="1" applyAlignment="1">
      <alignment horizontal="center"/>
    </xf>
    <xf numFmtId="0" fontId="161" fillId="0" borderId="9" xfId="0" applyFont="1" applyBorder="1"/>
    <xf numFmtId="0" fontId="161" fillId="0" borderId="12" xfId="0" applyFont="1" applyBorder="1"/>
    <xf numFmtId="0" fontId="161" fillId="0" borderId="18" xfId="0" applyFont="1" applyBorder="1"/>
    <xf numFmtId="41" fontId="30" fillId="0" borderId="0" xfId="0" applyNumberFormat="1" applyFont="1"/>
    <xf numFmtId="0" fontId="151" fillId="0" borderId="0" xfId="0" applyFont="1" applyAlignment="1">
      <alignment horizontal="center"/>
    </xf>
    <xf numFmtId="3" fontId="25" fillId="0" borderId="110" xfId="0" applyNumberFormat="1" applyFont="1" applyBorder="1"/>
    <xf numFmtId="3" fontId="172" fillId="0" borderId="111" xfId="0" applyNumberFormat="1" applyFont="1" applyBorder="1"/>
    <xf numFmtId="14" fontId="172" fillId="0" borderId="111" xfId="0" applyNumberFormat="1" applyFont="1" applyBorder="1"/>
    <xf numFmtId="3" fontId="25" fillId="0" borderId="112" xfId="0" applyNumberFormat="1" applyFont="1" applyBorder="1"/>
    <xf numFmtId="3" fontId="172" fillId="0" borderId="113" xfId="0" applyNumberFormat="1" applyFont="1" applyBorder="1" applyAlignment="1">
      <alignment wrapText="1"/>
    </xf>
    <xf numFmtId="14" fontId="172" fillId="0" borderId="113" xfId="0" applyNumberFormat="1" applyFont="1" applyBorder="1"/>
    <xf numFmtId="3" fontId="172" fillId="0" borderId="113" xfId="0" applyNumberFormat="1" applyFont="1" applyBorder="1"/>
    <xf numFmtId="3" fontId="173" fillId="0" borderId="113" xfId="0" applyNumberFormat="1" applyFont="1" applyBorder="1" applyAlignment="1">
      <alignment horizontal="left"/>
    </xf>
    <xf numFmtId="173" fontId="172" fillId="0" borderId="113" xfId="0" applyNumberFormat="1" applyFont="1" applyBorder="1"/>
    <xf numFmtId="0" fontId="172" fillId="0" borderId="113" xfId="0" applyFont="1" applyBorder="1"/>
    <xf numFmtId="3" fontId="172" fillId="0" borderId="113" xfId="0" applyNumberFormat="1" applyFont="1" applyBorder="1" applyAlignment="1">
      <alignment horizontal="left"/>
    </xf>
    <xf numFmtId="176" fontId="25" fillId="0" borderId="112" xfId="0" applyNumberFormat="1" applyFont="1" applyBorder="1"/>
    <xf numFmtId="3" fontId="25" fillId="0" borderId="114" xfId="0" applyNumberFormat="1" applyFont="1" applyBorder="1"/>
    <xf numFmtId="0" fontId="16" fillId="0" borderId="29" xfId="0" applyFont="1" applyBorder="1" applyProtection="1">
      <protection locked="0"/>
    </xf>
    <xf numFmtId="0" fontId="24" fillId="0" borderId="29" xfId="0" applyFont="1" applyBorder="1" applyAlignment="1" applyProtection="1">
      <alignment horizontal="center"/>
      <protection locked="0"/>
    </xf>
    <xf numFmtId="3" fontId="16" fillId="2" borderId="26" xfId="0" applyNumberFormat="1" applyFont="1" applyFill="1" applyBorder="1" applyProtection="1">
      <protection locked="0"/>
    </xf>
    <xf numFmtId="3" fontId="17" fillId="2" borderId="29" xfId="0" applyNumberFormat="1" applyFont="1" applyFill="1" applyBorder="1" applyProtection="1">
      <protection locked="0"/>
    </xf>
    <xf numFmtId="3" fontId="18" fillId="2" borderId="29" xfId="0" applyNumberFormat="1" applyFont="1" applyFill="1" applyBorder="1" applyProtection="1">
      <protection locked="0"/>
    </xf>
    <xf numFmtId="3" fontId="17" fillId="2" borderId="32" xfId="0" applyNumberFormat="1" applyFont="1" applyFill="1" applyBorder="1" applyProtection="1">
      <protection locked="0"/>
    </xf>
    <xf numFmtId="3" fontId="25" fillId="0" borderId="26" xfId="0" applyNumberFormat="1" applyFont="1" applyBorder="1" applyProtection="1">
      <protection locked="0"/>
    </xf>
    <xf numFmtId="3" fontId="25" fillId="0" borderId="110" xfId="0" applyNumberFormat="1" applyFont="1" applyBorder="1" applyProtection="1">
      <protection locked="0"/>
    </xf>
    <xf numFmtId="3" fontId="25" fillId="0" borderId="29" xfId="0" applyNumberFormat="1" applyFont="1" applyBorder="1" applyProtection="1">
      <protection locked="0"/>
    </xf>
    <xf numFmtId="3" fontId="25" fillId="0" borderId="112" xfId="0" applyNumberFormat="1" applyFont="1" applyBorder="1" applyProtection="1">
      <protection locked="0"/>
    </xf>
    <xf numFmtId="3" fontId="16" fillId="0" borderId="29" xfId="0" applyNumberFormat="1" applyFont="1" applyBorder="1" applyProtection="1">
      <protection locked="0"/>
    </xf>
    <xf numFmtId="3" fontId="19" fillId="0" borderId="27" xfId="0" applyNumberFormat="1" applyFont="1" applyBorder="1" applyProtection="1">
      <protection locked="0"/>
    </xf>
    <xf numFmtId="0" fontId="19" fillId="0" borderId="28" xfId="0" applyFont="1" applyBorder="1" applyProtection="1">
      <protection locked="0"/>
    </xf>
    <xf numFmtId="41" fontId="19" fillId="0" borderId="27" xfId="0" applyNumberFormat="1" applyFont="1" applyBorder="1" applyProtection="1">
      <protection locked="0"/>
    </xf>
    <xf numFmtId="41" fontId="19" fillId="0" borderId="0" xfId="0" applyNumberFormat="1" applyFont="1" applyProtection="1">
      <protection locked="0"/>
    </xf>
    <xf numFmtId="3" fontId="19" fillId="0" borderId="28" xfId="0" applyNumberFormat="1" applyFont="1" applyBorder="1" applyProtection="1">
      <protection locked="0"/>
    </xf>
    <xf numFmtId="0" fontId="19" fillId="0" borderId="0" xfId="0" applyFont="1" applyProtection="1">
      <protection locked="0"/>
    </xf>
    <xf numFmtId="41" fontId="34" fillId="0" borderId="0" xfId="0" applyNumberFormat="1" applyFont="1" applyProtection="1">
      <protection locked="0"/>
    </xf>
    <xf numFmtId="41" fontId="19" fillId="0" borderId="29" xfId="0" applyNumberFormat="1" applyFont="1" applyBorder="1" applyProtection="1">
      <protection locked="0"/>
    </xf>
    <xf numFmtId="41" fontId="34" fillId="0" borderId="28" xfId="0" applyNumberFormat="1" applyFont="1" applyBorder="1" applyProtection="1">
      <protection locked="0"/>
    </xf>
    <xf numFmtId="41" fontId="19" fillId="0" borderId="28" xfId="0" applyNumberFormat="1" applyFont="1" applyBorder="1" applyProtection="1">
      <protection locked="0"/>
    </xf>
    <xf numFmtId="0" fontId="19" fillId="0" borderId="27" xfId="0" applyFont="1" applyBorder="1" applyProtection="1">
      <protection locked="0"/>
    </xf>
    <xf numFmtId="41" fontId="56" fillId="0" borderId="0" xfId="0" applyNumberFormat="1" applyFont="1" applyProtection="1">
      <protection locked="0"/>
    </xf>
    <xf numFmtId="41" fontId="21" fillId="0" borderId="63" xfId="0" applyNumberFormat="1" applyFont="1" applyBorder="1" applyProtection="1">
      <protection locked="0"/>
    </xf>
    <xf numFmtId="0" fontId="16" fillId="0" borderId="37" xfId="0" applyFont="1" applyBorder="1" applyProtection="1">
      <protection locked="0"/>
    </xf>
    <xf numFmtId="3" fontId="19" fillId="0" borderId="30" xfId="0" applyNumberFormat="1" applyFont="1" applyBorder="1" applyProtection="1">
      <protection locked="0"/>
    </xf>
    <xf numFmtId="0" fontId="19" fillId="0" borderId="31" xfId="0" applyFont="1" applyBorder="1" applyProtection="1">
      <protection locked="0"/>
    </xf>
    <xf numFmtId="41" fontId="19" fillId="0" borderId="37" xfId="0" applyNumberFormat="1" applyFont="1" applyBorder="1" applyProtection="1">
      <protection locked="0"/>
    </xf>
    <xf numFmtId="41" fontId="19" fillId="0" borderId="34" xfId="0" applyNumberFormat="1" applyFont="1" applyBorder="1" applyProtection="1">
      <protection locked="0"/>
    </xf>
    <xf numFmtId="41" fontId="19" fillId="0" borderId="52" xfId="0" applyNumberFormat="1" applyFont="1" applyBorder="1" applyProtection="1">
      <protection locked="0"/>
    </xf>
    <xf numFmtId="3" fontId="17" fillId="0" borderId="32" xfId="0" applyNumberFormat="1" applyFont="1" applyBorder="1" applyProtection="1">
      <protection locked="0"/>
    </xf>
    <xf numFmtId="3" fontId="19" fillId="0" borderId="21" xfId="0" applyNumberFormat="1" applyFont="1" applyBorder="1" applyProtection="1">
      <protection locked="0"/>
    </xf>
    <xf numFmtId="41" fontId="19" fillId="0" borderId="32" xfId="0" applyNumberFormat="1" applyFont="1" applyBorder="1" applyProtection="1">
      <protection locked="0"/>
    </xf>
    <xf numFmtId="3" fontId="17" fillId="0" borderId="24" xfId="0" applyNumberFormat="1" applyFont="1" applyBorder="1" applyProtection="1">
      <protection locked="0"/>
    </xf>
    <xf numFmtId="3" fontId="19" fillId="0" borderId="29" xfId="0" applyNumberFormat="1" applyFont="1" applyBorder="1" applyProtection="1">
      <protection locked="0"/>
    </xf>
    <xf numFmtId="3" fontId="17" fillId="3" borderId="27" xfId="0" applyNumberFormat="1" applyFont="1" applyFill="1" applyBorder="1" applyProtection="1">
      <protection locked="0"/>
    </xf>
    <xf numFmtId="3" fontId="19" fillId="3" borderId="29" xfId="0" applyNumberFormat="1" applyFont="1" applyFill="1" applyBorder="1" applyProtection="1">
      <protection locked="0"/>
    </xf>
    <xf numFmtId="3" fontId="17" fillId="0" borderId="27" xfId="0" applyNumberFormat="1" applyFont="1" applyBorder="1" applyProtection="1">
      <protection locked="0"/>
    </xf>
    <xf numFmtId="3" fontId="16" fillId="0" borderId="27" xfId="0" applyNumberFormat="1" applyFont="1" applyBorder="1" applyProtection="1">
      <protection locked="0"/>
    </xf>
    <xf numFmtId="3" fontId="19" fillId="0" borderId="27" xfId="0" quotePrefix="1" applyNumberFormat="1" applyFont="1" applyBorder="1" applyProtection="1">
      <protection locked="0"/>
    </xf>
    <xf numFmtId="3" fontId="21" fillId="0" borderId="29" xfId="0" applyNumberFormat="1" applyFont="1" applyBorder="1" applyProtection="1">
      <protection locked="0"/>
    </xf>
    <xf numFmtId="41" fontId="37" fillId="0" borderId="29" xfId="0" applyNumberFormat="1" applyFont="1" applyBorder="1" applyProtection="1">
      <protection locked="0"/>
    </xf>
    <xf numFmtId="4" fontId="21" fillId="0" borderId="29" xfId="0" applyNumberFormat="1" applyFont="1" applyBorder="1" applyProtection="1">
      <protection locked="0"/>
    </xf>
    <xf numFmtId="41" fontId="37" fillId="0" borderId="27" xfId="0" applyNumberFormat="1" applyFont="1" applyBorder="1" applyProtection="1">
      <protection locked="0"/>
    </xf>
    <xf numFmtId="3" fontId="19" fillId="0" borderId="34" xfId="0" applyNumberFormat="1" applyFont="1" applyBorder="1" applyProtection="1">
      <protection locked="0"/>
    </xf>
    <xf numFmtId="3" fontId="17" fillId="3" borderId="60" xfId="0" applyNumberFormat="1" applyFont="1" applyFill="1" applyBorder="1" applyProtection="1">
      <protection locked="0"/>
    </xf>
    <xf numFmtId="3" fontId="19" fillId="0" borderId="41" xfId="0" applyNumberFormat="1" applyFont="1" applyBorder="1" applyProtection="1">
      <protection locked="0"/>
    </xf>
    <xf numFmtId="3" fontId="17" fillId="0" borderId="39" xfId="0" applyNumberFormat="1" applyFont="1" applyBorder="1" applyProtection="1">
      <protection locked="0"/>
    </xf>
    <xf numFmtId="3" fontId="21" fillId="0" borderId="39" xfId="0" applyNumberFormat="1" applyFont="1" applyBorder="1" applyProtection="1">
      <protection locked="0"/>
    </xf>
    <xf numFmtId="0" fontId="16" fillId="0" borderId="0" xfId="0" applyFont="1" applyProtection="1">
      <protection locked="0"/>
    </xf>
    <xf numFmtId="3" fontId="19" fillId="0" borderId="0" xfId="0" applyNumberFormat="1" applyFont="1" applyProtection="1">
      <protection locked="0"/>
    </xf>
    <xf numFmtId="3" fontId="23" fillId="0" borderId="0" xfId="0" applyNumberFormat="1" applyFont="1" applyProtection="1">
      <protection locked="0"/>
    </xf>
    <xf numFmtId="0" fontId="0" fillId="0" borderId="0" xfId="0" applyProtection="1">
      <protection locked="0"/>
    </xf>
    <xf numFmtId="41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17" fontId="86" fillId="0" borderId="6" xfId="0" quotePrefix="1" applyNumberFormat="1" applyFont="1" applyBorder="1" applyProtection="1">
      <protection locked="0"/>
    </xf>
    <xf numFmtId="41" fontId="47" fillId="0" borderId="101" xfId="0" applyNumberFormat="1" applyFont="1" applyBorder="1" applyProtection="1">
      <protection locked="0"/>
    </xf>
    <xf numFmtId="41" fontId="47" fillId="0" borderId="101" xfId="0" applyNumberFormat="1" applyFont="1" applyBorder="1" applyAlignment="1">
      <alignment horizontal="center"/>
    </xf>
    <xf numFmtId="41" fontId="48" fillId="0" borderId="101" xfId="0" applyNumberFormat="1" applyFont="1" applyBorder="1" applyAlignment="1">
      <alignment horizontal="center"/>
    </xf>
    <xf numFmtId="16" fontId="86" fillId="0" borderId="28" xfId="0" applyNumberFormat="1" applyFont="1" applyBorder="1" applyProtection="1">
      <protection locked="0"/>
    </xf>
    <xf numFmtId="41" fontId="86" fillId="15" borderId="101" xfId="0" applyNumberFormat="1" applyFont="1" applyFill="1" applyBorder="1" applyProtection="1">
      <protection locked="0"/>
    </xf>
    <xf numFmtId="0" fontId="0" fillId="58" borderId="0" xfId="0" applyFill="1"/>
    <xf numFmtId="0" fontId="31" fillId="58" borderId="0" xfId="0" applyFont="1" applyFill="1"/>
    <xf numFmtId="41" fontId="164" fillId="59" borderId="6" xfId="0" applyNumberFormat="1" applyFont="1" applyFill="1" applyBorder="1" applyAlignment="1">
      <alignment horizontal="center"/>
    </xf>
    <xf numFmtId="41" fontId="164" fillId="59" borderId="6" xfId="0" applyNumberFormat="1" applyFont="1" applyFill="1" applyBorder="1" applyAlignment="1" applyProtection="1">
      <alignment horizontal="center"/>
      <protection locked="0"/>
    </xf>
    <xf numFmtId="41" fontId="86" fillId="59" borderId="6" xfId="0" applyNumberFormat="1" applyFont="1" applyFill="1" applyBorder="1" applyAlignment="1" applyProtection="1">
      <alignment horizontal="center"/>
      <protection locked="0"/>
    </xf>
    <xf numFmtId="41" fontId="86" fillId="59" borderId="0" xfId="0" applyNumberFormat="1" applyFont="1" applyFill="1" applyAlignment="1" applyProtection="1">
      <alignment horizontal="center"/>
      <protection locked="0"/>
    </xf>
    <xf numFmtId="41" fontId="86" fillId="59" borderId="101" xfId="0" applyNumberFormat="1" applyFont="1" applyFill="1" applyBorder="1" applyAlignment="1" applyProtection="1">
      <alignment horizontal="center"/>
      <protection locked="0"/>
    </xf>
    <xf numFmtId="41" fontId="86" fillId="59" borderId="28" xfId="0" applyNumberFormat="1" applyFont="1" applyFill="1" applyBorder="1" applyAlignment="1" applyProtection="1">
      <alignment horizontal="center"/>
      <protection locked="0"/>
    </xf>
    <xf numFmtId="41" fontId="86" fillId="59" borderId="6" xfId="0" applyNumberFormat="1" applyFont="1" applyFill="1" applyBorder="1" applyAlignment="1">
      <alignment horizontal="center"/>
    </xf>
    <xf numFmtId="41" fontId="86" fillId="59" borderId="0" xfId="0" applyNumberFormat="1" applyFont="1" applyFill="1" applyAlignment="1">
      <alignment horizontal="center"/>
    </xf>
    <xf numFmtId="41" fontId="86" fillId="59" borderId="101" xfId="0" applyNumberFormat="1" applyFont="1" applyFill="1" applyBorder="1" applyAlignment="1">
      <alignment horizontal="center"/>
    </xf>
    <xf numFmtId="41" fontId="86" fillId="59" borderId="28" xfId="0" applyNumberFormat="1" applyFont="1" applyFill="1" applyBorder="1" applyAlignment="1">
      <alignment horizontal="center"/>
    </xf>
    <xf numFmtId="41" fontId="165" fillId="59" borderId="6" xfId="0" applyNumberFormat="1" applyFont="1" applyFill="1" applyBorder="1" applyAlignment="1">
      <alignment horizontal="center"/>
    </xf>
    <xf numFmtId="41" fontId="83" fillId="59" borderId="6" xfId="0" applyNumberFormat="1" applyFont="1" applyFill="1" applyBorder="1" applyAlignment="1">
      <alignment horizontal="center"/>
    </xf>
    <xf numFmtId="41" fontId="83" fillId="59" borderId="0" xfId="0" applyNumberFormat="1" applyFont="1" applyFill="1" applyAlignment="1">
      <alignment horizontal="center"/>
    </xf>
    <xf numFmtId="41" fontId="83" fillId="59" borderId="101" xfId="0" applyNumberFormat="1" applyFont="1" applyFill="1" applyBorder="1" applyAlignment="1">
      <alignment horizontal="center"/>
    </xf>
    <xf numFmtId="41" fontId="83" fillId="59" borderId="28" xfId="0" applyNumberFormat="1" applyFont="1" applyFill="1" applyBorder="1" applyAlignment="1">
      <alignment horizontal="center"/>
    </xf>
    <xf numFmtId="41" fontId="164" fillId="59" borderId="7" xfId="0" applyNumberFormat="1" applyFont="1" applyFill="1" applyBorder="1" applyAlignment="1">
      <alignment horizontal="center"/>
    </xf>
    <xf numFmtId="41" fontId="164" fillId="59" borderId="7" xfId="0" applyNumberFormat="1" applyFont="1" applyFill="1" applyBorder="1" applyAlignment="1" applyProtection="1">
      <alignment horizontal="center"/>
      <protection locked="0"/>
    </xf>
    <xf numFmtId="41" fontId="86" fillId="59" borderId="7" xfId="0" applyNumberFormat="1" applyFont="1" applyFill="1" applyBorder="1" applyAlignment="1" applyProtection="1">
      <alignment horizontal="center"/>
      <protection locked="0"/>
    </xf>
    <xf numFmtId="41" fontId="86" fillId="59" borderId="3" xfId="0" applyNumberFormat="1" applyFont="1" applyFill="1" applyBorder="1" applyAlignment="1" applyProtection="1">
      <alignment horizontal="center"/>
      <protection locked="0"/>
    </xf>
    <xf numFmtId="41" fontId="86" fillId="59" borderId="102" xfId="0" applyNumberFormat="1" applyFont="1" applyFill="1" applyBorder="1" applyAlignment="1" applyProtection="1">
      <alignment horizontal="center"/>
      <protection locked="0"/>
    </xf>
    <xf numFmtId="41" fontId="86" fillId="59" borderId="52" xfId="0" applyNumberFormat="1" applyFont="1" applyFill="1" applyBorder="1" applyAlignment="1" applyProtection="1">
      <alignment horizontal="center"/>
      <protection locked="0"/>
    </xf>
    <xf numFmtId="41" fontId="164" fillId="59" borderId="6" xfId="0" applyNumberFormat="1" applyFont="1" applyFill="1" applyBorder="1"/>
    <xf numFmtId="41" fontId="164" fillId="59" borderId="6" xfId="0" applyNumberFormat="1" applyFont="1" applyFill="1" applyBorder="1" applyProtection="1">
      <protection locked="0"/>
    </xf>
    <xf numFmtId="41" fontId="86" fillId="59" borderId="6" xfId="0" applyNumberFormat="1" applyFont="1" applyFill="1" applyBorder="1" applyProtection="1">
      <protection locked="0"/>
    </xf>
    <xf numFmtId="41" fontId="86" fillId="59" borderId="0" xfId="0" applyNumberFormat="1" applyFont="1" applyFill="1" applyProtection="1">
      <protection locked="0"/>
    </xf>
    <xf numFmtId="41" fontId="86" fillId="59" borderId="101" xfId="0" applyNumberFormat="1" applyFont="1" applyFill="1" applyBorder="1" applyProtection="1">
      <protection locked="0"/>
    </xf>
    <xf numFmtId="41" fontId="86" fillId="59" borderId="28" xfId="0" applyNumberFormat="1" applyFont="1" applyFill="1" applyBorder="1" applyProtection="1">
      <protection locked="0"/>
    </xf>
    <xf numFmtId="41" fontId="165" fillId="59" borderId="6" xfId="0" applyNumberFormat="1" applyFont="1" applyFill="1" applyBorder="1" applyAlignment="1" applyProtection="1">
      <alignment horizontal="center"/>
      <protection locked="0"/>
    </xf>
    <xf numFmtId="41" fontId="83" fillId="59" borderId="6" xfId="0" applyNumberFormat="1" applyFont="1" applyFill="1" applyBorder="1" applyAlignment="1" applyProtection="1">
      <alignment horizontal="center"/>
      <protection locked="0"/>
    </xf>
    <xf numFmtId="41" fontId="83" fillId="59" borderId="0" xfId="0" applyNumberFormat="1" applyFont="1" applyFill="1" applyAlignment="1" applyProtection="1">
      <alignment horizontal="center"/>
      <protection locked="0"/>
    </xf>
    <xf numFmtId="41" fontId="83" fillId="59" borderId="101" xfId="0" applyNumberFormat="1" applyFont="1" applyFill="1" applyBorder="1" applyAlignment="1" applyProtection="1">
      <alignment horizontal="center"/>
      <protection locked="0"/>
    </xf>
    <xf numFmtId="41" fontId="83" fillId="59" borderId="28" xfId="0" applyNumberFormat="1" applyFont="1" applyFill="1" applyBorder="1" applyAlignment="1" applyProtection="1">
      <alignment horizontal="center"/>
      <protection locked="0"/>
    </xf>
    <xf numFmtId="41" fontId="164" fillId="59" borderId="2" xfId="0" applyNumberFormat="1" applyFont="1" applyFill="1" applyBorder="1" applyAlignment="1">
      <alignment horizontal="center"/>
    </xf>
    <xf numFmtId="41" fontId="164" fillId="59" borderId="2" xfId="0" applyNumberFormat="1" applyFont="1" applyFill="1" applyBorder="1" applyAlignment="1" applyProtection="1">
      <alignment horizontal="center"/>
      <protection locked="0"/>
    </xf>
    <xf numFmtId="41" fontId="86" fillId="59" borderId="2" xfId="0" applyNumberFormat="1" applyFont="1" applyFill="1" applyBorder="1" applyAlignment="1" applyProtection="1">
      <alignment horizontal="center"/>
      <protection locked="0"/>
    </xf>
    <xf numFmtId="41" fontId="86" fillId="59" borderId="9" xfId="0" applyNumberFormat="1" applyFont="1" applyFill="1" applyBorder="1" applyAlignment="1" applyProtection="1">
      <alignment horizontal="center"/>
      <protection locked="0"/>
    </xf>
    <xf numFmtId="41" fontId="86" fillId="59" borderId="45" xfId="0" applyNumberFormat="1" applyFont="1" applyFill="1" applyBorder="1" applyAlignment="1" applyProtection="1">
      <alignment horizontal="center"/>
      <protection locked="0"/>
    </xf>
    <xf numFmtId="41" fontId="165" fillId="59" borderId="7" xfId="0" applyNumberFormat="1" applyFont="1" applyFill="1" applyBorder="1" applyAlignment="1">
      <alignment horizontal="center"/>
    </xf>
    <xf numFmtId="41" fontId="83" fillId="59" borderId="7" xfId="0" applyNumberFormat="1" applyFont="1" applyFill="1" applyBorder="1" applyAlignment="1">
      <alignment horizontal="center"/>
    </xf>
    <xf numFmtId="41" fontId="83" fillId="59" borderId="3" xfId="0" applyNumberFormat="1" applyFont="1" applyFill="1" applyBorder="1" applyAlignment="1">
      <alignment horizontal="center"/>
    </xf>
    <xf numFmtId="41" fontId="83" fillId="59" borderId="102" xfId="0" applyNumberFormat="1" applyFont="1" applyFill="1" applyBorder="1" applyAlignment="1">
      <alignment horizontal="center"/>
    </xf>
    <xf numFmtId="41" fontId="83" fillId="59" borderId="52" xfId="0" applyNumberFormat="1" applyFont="1" applyFill="1" applyBorder="1" applyAlignment="1">
      <alignment horizontal="center"/>
    </xf>
    <xf numFmtId="41" fontId="165" fillId="59" borderId="7" xfId="0" applyNumberFormat="1" applyFont="1" applyFill="1" applyBorder="1" applyAlignment="1" applyProtection="1">
      <alignment horizontal="center"/>
      <protection locked="0"/>
    </xf>
    <xf numFmtId="41" fontId="83" fillId="59" borderId="7" xfId="0" applyNumberFormat="1" applyFont="1" applyFill="1" applyBorder="1" applyAlignment="1" applyProtection="1">
      <alignment horizontal="center"/>
      <protection locked="0"/>
    </xf>
    <xf numFmtId="41" fontId="83" fillId="59" borderId="3" xfId="0" applyNumberFormat="1" applyFont="1" applyFill="1" applyBorder="1" applyAlignment="1" applyProtection="1">
      <alignment horizontal="center"/>
      <protection locked="0"/>
    </xf>
    <xf numFmtId="41" fontId="83" fillId="59" borderId="102" xfId="0" applyNumberFormat="1" applyFont="1" applyFill="1" applyBorder="1" applyAlignment="1" applyProtection="1">
      <alignment horizontal="center"/>
      <protection locked="0"/>
    </xf>
    <xf numFmtId="41" fontId="83" fillId="59" borderId="5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173" fontId="75" fillId="0" borderId="33" xfId="4" applyNumberFormat="1" applyFont="1" applyBorder="1" applyAlignment="1" applyProtection="1">
      <alignment horizontal="left"/>
      <protection locked="0"/>
    </xf>
    <xf numFmtId="173" fontId="73" fillId="2" borderId="0" xfId="4" applyNumberFormat="1" applyFont="1" applyFill="1" applyAlignment="1" applyProtection="1">
      <alignment horizontal="left"/>
      <protection locked="0"/>
    </xf>
    <xf numFmtId="173" fontId="5" fillId="2" borderId="0" xfId="4" applyNumberFormat="1" applyFont="1" applyFill="1" applyBorder="1" applyAlignment="1" applyProtection="1">
      <alignment horizontal="center"/>
      <protection locked="0"/>
    </xf>
    <xf numFmtId="173" fontId="73" fillId="0" borderId="0" xfId="4" applyNumberFormat="1" applyFont="1" applyBorder="1" applyAlignment="1" applyProtection="1">
      <alignment horizontal="left"/>
      <protection locked="0"/>
    </xf>
    <xf numFmtId="173" fontId="73" fillId="0" borderId="0" xfId="4" applyNumberFormat="1" applyFont="1" applyProtection="1">
      <protection locked="0"/>
    </xf>
    <xf numFmtId="173" fontId="73" fillId="0" borderId="0" xfId="4" applyNumberFormat="1" applyFont="1" applyAlignment="1" applyProtection="1">
      <alignment horizontal="left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75" fillId="0" borderId="33" xfId="0" applyFont="1" applyBorder="1" applyAlignment="1" applyProtection="1">
      <alignment horizontal="center"/>
      <protection locked="0"/>
    </xf>
    <xf numFmtId="0" fontId="73" fillId="2" borderId="0" xfId="0" applyFont="1" applyFill="1" applyAlignment="1" applyProtection="1">
      <alignment horizontal="center"/>
      <protection locked="0"/>
    </xf>
    <xf numFmtId="0" fontId="73" fillId="0" borderId="0" xfId="0" applyFont="1" applyAlignment="1" applyProtection="1">
      <alignment horizontal="center"/>
      <protection locked="0"/>
    </xf>
    <xf numFmtId="14" fontId="73" fillId="0" borderId="0" xfId="0" applyNumberFormat="1" applyFont="1" applyAlignment="1" applyProtection="1">
      <alignment horizontal="center"/>
      <protection locked="0"/>
    </xf>
    <xf numFmtId="43" fontId="4" fillId="0" borderId="0" xfId="0" applyNumberFormat="1" applyFont="1" applyAlignment="1" applyProtection="1">
      <alignment horizontal="center"/>
      <protection locked="0"/>
    </xf>
    <xf numFmtId="0" fontId="87" fillId="0" borderId="0" xfId="0" applyFont="1" applyAlignment="1" applyProtection="1">
      <alignment horizontal="center"/>
      <protection locked="0"/>
    </xf>
    <xf numFmtId="0" fontId="79" fillId="0" borderId="0" xfId="0" applyFont="1" applyAlignment="1" applyProtection="1">
      <alignment horizontal="center"/>
      <protection locked="0"/>
    </xf>
    <xf numFmtId="14" fontId="92" fillId="0" borderId="0" xfId="0" applyNumberFormat="1" applyFont="1" applyAlignment="1" applyProtection="1">
      <alignment horizontal="center"/>
      <protection locked="0"/>
    </xf>
    <xf numFmtId="41" fontId="79" fillId="0" borderId="0" xfId="0" applyNumberFormat="1" applyFont="1" applyAlignment="1" applyProtection="1">
      <alignment horizontal="center"/>
      <protection locked="0"/>
    </xf>
    <xf numFmtId="3" fontId="73" fillId="0" borderId="0" xfId="0" applyNumberFormat="1" applyFont="1" applyAlignment="1" applyProtection="1">
      <alignment horizontal="center"/>
      <protection locked="0"/>
    </xf>
    <xf numFmtId="14" fontId="87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92" fillId="0" borderId="0" xfId="0" applyFont="1" applyAlignment="1" applyProtection="1">
      <alignment horizontal="center"/>
      <protection locked="0"/>
    </xf>
    <xf numFmtId="0" fontId="149" fillId="0" borderId="0" xfId="0" applyFont="1" applyAlignment="1" applyProtection="1">
      <alignment horizontal="center"/>
      <protection locked="0"/>
    </xf>
    <xf numFmtId="16" fontId="73" fillId="0" borderId="0" xfId="0" applyNumberFormat="1" applyFont="1" applyAlignment="1" applyProtection="1">
      <alignment horizontal="center"/>
      <protection locked="0"/>
    </xf>
    <xf numFmtId="16" fontId="92" fillId="0" borderId="0" xfId="0" applyNumberFormat="1" applyFont="1" applyAlignment="1" applyProtection="1">
      <alignment horizontal="center"/>
      <protection locked="0"/>
    </xf>
    <xf numFmtId="175" fontId="61" fillId="0" borderId="0" xfId="5" applyNumberFormat="1" applyFont="1" applyBorder="1" applyAlignment="1" applyProtection="1">
      <alignment horizontal="center"/>
      <protection locked="0"/>
    </xf>
    <xf numFmtId="6" fontId="73" fillId="0" borderId="0" xfId="0" applyNumberFormat="1" applyFont="1" applyAlignment="1" applyProtection="1">
      <alignment horizontal="center"/>
      <protection locked="0"/>
    </xf>
    <xf numFmtId="0" fontId="79" fillId="3" borderId="4" xfId="0" applyFont="1" applyFill="1" applyBorder="1" applyAlignment="1" applyProtection="1">
      <alignment horizontal="center"/>
      <protection locked="0"/>
    </xf>
    <xf numFmtId="0" fontId="73" fillId="0" borderId="6" xfId="0" applyFont="1" applyBorder="1" applyAlignment="1" applyProtection="1">
      <alignment horizontal="center"/>
      <protection locked="0"/>
    </xf>
    <xf numFmtId="0" fontId="73" fillId="0" borderId="23" xfId="0" applyFont="1" applyBorder="1" applyAlignment="1" applyProtection="1">
      <alignment horizontal="center"/>
      <protection locked="0"/>
    </xf>
    <xf numFmtId="0" fontId="73" fillId="0" borderId="12" xfId="0" applyFont="1" applyBorder="1" applyAlignment="1" applyProtection="1">
      <alignment horizontal="center"/>
      <protection locked="0"/>
    </xf>
    <xf numFmtId="0" fontId="73" fillId="0" borderId="0" xfId="0" applyFont="1" applyAlignment="1">
      <alignment horizontal="center"/>
    </xf>
    <xf numFmtId="0" fontId="73" fillId="10" borderId="0" xfId="0" applyFont="1" applyFill="1" applyAlignment="1">
      <alignment horizontal="center"/>
    </xf>
    <xf numFmtId="41" fontId="75" fillId="0" borderId="33" xfId="0" applyNumberFormat="1" applyFont="1" applyBorder="1" applyAlignment="1">
      <alignment horizontal="center"/>
    </xf>
    <xf numFmtId="41" fontId="75" fillId="0" borderId="0" xfId="0" applyNumberFormat="1" applyFont="1" applyAlignment="1">
      <alignment horizontal="center"/>
    </xf>
    <xf numFmtId="41" fontId="75" fillId="0" borderId="21" xfId="0" applyNumberFormat="1" applyFont="1" applyBorder="1" applyAlignment="1">
      <alignment horizontal="center"/>
    </xf>
    <xf numFmtId="41" fontId="80" fillId="20" borderId="0" xfId="0" applyNumberFormat="1" applyFont="1" applyFill="1" applyAlignment="1" applyProtection="1">
      <alignment horizontal="center"/>
      <protection locked="0"/>
    </xf>
    <xf numFmtId="41" fontId="89" fillId="0" borderId="0" xfId="0" applyNumberFormat="1" applyFont="1" applyAlignment="1">
      <alignment horizontal="center"/>
    </xf>
    <xf numFmtId="41" fontId="97" fillId="7" borderId="13" xfId="0" applyNumberFormat="1" applyFont="1" applyFill="1" applyBorder="1" applyAlignment="1">
      <alignment horizontal="center"/>
    </xf>
    <xf numFmtId="41" fontId="83" fillId="7" borderId="13" xfId="0" applyNumberFormat="1" applyFont="1" applyFill="1" applyBorder="1" applyAlignment="1">
      <alignment horizontal="center"/>
    </xf>
    <xf numFmtId="0" fontId="73" fillId="20" borderId="0" xfId="0" applyFont="1" applyFill="1" applyAlignment="1">
      <alignment horizontal="center"/>
    </xf>
    <xf numFmtId="41" fontId="73" fillId="20" borderId="0" xfId="0" applyNumberFormat="1" applyFont="1" applyFill="1" applyAlignment="1" applyProtection="1">
      <alignment horizontal="center"/>
      <protection locked="0"/>
    </xf>
    <xf numFmtId="41" fontId="145" fillId="54" borderId="0" xfId="0" applyNumberFormat="1" applyFont="1" applyFill="1" applyAlignment="1" applyProtection="1">
      <alignment horizontal="center"/>
      <protection locked="0"/>
    </xf>
    <xf numFmtId="41" fontId="93" fillId="7" borderId="58" xfId="0" applyNumberFormat="1" applyFont="1" applyFill="1" applyBorder="1" applyAlignment="1">
      <alignment horizontal="center"/>
    </xf>
    <xf numFmtId="41" fontId="93" fillId="7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" fontId="164" fillId="0" borderId="28" xfId="0" applyNumberFormat="1" applyFont="1" applyBorder="1" applyProtection="1">
      <protection locked="0"/>
    </xf>
    <xf numFmtId="16" fontId="162" fillId="0" borderId="3" xfId="0" applyNumberFormat="1" applyFont="1" applyBorder="1" applyAlignment="1" applyProtection="1">
      <alignment horizontal="center"/>
      <protection locked="0"/>
    </xf>
    <xf numFmtId="16" fontId="164" fillId="0" borderId="0" xfId="0" applyNumberFormat="1" applyFont="1" applyAlignment="1" applyProtection="1">
      <alignment horizontal="center"/>
      <protection locked="0"/>
    </xf>
    <xf numFmtId="16" fontId="172" fillId="0" borderId="113" xfId="0" applyNumberFormat="1" applyFont="1" applyBorder="1"/>
    <xf numFmtId="41" fontId="174" fillId="0" borderId="6" xfId="0" applyNumberFormat="1" applyFont="1" applyBorder="1" applyAlignment="1">
      <alignment horizontal="center"/>
    </xf>
    <xf numFmtId="16" fontId="174" fillId="0" borderId="0" xfId="0" applyNumberFormat="1" applyFont="1" applyAlignment="1">
      <alignment horizontal="center"/>
    </xf>
    <xf numFmtId="3" fontId="175" fillId="0" borderId="29" xfId="0" applyNumberFormat="1" applyFont="1" applyBorder="1"/>
    <xf numFmtId="41" fontId="175" fillId="0" borderId="28" xfId="0" applyNumberFormat="1" applyFont="1" applyBorder="1"/>
    <xf numFmtId="3" fontId="176" fillId="0" borderId="29" xfId="0" applyNumberFormat="1" applyFont="1" applyBorder="1"/>
    <xf numFmtId="3" fontId="177" fillId="0" borderId="27" xfId="0" applyNumberFormat="1" applyFont="1" applyBorder="1"/>
    <xf numFmtId="3" fontId="177" fillId="0" borderId="29" xfId="0" applyNumberFormat="1" applyFont="1" applyBorder="1"/>
    <xf numFmtId="41" fontId="177" fillId="0" borderId="29" xfId="0" applyNumberFormat="1" applyFont="1" applyBorder="1"/>
    <xf numFmtId="3" fontId="178" fillId="3" borderId="29" xfId="0" applyNumberFormat="1" applyFont="1" applyFill="1" applyBorder="1"/>
    <xf numFmtId="43" fontId="4" fillId="0" borderId="6" xfId="4" applyFont="1" applyFill="1" applyBorder="1" applyAlignment="1">
      <alignment horizontal="center"/>
    </xf>
    <xf numFmtId="185" fontId="7" fillId="0" borderId="0" xfId="0" applyNumberFormat="1" applyFont="1"/>
    <xf numFmtId="3" fontId="177" fillId="0" borderId="41" xfId="0" applyNumberFormat="1" applyFont="1" applyBorder="1"/>
    <xf numFmtId="3" fontId="177" fillId="0" borderId="34" xfId="0" applyNumberFormat="1" applyFont="1" applyBorder="1"/>
    <xf numFmtId="173" fontId="7" fillId="0" borderId="0" xfId="4" applyNumberFormat="1" applyFont="1" applyFill="1"/>
    <xf numFmtId="43" fontId="64" fillId="15" borderId="0" xfId="0" applyNumberFormat="1" applyFont="1" applyFill="1"/>
    <xf numFmtId="177" fontId="35" fillId="0" borderId="0" xfId="0" applyNumberFormat="1" applyFont="1" applyProtection="1">
      <protection locked="0"/>
    </xf>
    <xf numFmtId="10" fontId="110" fillId="0" borderId="0" xfId="3" applyNumberFormat="1" applyFont="1"/>
    <xf numFmtId="0" fontId="179" fillId="0" borderId="0" xfId="0" applyFont="1"/>
    <xf numFmtId="0" fontId="101" fillId="0" borderId="0" xfId="0" applyFont="1"/>
    <xf numFmtId="0" fontId="101" fillId="0" borderId="88" xfId="0" applyFont="1" applyBorder="1"/>
    <xf numFmtId="43" fontId="101" fillId="0" borderId="0" xfId="0" applyNumberFormat="1" applyFont="1"/>
    <xf numFmtId="10" fontId="109" fillId="0" borderId="70" xfId="3" applyNumberFormat="1" applyFont="1" applyBorder="1"/>
    <xf numFmtId="10" fontId="121" fillId="0" borderId="28" xfId="3" applyNumberFormat="1" applyFont="1" applyBorder="1"/>
    <xf numFmtId="10" fontId="125" fillId="0" borderId="28" xfId="3" applyNumberFormat="1" applyFont="1" applyBorder="1"/>
    <xf numFmtId="10" fontId="146" fillId="8" borderId="56" xfId="3" applyNumberFormat="1" applyFont="1" applyFill="1" applyBorder="1"/>
    <xf numFmtId="10" fontId="109" fillId="8" borderId="63" xfId="3" applyNumberFormat="1" applyFont="1" applyFill="1" applyBorder="1"/>
    <xf numFmtId="10" fontId="109" fillId="0" borderId="56" xfId="3" applyNumberFormat="1" applyFont="1" applyBorder="1"/>
    <xf numFmtId="10" fontId="109" fillId="0" borderId="28" xfId="3" applyNumberFormat="1" applyFont="1" applyFill="1" applyBorder="1"/>
    <xf numFmtId="10" fontId="109" fillId="0" borderId="31" xfId="3" applyNumberFormat="1" applyFont="1" applyBorder="1"/>
    <xf numFmtId="10" fontId="73" fillId="0" borderId="0" xfId="3" applyNumberFormat="1" applyFont="1" applyProtection="1">
      <protection locked="0"/>
    </xf>
    <xf numFmtId="0" fontId="182" fillId="0" borderId="0" xfId="0" applyFont="1" applyAlignment="1">
      <alignment horizontal="center" wrapText="1"/>
    </xf>
    <xf numFmtId="0" fontId="183" fillId="0" borderId="0" xfId="0" applyFont="1" applyAlignment="1">
      <alignment horizontal="right" vertical="center" wrapText="1" indent="2"/>
    </xf>
    <xf numFmtId="1" fontId="183" fillId="0" borderId="0" xfId="0" applyNumberFormat="1" applyFont="1" applyAlignment="1">
      <alignment horizontal="center" vertical="center" wrapText="1"/>
    </xf>
    <xf numFmtId="0" fontId="183" fillId="0" borderId="0" xfId="0" applyFont="1" applyAlignment="1">
      <alignment horizontal="right" vertical="center" wrapText="1" indent="1"/>
    </xf>
    <xf numFmtId="0" fontId="183" fillId="0" borderId="3" xfId="0" applyFont="1" applyBorder="1" applyAlignment="1">
      <alignment horizontal="right" vertical="center" wrapText="1" indent="1"/>
    </xf>
    <xf numFmtId="1" fontId="183" fillId="0" borderId="3" xfId="0" applyNumberFormat="1" applyFont="1" applyBorder="1" applyAlignment="1">
      <alignment horizontal="center" vertical="center" wrapText="1"/>
    </xf>
    <xf numFmtId="0" fontId="183" fillId="0" borderId="23" xfId="0" applyFont="1" applyBorder="1" applyAlignment="1">
      <alignment horizontal="right" vertical="center" wrapText="1" indent="1"/>
    </xf>
    <xf numFmtId="1" fontId="183" fillId="0" borderId="23" xfId="0" applyNumberFormat="1" applyFont="1" applyBorder="1" applyAlignment="1">
      <alignment horizontal="center" vertical="center" wrapText="1"/>
    </xf>
    <xf numFmtId="0" fontId="182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184" fillId="0" borderId="0" xfId="0" applyFont="1" applyAlignment="1">
      <alignment horizontal="right" vertical="center" wrapText="1" indent="2"/>
    </xf>
    <xf numFmtId="0" fontId="184" fillId="0" borderId="0" xfId="0" applyFont="1" applyAlignment="1">
      <alignment horizontal="left" vertical="center" wrapText="1" indent="7"/>
    </xf>
    <xf numFmtId="0" fontId="184" fillId="0" borderId="0" xfId="0" applyFont="1" applyAlignment="1">
      <alignment horizontal="center" vertical="center" wrapText="1"/>
    </xf>
    <xf numFmtId="0" fontId="185" fillId="0" borderId="0" xfId="0" applyFont="1" applyAlignment="1">
      <alignment horizontal="left" vertical="center" wrapText="1" indent="7"/>
    </xf>
    <xf numFmtId="10" fontId="185" fillId="0" borderId="0" xfId="0" applyNumberFormat="1" applyFont="1" applyAlignment="1">
      <alignment horizontal="right" vertical="center" wrapText="1"/>
    </xf>
    <xf numFmtId="10" fontId="0" fillId="0" borderId="0" xfId="3" applyNumberFormat="1" applyFont="1"/>
    <xf numFmtId="3" fontId="30" fillId="0" borderId="23" xfId="39" applyNumberFormat="1" applyFont="1" applyBorder="1" applyAlignment="1">
      <alignment horizontal="right" vertical="center" wrapText="1" indent="1"/>
    </xf>
    <xf numFmtId="186" fontId="30" fillId="0" borderId="23" xfId="39" applyNumberFormat="1" applyFont="1" applyBorder="1" applyAlignment="1">
      <alignment horizontal="center" vertical="center" wrapText="1"/>
    </xf>
    <xf numFmtId="186" fontId="30" fillId="0" borderId="23" xfId="39" applyNumberFormat="1" applyFont="1" applyBorder="1" applyAlignment="1">
      <alignment horizontal="left" vertical="center" wrapText="1" indent="1"/>
    </xf>
    <xf numFmtId="3" fontId="30" fillId="0" borderId="3" xfId="39" applyNumberFormat="1" applyFont="1" applyBorder="1" applyAlignment="1">
      <alignment horizontal="right" vertical="center" wrapText="1" indent="1"/>
    </xf>
    <xf numFmtId="186" fontId="30" fillId="0" borderId="3" xfId="39" applyNumberFormat="1" applyFont="1" applyBorder="1" applyAlignment="1">
      <alignment horizontal="center" vertical="center" wrapText="1"/>
    </xf>
    <xf numFmtId="187" fontId="30" fillId="0" borderId="3" xfId="39" applyNumberFormat="1" applyFont="1" applyBorder="1" applyAlignment="1">
      <alignment horizontal="left" vertical="center" wrapText="1" indent="1"/>
    </xf>
    <xf numFmtId="186" fontId="30" fillId="0" borderId="3" xfId="39" applyNumberFormat="1" applyFont="1" applyBorder="1" applyAlignment="1">
      <alignment horizontal="right" vertical="center" wrapText="1" indent="2"/>
    </xf>
    <xf numFmtId="0" fontId="31" fillId="0" borderId="3" xfId="39" applyFont="1" applyBorder="1" applyAlignment="1">
      <alignment vertical="center" wrapText="1"/>
    </xf>
    <xf numFmtId="0" fontId="25" fillId="0" borderId="0" xfId="0" applyFont="1" applyAlignment="1">
      <alignment horizontal="right"/>
    </xf>
    <xf numFmtId="0" fontId="185" fillId="0" borderId="0" xfId="0" applyFont="1" applyAlignment="1">
      <alignment horizontal="right" vertical="center" wrapText="1" indent="1"/>
    </xf>
    <xf numFmtId="178" fontId="7" fillId="0" borderId="0" xfId="3" applyNumberFormat="1" applyFont="1"/>
    <xf numFmtId="188" fontId="0" fillId="0" borderId="0" xfId="0" applyNumberFormat="1"/>
    <xf numFmtId="0" fontId="73" fillId="0" borderId="23" xfId="0" applyFont="1" applyBorder="1" applyAlignment="1" applyProtection="1">
      <alignment horizontal="left"/>
      <protection locked="0"/>
    </xf>
    <xf numFmtId="41" fontId="186" fillId="0" borderId="27" xfId="0" applyNumberFormat="1" applyFont="1" applyBorder="1"/>
    <xf numFmtId="41" fontId="7" fillId="55" borderId="28" xfId="0" applyNumberFormat="1" applyFont="1" applyFill="1" applyBorder="1"/>
    <xf numFmtId="173" fontId="4" fillId="0" borderId="0" xfId="4" applyNumberFormat="1" applyFont="1" applyBorder="1" applyAlignment="1" applyProtection="1">
      <alignment horizontal="left"/>
      <protection locked="0"/>
    </xf>
    <xf numFmtId="190" fontId="75" fillId="0" borderId="0" xfId="0" applyNumberFormat="1" applyFont="1"/>
    <xf numFmtId="0" fontId="188" fillId="0" borderId="0" xfId="0" applyFont="1"/>
    <xf numFmtId="0" fontId="188" fillId="0" borderId="0" xfId="0" applyFont="1" applyAlignment="1">
      <alignment wrapText="1"/>
    </xf>
    <xf numFmtId="0" fontId="114" fillId="10" borderId="26" xfId="0" applyFont="1" applyFill="1" applyBorder="1"/>
    <xf numFmtId="0" fontId="5" fillId="10" borderId="29" xfId="0" applyFont="1" applyFill="1" applyBorder="1" applyAlignment="1">
      <alignment horizontal="center"/>
    </xf>
    <xf numFmtId="0" fontId="5" fillId="10" borderId="32" xfId="0" applyFont="1" applyFill="1" applyBorder="1" applyAlignment="1">
      <alignment horizontal="center"/>
    </xf>
    <xf numFmtId="0" fontId="116" fillId="0" borderId="29" xfId="0" applyFont="1" applyBorder="1" applyProtection="1">
      <protection locked="0"/>
    </xf>
    <xf numFmtId="0" fontId="119" fillId="0" borderId="0" xfId="0" applyFont="1"/>
    <xf numFmtId="10" fontId="15" fillId="0" borderId="29" xfId="3" applyNumberFormat="1" applyFont="1" applyBorder="1" applyAlignment="1">
      <alignment horizontal="center" wrapText="1"/>
    </xf>
    <xf numFmtId="0" fontId="27" fillId="0" borderId="29" xfId="3" applyNumberFormat="1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120" fillId="0" borderId="29" xfId="0" applyFont="1" applyBorder="1"/>
    <xf numFmtId="10" fontId="120" fillId="0" borderId="37" xfId="3" applyNumberFormat="1" applyFont="1" applyBorder="1"/>
    <xf numFmtId="41" fontId="120" fillId="0" borderId="29" xfId="0" applyNumberFormat="1" applyFont="1" applyBorder="1"/>
    <xf numFmtId="0" fontId="122" fillId="0" borderId="29" xfId="0" applyFont="1" applyBorder="1"/>
    <xf numFmtId="0" fontId="109" fillId="0" borderId="29" xfId="0" applyFont="1" applyBorder="1"/>
    <xf numFmtId="41" fontId="121" fillId="0" borderId="29" xfId="0" applyNumberFormat="1" applyFont="1" applyBorder="1"/>
    <xf numFmtId="0" fontId="158" fillId="0" borderId="29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43" fontId="120" fillId="0" borderId="38" xfId="0" applyNumberFormat="1" applyFont="1" applyBorder="1"/>
    <xf numFmtId="0" fontId="32" fillId="0" borderId="29" xfId="0" applyFont="1" applyBorder="1" applyAlignment="1">
      <alignment wrapText="1"/>
    </xf>
    <xf numFmtId="0" fontId="126" fillId="0" borderId="29" xfId="0" applyFont="1" applyBorder="1" applyAlignment="1">
      <alignment wrapText="1"/>
    </xf>
    <xf numFmtId="0" fontId="159" fillId="0" borderId="39" xfId="0" applyFont="1" applyBorder="1" applyAlignment="1" applyProtection="1">
      <alignment horizontal="center"/>
      <protection locked="0"/>
    </xf>
    <xf numFmtId="0" fontId="159" fillId="0" borderId="61" xfId="0" applyFont="1" applyBorder="1" applyAlignment="1" applyProtection="1">
      <alignment horizontal="center"/>
      <protection locked="0"/>
    </xf>
    <xf numFmtId="0" fontId="159" fillId="0" borderId="64" xfId="0" applyFont="1" applyBorder="1" applyAlignment="1" applyProtection="1">
      <alignment horizontal="center"/>
      <protection locked="0"/>
    </xf>
    <xf numFmtId="0" fontId="113" fillId="0" borderId="29" xfId="0" applyFont="1" applyBorder="1"/>
    <xf numFmtId="0" fontId="189" fillId="0" borderId="0" xfId="0" applyFont="1"/>
    <xf numFmtId="0" fontId="190" fillId="0" borderId="0" xfId="0" applyFont="1"/>
    <xf numFmtId="173" fontId="113" fillId="0" borderId="29" xfId="0" applyNumberFormat="1" applyFont="1" applyBorder="1"/>
    <xf numFmtId="173" fontId="113" fillId="0" borderId="0" xfId="0" applyNumberFormat="1" applyFont="1"/>
    <xf numFmtId="173" fontId="189" fillId="0" borderId="0" xfId="0" applyNumberFormat="1" applyFont="1"/>
    <xf numFmtId="41" fontId="101" fillId="0" borderId="32" xfId="0" applyNumberFormat="1" applyFont="1" applyBorder="1"/>
    <xf numFmtId="41" fontId="101" fillId="0" borderId="21" xfId="0" applyNumberFormat="1" applyFont="1" applyBorder="1"/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3" fontId="196" fillId="0" borderId="0" xfId="4" applyNumberFormat="1" applyFont="1" applyBorder="1"/>
    <xf numFmtId="0" fontId="196" fillId="0" borderId="0" xfId="0" applyFont="1"/>
    <xf numFmtId="173" fontId="197" fillId="0" borderId="29" xfId="4" applyNumberFormat="1" applyFont="1" applyBorder="1"/>
    <xf numFmtId="173" fontId="197" fillId="0" borderId="0" xfId="4" applyNumberFormat="1" applyFont="1" applyBorder="1"/>
    <xf numFmtId="43" fontId="198" fillId="0" borderId="0" xfId="4" applyFont="1" applyBorder="1"/>
    <xf numFmtId="0" fontId="197" fillId="0" borderId="0" xfId="0" applyFont="1"/>
    <xf numFmtId="0" fontId="198" fillId="0" borderId="0" xfId="0" applyFont="1"/>
    <xf numFmtId="0" fontId="197" fillId="0" borderId="29" xfId="0" applyFont="1" applyBorder="1"/>
    <xf numFmtId="179" fontId="198" fillId="0" borderId="0" xfId="0" applyNumberFormat="1" applyFont="1"/>
    <xf numFmtId="173" fontId="198" fillId="0" borderId="0" xfId="4" applyNumberFormat="1" applyFont="1" applyBorder="1" applyAlignment="1">
      <alignment horizontal="left" indent="2"/>
    </xf>
    <xf numFmtId="0" fontId="199" fillId="0" borderId="0" xfId="0" applyFont="1"/>
    <xf numFmtId="0" fontId="192" fillId="0" borderId="26" xfId="0" applyFont="1" applyBorder="1" applyAlignment="1">
      <alignment horizontal="center" vertical="center" wrapText="1"/>
    </xf>
    <xf numFmtId="0" fontId="192" fillId="0" borderId="29" xfId="0" applyFont="1" applyBorder="1" applyAlignment="1">
      <alignment horizontal="center" vertical="center" wrapText="1"/>
    </xf>
    <xf numFmtId="9" fontId="192" fillId="0" borderId="29" xfId="0" applyNumberFormat="1" applyFont="1" applyBorder="1" applyAlignment="1">
      <alignment horizontal="center" vertical="center" wrapText="1"/>
    </xf>
    <xf numFmtId="0" fontId="200" fillId="0" borderId="0" xfId="0" applyFont="1"/>
    <xf numFmtId="41" fontId="101" fillId="60" borderId="21" xfId="0" applyNumberFormat="1" applyFont="1" applyFill="1" applyBorder="1"/>
    <xf numFmtId="0" fontId="113" fillId="60" borderId="21" xfId="0" applyFont="1" applyFill="1" applyBorder="1"/>
    <xf numFmtId="0" fontId="201" fillId="0" borderId="0" xfId="0" applyFont="1"/>
    <xf numFmtId="0" fontId="181" fillId="14" borderId="26" xfId="0" applyFont="1" applyFill="1" applyBorder="1" applyAlignment="1" applyProtection="1">
      <alignment horizontal="center"/>
      <protection locked="0"/>
    </xf>
    <xf numFmtId="0" fontId="181" fillId="14" borderId="33" xfId="0" applyFont="1" applyFill="1" applyBorder="1" applyAlignment="1" applyProtection="1">
      <alignment horizontal="center"/>
      <protection locked="0"/>
    </xf>
    <xf numFmtId="0" fontId="181" fillId="14" borderId="25" xfId="0" applyFont="1" applyFill="1" applyBorder="1" applyAlignment="1" applyProtection="1">
      <alignment horizontal="center" wrapText="1"/>
      <protection locked="0"/>
    </xf>
    <xf numFmtId="0" fontId="108" fillId="14" borderId="29" xfId="0" applyFont="1" applyFill="1" applyBorder="1" applyProtection="1">
      <protection locked="0"/>
    </xf>
    <xf numFmtId="173" fontId="10" fillId="14" borderId="23" xfId="4" applyNumberFormat="1" applyFont="1" applyFill="1" applyBorder="1" applyAlignment="1">
      <alignment horizontal="left" vertical="center" wrapText="1" indent="1"/>
    </xf>
    <xf numFmtId="10" fontId="202" fillId="14" borderId="0" xfId="0" applyNumberFormat="1" applyFont="1" applyFill="1" applyProtection="1">
      <protection locked="0"/>
    </xf>
    <xf numFmtId="173" fontId="202" fillId="14" borderId="0" xfId="4" applyNumberFormat="1" applyFont="1" applyFill="1" applyBorder="1" applyProtection="1">
      <protection locked="0"/>
    </xf>
    <xf numFmtId="173" fontId="187" fillId="0" borderId="0" xfId="0" applyNumberFormat="1" applyFont="1"/>
    <xf numFmtId="173" fontId="187" fillId="14" borderId="0" xfId="0" applyNumberFormat="1" applyFont="1" applyFill="1"/>
    <xf numFmtId="0" fontId="195" fillId="14" borderId="0" xfId="0" applyFont="1" applyFill="1"/>
    <xf numFmtId="0" fontId="148" fillId="14" borderId="0" xfId="0" applyFont="1" applyFill="1"/>
    <xf numFmtId="173" fontId="154" fillId="14" borderId="0" xfId="4" applyNumberFormat="1" applyFont="1" applyFill="1" applyBorder="1"/>
    <xf numFmtId="0" fontId="154" fillId="14" borderId="0" xfId="0" applyFont="1" applyFill="1"/>
    <xf numFmtId="0" fontId="203" fillId="14" borderId="0" xfId="0" applyFont="1" applyFill="1" applyAlignment="1">
      <alignment horizontal="center"/>
    </xf>
    <xf numFmtId="0" fontId="31" fillId="0" borderId="0" xfId="39" applyFont="1" applyAlignment="1">
      <alignment vertical="center" wrapText="1"/>
    </xf>
    <xf numFmtId="43" fontId="202" fillId="14" borderId="28" xfId="4" applyFont="1" applyFill="1" applyBorder="1" applyProtection="1">
      <protection locked="0"/>
    </xf>
    <xf numFmtId="173" fontId="19" fillId="0" borderId="0" xfId="4" applyNumberFormat="1" applyFont="1" applyFill="1" applyBorder="1"/>
    <xf numFmtId="173" fontId="19" fillId="0" borderId="28" xfId="4" applyNumberFormat="1" applyFont="1" applyFill="1" applyBorder="1"/>
    <xf numFmtId="16" fontId="162" fillId="0" borderId="115" xfId="0" applyNumberFormat="1" applyFont="1" applyBorder="1" applyAlignment="1" applyProtection="1">
      <alignment horizontal="center"/>
      <protection locked="0"/>
    </xf>
    <xf numFmtId="41" fontId="204" fillId="0" borderId="6" xfId="0" applyNumberFormat="1" applyFont="1" applyBorder="1" applyAlignment="1" applyProtection="1">
      <alignment horizontal="center"/>
      <protection locked="0"/>
    </xf>
    <xf numFmtId="41" fontId="204" fillId="0" borderId="6" xfId="0" applyNumberFormat="1" applyFont="1" applyBorder="1" applyAlignment="1">
      <alignment horizontal="center"/>
    </xf>
    <xf numFmtId="41" fontId="205" fillId="0" borderId="7" xfId="0" applyNumberFormat="1" applyFont="1" applyBorder="1" applyAlignment="1" applyProtection="1">
      <alignment horizontal="center"/>
      <protection locked="0"/>
    </xf>
    <xf numFmtId="41" fontId="204" fillId="0" borderId="6" xfId="0" applyNumberFormat="1" applyFont="1" applyBorder="1" applyProtection="1">
      <protection locked="0"/>
    </xf>
    <xf numFmtId="41" fontId="205" fillId="0" borderId="6" xfId="0" applyNumberFormat="1" applyFont="1" applyBorder="1" applyAlignment="1">
      <alignment horizontal="center"/>
    </xf>
    <xf numFmtId="41" fontId="204" fillId="0" borderId="7" xfId="0" applyNumberFormat="1" applyFont="1" applyBorder="1" applyAlignment="1" applyProtection="1">
      <alignment horizontal="center"/>
      <protection locked="0"/>
    </xf>
    <xf numFmtId="41" fontId="204" fillId="20" borderId="6" xfId="0" applyNumberFormat="1" applyFont="1" applyFill="1" applyBorder="1" applyAlignment="1" applyProtection="1">
      <alignment horizontal="center"/>
      <protection locked="0"/>
    </xf>
    <xf numFmtId="41" fontId="204" fillId="20" borderId="6" xfId="0" applyNumberFormat="1" applyFont="1" applyFill="1" applyBorder="1" applyAlignment="1">
      <alignment horizontal="center"/>
    </xf>
    <xf numFmtId="41" fontId="205" fillId="20" borderId="6" xfId="0" applyNumberFormat="1" applyFont="1" applyFill="1" applyBorder="1" applyProtection="1">
      <protection locked="0"/>
    </xf>
    <xf numFmtId="41" fontId="204" fillId="20" borderId="7" xfId="0" applyNumberFormat="1" applyFont="1" applyFill="1" applyBorder="1" applyAlignment="1" applyProtection="1">
      <alignment horizontal="center"/>
      <protection locked="0"/>
    </xf>
    <xf numFmtId="41" fontId="205" fillId="0" borderId="6" xfId="0" applyNumberFormat="1" applyFont="1" applyBorder="1" applyAlignment="1" applyProtection="1">
      <alignment horizontal="center"/>
      <protection locked="0"/>
    </xf>
    <xf numFmtId="41" fontId="204" fillId="0" borderId="5" xfId="0" applyNumberFormat="1" applyFont="1" applyBorder="1" applyAlignment="1" applyProtection="1">
      <alignment horizontal="center"/>
      <protection locked="0"/>
    </xf>
    <xf numFmtId="41" fontId="205" fillId="0" borderId="6" xfId="0" applyNumberFormat="1" applyFont="1" applyBorder="1"/>
    <xf numFmtId="41" fontId="205" fillId="7" borderId="10" xfId="0" applyNumberFormat="1" applyFont="1" applyFill="1" applyBorder="1"/>
    <xf numFmtId="41" fontId="205" fillId="0" borderId="2" xfId="0" applyNumberFormat="1" applyFont="1" applyBorder="1" applyAlignment="1" applyProtection="1">
      <alignment horizontal="center"/>
      <protection locked="0"/>
    </xf>
    <xf numFmtId="41" fontId="204" fillId="0" borderId="2" xfId="0" applyNumberFormat="1" applyFont="1" applyBorder="1" applyAlignment="1" applyProtection="1">
      <alignment horizontal="center"/>
      <protection locked="0"/>
    </xf>
    <xf numFmtId="41" fontId="205" fillId="0" borderId="7" xfId="0" applyNumberFormat="1" applyFont="1" applyBorder="1" applyAlignment="1">
      <alignment horizontal="center"/>
    </xf>
    <xf numFmtId="41" fontId="205" fillId="0" borderId="6" xfId="0" applyNumberFormat="1" applyFont="1" applyBorder="1" applyAlignment="1">
      <alignment horizontal="center" wrapText="1"/>
    </xf>
    <xf numFmtId="41" fontId="205" fillId="7" borderId="12" xfId="0" applyNumberFormat="1" applyFont="1" applyFill="1" applyBorder="1"/>
    <xf numFmtId="41" fontId="205" fillId="7" borderId="12" xfId="0" applyNumberFormat="1" applyFont="1" applyFill="1" applyBorder="1" applyAlignment="1" applyProtection="1">
      <alignment horizontal="center"/>
      <protection locked="0"/>
    </xf>
    <xf numFmtId="181" fontId="204" fillId="0" borderId="6" xfId="0" applyNumberFormat="1" applyFont="1" applyBorder="1" applyAlignment="1" applyProtection="1">
      <alignment horizontal="center"/>
      <protection locked="0"/>
    </xf>
    <xf numFmtId="41" fontId="205" fillId="0" borderId="5" xfId="0" applyNumberFormat="1" applyFont="1" applyBorder="1" applyAlignment="1">
      <alignment horizontal="center"/>
    </xf>
    <xf numFmtId="41" fontId="205" fillId="0" borderId="4" xfId="0" applyNumberFormat="1" applyFont="1" applyBorder="1"/>
    <xf numFmtId="41" fontId="204" fillId="0" borderId="6" xfId="0" applyNumberFormat="1" applyFont="1" applyBorder="1"/>
    <xf numFmtId="0" fontId="204" fillId="20" borderId="0" xfId="0" applyFont="1" applyFill="1"/>
    <xf numFmtId="41" fontId="204" fillId="20" borderId="0" xfId="0" applyNumberFormat="1" applyFont="1" applyFill="1" applyProtection="1">
      <protection locked="0"/>
    </xf>
    <xf numFmtId="41" fontId="205" fillId="0" borderId="4" xfId="0" applyNumberFormat="1" applyFont="1" applyBorder="1" applyAlignment="1">
      <alignment horizontal="center"/>
    </xf>
    <xf numFmtId="41" fontId="204" fillId="0" borderId="4" xfId="0" applyNumberFormat="1" applyFont="1" applyBorder="1" applyAlignment="1">
      <alignment horizontal="center"/>
    </xf>
    <xf numFmtId="41" fontId="204" fillId="54" borderId="6" xfId="0" applyNumberFormat="1" applyFont="1" applyFill="1" applyBorder="1" applyAlignment="1">
      <alignment horizontal="center"/>
    </xf>
    <xf numFmtId="41" fontId="205" fillId="54" borderId="6" xfId="0" applyNumberFormat="1" applyFont="1" applyFill="1" applyBorder="1" applyAlignment="1">
      <alignment horizontal="center"/>
    </xf>
    <xf numFmtId="41" fontId="204" fillId="54" borderId="6" xfId="0" applyNumberFormat="1" applyFont="1" applyFill="1" applyBorder="1" applyProtection="1">
      <protection locked="0"/>
    </xf>
    <xf numFmtId="41" fontId="204" fillId="54" borderId="2" xfId="0" applyNumberFormat="1" applyFont="1" applyFill="1" applyBorder="1" applyAlignment="1" applyProtection="1">
      <alignment horizontal="center"/>
      <protection locked="0"/>
    </xf>
    <xf numFmtId="41" fontId="204" fillId="54" borderId="6" xfId="0" applyNumberFormat="1" applyFont="1" applyFill="1" applyBorder="1" applyAlignment="1" applyProtection="1">
      <alignment horizontal="center"/>
      <protection locked="0"/>
    </xf>
    <xf numFmtId="41" fontId="204" fillId="0" borderId="7" xfId="0" applyNumberFormat="1" applyFont="1" applyBorder="1" applyAlignment="1">
      <alignment horizontal="center"/>
    </xf>
    <xf numFmtId="41" fontId="205" fillId="7" borderId="10" xfId="0" applyNumberFormat="1" applyFont="1" applyFill="1" applyBorder="1" applyAlignment="1">
      <alignment horizontal="center"/>
    </xf>
    <xf numFmtId="41" fontId="205" fillId="7" borderId="48" xfId="0" applyNumberFormat="1" applyFont="1" applyFill="1" applyBorder="1"/>
    <xf numFmtId="41" fontId="204" fillId="0" borderId="0" xfId="0" applyNumberFormat="1" applyFont="1" applyAlignment="1" applyProtection="1">
      <alignment horizontal="center"/>
      <protection locked="0"/>
    </xf>
    <xf numFmtId="41" fontId="204" fillId="0" borderId="20" xfId="0" applyNumberFormat="1" applyFont="1" applyBorder="1" applyAlignment="1" applyProtection="1">
      <alignment horizontal="center"/>
      <protection locked="0"/>
    </xf>
    <xf numFmtId="41" fontId="205" fillId="0" borderId="16" xfId="0" applyNumberFormat="1" applyFont="1" applyBorder="1" applyAlignment="1">
      <alignment horizontal="center"/>
    </xf>
    <xf numFmtId="41" fontId="205" fillId="0" borderId="0" xfId="0" applyNumberFormat="1" applyFont="1" applyAlignment="1" applyProtection="1">
      <alignment horizontal="center"/>
      <protection locked="0"/>
    </xf>
    <xf numFmtId="41" fontId="205" fillId="0" borderId="21" xfId="0" applyNumberFormat="1" applyFont="1" applyBorder="1" applyAlignment="1" applyProtection="1">
      <alignment horizontal="center"/>
      <protection locked="0"/>
    </xf>
    <xf numFmtId="41" fontId="205" fillId="0" borderId="6" xfId="0" quotePrefix="1" applyNumberFormat="1" applyFont="1" applyBorder="1" applyAlignment="1" applyProtection="1">
      <alignment horizontal="center"/>
      <protection locked="0"/>
    </xf>
    <xf numFmtId="191" fontId="4" fillId="0" borderId="0" xfId="0" quotePrefix="1" applyNumberFormat="1" applyFont="1" applyAlignment="1" applyProtection="1">
      <alignment horizontal="center"/>
      <protection locked="0"/>
    </xf>
    <xf numFmtId="191" fontId="0" fillId="0" borderId="0" xfId="0" applyNumberFormat="1"/>
    <xf numFmtId="191" fontId="86" fillId="0" borderId="0" xfId="0" quotePrefix="1" applyNumberFormat="1" applyFont="1" applyAlignment="1">
      <alignment horizontal="center"/>
    </xf>
    <xf numFmtId="191" fontId="86" fillId="0" borderId="0" xfId="0" applyNumberFormat="1" applyFont="1" applyAlignment="1" applyProtection="1">
      <alignment horizontal="center"/>
      <protection locked="0"/>
    </xf>
    <xf numFmtId="191" fontId="86" fillId="0" borderId="28" xfId="0" applyNumberFormat="1" applyFont="1" applyBorder="1" applyAlignment="1">
      <alignment horizontal="center"/>
    </xf>
    <xf numFmtId="191" fontId="80" fillId="7" borderId="109" xfId="0" applyNumberFormat="1" applyFont="1" applyFill="1" applyBorder="1" applyAlignment="1" applyProtection="1">
      <alignment horizontal="center"/>
      <protection locked="0"/>
    </xf>
    <xf numFmtId="191" fontId="151" fillId="7" borderId="13" xfId="0" applyNumberFormat="1" applyFont="1" applyFill="1" applyBorder="1" applyAlignment="1" applyProtection="1">
      <alignment horizontal="center"/>
      <protection locked="0"/>
    </xf>
    <xf numFmtId="3" fontId="25" fillId="0" borderId="111" xfId="0" applyNumberFormat="1" applyFont="1" applyBorder="1" applyProtection="1">
      <protection locked="0"/>
    </xf>
    <xf numFmtId="3" fontId="25" fillId="0" borderId="113" xfId="0" applyNumberFormat="1" applyFont="1" applyBorder="1" applyProtection="1">
      <protection locked="0"/>
    </xf>
    <xf numFmtId="191" fontId="25" fillId="0" borderId="113" xfId="0" applyNumberFormat="1" applyFont="1" applyBorder="1" applyProtection="1">
      <protection locked="0"/>
    </xf>
    <xf numFmtId="191" fontId="25" fillId="0" borderId="113" xfId="0" applyNumberFormat="1" applyFont="1" applyBorder="1" applyAlignment="1" applyProtection="1">
      <alignment horizontal="center"/>
      <protection locked="0"/>
    </xf>
    <xf numFmtId="189" fontId="188" fillId="0" borderId="0" xfId="0" applyNumberFormat="1" applyFont="1"/>
    <xf numFmtId="43" fontId="101" fillId="0" borderId="0" xfId="4" applyFont="1" applyBorder="1"/>
    <xf numFmtId="0" fontId="67" fillId="0" borderId="27" xfId="0" applyFont="1" applyBorder="1"/>
    <xf numFmtId="0" fontId="68" fillId="0" borderId="27" xfId="0" applyFont="1" applyBorder="1"/>
    <xf numFmtId="0" fontId="64" fillId="0" borderId="27" xfId="0" applyFont="1" applyBorder="1" applyAlignment="1">
      <alignment horizontal="left" indent="1"/>
    </xf>
    <xf numFmtId="0" fontId="4" fillId="0" borderId="27" xfId="0" applyFont="1" applyBorder="1"/>
    <xf numFmtId="0" fontId="70" fillId="0" borderId="27" xfId="0" applyFont="1" applyBorder="1"/>
    <xf numFmtId="0" fontId="4" fillId="17" borderId="27" xfId="0" applyFont="1" applyFill="1" applyBorder="1"/>
    <xf numFmtId="0" fontId="4" fillId="16" borderId="27" xfId="0" applyFont="1" applyFill="1" applyBorder="1"/>
    <xf numFmtId="0" fontId="70" fillId="16" borderId="27" xfId="0" applyFont="1" applyFill="1" applyBorder="1"/>
    <xf numFmtId="3" fontId="7" fillId="18" borderId="0" xfId="0" applyNumberFormat="1" applyFont="1" applyFill="1"/>
    <xf numFmtId="41" fontId="5" fillId="2" borderId="0" xfId="0" applyNumberFormat="1" applyFont="1" applyFill="1" applyAlignment="1" applyProtection="1">
      <alignment horizontal="center"/>
      <protection locked="0"/>
    </xf>
    <xf numFmtId="171" fontId="5" fillId="2" borderId="3" xfId="0" applyNumberFormat="1" applyFont="1" applyFill="1" applyBorder="1" applyAlignment="1" applyProtection="1">
      <alignment horizontal="center"/>
      <protection locked="0"/>
    </xf>
    <xf numFmtId="41" fontId="86" fillId="0" borderId="116" xfId="0" applyNumberFormat="1" applyFont="1" applyBorder="1" applyAlignment="1">
      <alignment horizontal="center"/>
    </xf>
    <xf numFmtId="41" fontId="83" fillId="0" borderId="117" xfId="0" applyNumberFormat="1" applyFont="1" applyBorder="1" applyAlignment="1" applyProtection="1">
      <alignment horizontal="center"/>
      <protection locked="0"/>
    </xf>
    <xf numFmtId="41" fontId="83" fillId="0" borderId="116" xfId="0" applyNumberFormat="1" applyFont="1" applyBorder="1" applyAlignment="1" applyProtection="1">
      <alignment horizontal="center"/>
      <protection locked="0"/>
    </xf>
    <xf numFmtId="41" fontId="83" fillId="7" borderId="118" xfId="0" applyNumberFormat="1" applyFont="1" applyFill="1" applyBorder="1"/>
    <xf numFmtId="41" fontId="73" fillId="0" borderId="116" xfId="0" applyNumberFormat="1" applyFont="1" applyBorder="1" applyProtection="1">
      <protection locked="0"/>
    </xf>
    <xf numFmtId="168" fontId="86" fillId="54" borderId="0" xfId="0" applyNumberFormat="1" applyFont="1" applyFill="1" applyAlignment="1">
      <alignment horizontal="center"/>
    </xf>
    <xf numFmtId="10" fontId="5" fillId="2" borderId="6" xfId="3" applyNumberFormat="1" applyFont="1" applyFill="1" applyBorder="1" applyAlignment="1" applyProtection="1">
      <alignment horizontal="right"/>
      <protection locked="0"/>
    </xf>
    <xf numFmtId="10" fontId="5" fillId="2" borderId="7" xfId="3" applyNumberFormat="1" applyFont="1" applyFill="1" applyBorder="1" applyAlignment="1" applyProtection="1">
      <alignment horizontal="right"/>
      <protection locked="0"/>
    </xf>
    <xf numFmtId="10" fontId="73" fillId="0" borderId="6" xfId="3" applyNumberFormat="1" applyFont="1" applyBorder="1" applyAlignment="1" applyProtection="1">
      <alignment horizontal="right"/>
      <protection locked="0"/>
    </xf>
    <xf numFmtId="10" fontId="86" fillId="0" borderId="6" xfId="3" applyNumberFormat="1" applyFont="1" applyBorder="1" applyAlignment="1">
      <alignment horizontal="right"/>
    </xf>
    <xf numFmtId="10" fontId="83" fillId="0" borderId="7" xfId="3" applyNumberFormat="1" applyFont="1" applyBorder="1" applyAlignment="1" applyProtection="1">
      <alignment horizontal="right"/>
      <protection locked="0"/>
    </xf>
    <xf numFmtId="10" fontId="86" fillId="0" borderId="6" xfId="3" applyNumberFormat="1" applyFont="1" applyBorder="1" applyAlignment="1" applyProtection="1">
      <alignment horizontal="right"/>
      <protection locked="0"/>
    </xf>
    <xf numFmtId="10" fontId="83" fillId="0" borderId="6" xfId="3" applyNumberFormat="1" applyFont="1" applyBorder="1" applyAlignment="1">
      <alignment horizontal="right"/>
    </xf>
    <xf numFmtId="10" fontId="86" fillId="0" borderId="7" xfId="3" applyNumberFormat="1" applyFont="1" applyBorder="1" applyAlignment="1" applyProtection="1">
      <alignment horizontal="right"/>
      <protection locked="0"/>
    </xf>
    <xf numFmtId="10" fontId="83" fillId="0" borderId="6" xfId="3" applyNumberFormat="1" applyFont="1" applyBorder="1" applyAlignment="1" applyProtection="1">
      <alignment horizontal="right"/>
      <protection locked="0"/>
    </xf>
    <xf numFmtId="10" fontId="83" fillId="0" borderId="4" xfId="3" applyNumberFormat="1" applyFont="1" applyBorder="1" applyAlignment="1">
      <alignment horizontal="right"/>
    </xf>
    <xf numFmtId="10" fontId="86" fillId="0" borderId="6" xfId="3" quotePrefix="1" applyNumberFormat="1" applyFont="1" applyBorder="1" applyAlignment="1" applyProtection="1">
      <alignment horizontal="right"/>
      <protection locked="0"/>
    </xf>
    <xf numFmtId="10" fontId="83" fillId="7" borderId="10" xfId="3" applyNumberFormat="1" applyFont="1" applyFill="1" applyBorder="1" applyAlignment="1">
      <alignment horizontal="right"/>
    </xf>
    <xf numFmtId="10" fontId="83" fillId="0" borderId="2" xfId="3" applyNumberFormat="1" applyFont="1" applyBorder="1" applyAlignment="1" applyProtection="1">
      <alignment horizontal="right"/>
      <protection locked="0"/>
    </xf>
    <xf numFmtId="10" fontId="86" fillId="15" borderId="6" xfId="3" applyNumberFormat="1" applyFont="1" applyFill="1" applyBorder="1" applyAlignment="1" applyProtection="1">
      <alignment horizontal="right"/>
      <protection locked="0"/>
    </xf>
    <xf numFmtId="10" fontId="83" fillId="0" borderId="7" xfId="3" applyNumberFormat="1" applyFont="1" applyBorder="1" applyAlignment="1">
      <alignment horizontal="right"/>
    </xf>
    <xf numFmtId="10" fontId="83" fillId="0" borderId="6" xfId="3" applyNumberFormat="1" applyFont="1" applyBorder="1" applyAlignment="1">
      <alignment horizontal="right" wrapText="1"/>
    </xf>
    <xf numFmtId="10" fontId="86" fillId="0" borderId="2" xfId="3" applyNumberFormat="1" applyFont="1" applyBorder="1" applyAlignment="1" applyProtection="1">
      <alignment horizontal="right"/>
      <protection locked="0"/>
    </xf>
    <xf numFmtId="10" fontId="89" fillId="0" borderId="6" xfId="3" applyNumberFormat="1" applyFont="1" applyBorder="1" applyAlignment="1">
      <alignment horizontal="right"/>
    </xf>
    <xf numFmtId="10" fontId="97" fillId="7" borderId="12" xfId="3" applyNumberFormat="1" applyFont="1" applyFill="1" applyBorder="1" applyAlignment="1">
      <alignment horizontal="right"/>
    </xf>
    <xf numFmtId="10" fontId="80" fillId="7" borderId="12" xfId="3" applyNumberFormat="1" applyFont="1" applyFill="1" applyBorder="1" applyAlignment="1" applyProtection="1">
      <alignment horizontal="right"/>
      <protection locked="0"/>
    </xf>
    <xf numFmtId="10" fontId="83" fillId="0" borderId="5" xfId="3" applyNumberFormat="1" applyFont="1" applyBorder="1" applyAlignment="1">
      <alignment horizontal="right"/>
    </xf>
    <xf numFmtId="10" fontId="73" fillId="0" borderId="7" xfId="3" applyNumberFormat="1" applyFont="1" applyBorder="1" applyAlignment="1" applyProtection="1">
      <alignment horizontal="right"/>
      <protection locked="0"/>
    </xf>
    <xf numFmtId="10" fontId="83" fillId="7" borderId="12" xfId="3" applyNumberFormat="1" applyFont="1" applyFill="1" applyBorder="1" applyAlignment="1">
      <alignment horizontal="right"/>
    </xf>
    <xf numFmtId="10" fontId="87" fillId="0" borderId="6" xfId="3" applyNumberFormat="1" applyFont="1" applyBorder="1" applyAlignment="1">
      <alignment horizontal="right"/>
    </xf>
    <xf numFmtId="10" fontId="80" fillId="0" borderId="6" xfId="3" applyNumberFormat="1" applyFont="1" applyBorder="1" applyAlignment="1" applyProtection="1">
      <alignment horizontal="right"/>
      <protection locked="0"/>
    </xf>
    <xf numFmtId="10" fontId="86" fillId="0" borderId="4" xfId="3" applyNumberFormat="1" applyFont="1" applyBorder="1" applyAlignment="1">
      <alignment horizontal="right"/>
    </xf>
    <xf numFmtId="10" fontId="86" fillId="54" borderId="6" xfId="3" applyNumberFormat="1" applyFont="1" applyFill="1" applyBorder="1" applyAlignment="1">
      <alignment horizontal="right"/>
    </xf>
    <xf numFmtId="10" fontId="83" fillId="54" borderId="6" xfId="3" applyNumberFormat="1" applyFont="1" applyFill="1" applyBorder="1" applyAlignment="1">
      <alignment horizontal="right"/>
    </xf>
    <xf numFmtId="10" fontId="145" fillId="54" borderId="6" xfId="3" applyNumberFormat="1" applyFont="1" applyFill="1" applyBorder="1" applyAlignment="1" applyProtection="1">
      <alignment horizontal="right"/>
      <protection locked="0"/>
    </xf>
    <xf numFmtId="10" fontId="86" fillId="54" borderId="2" xfId="3" applyNumberFormat="1" applyFont="1" applyFill="1" applyBorder="1" applyAlignment="1" applyProtection="1">
      <alignment horizontal="right"/>
      <protection locked="0"/>
    </xf>
    <xf numFmtId="10" fontId="86" fillId="54" borderId="6" xfId="3" applyNumberFormat="1" applyFont="1" applyFill="1" applyBorder="1" applyAlignment="1" applyProtection="1">
      <alignment horizontal="right"/>
      <protection locked="0"/>
    </xf>
    <xf numFmtId="10" fontId="86" fillId="0" borderId="7" xfId="3" applyNumberFormat="1" applyFont="1" applyBorder="1" applyAlignment="1">
      <alignment horizontal="right"/>
    </xf>
    <xf numFmtId="10" fontId="93" fillId="7" borderId="48" xfId="3" applyNumberFormat="1" applyFont="1" applyFill="1" applyBorder="1" applyAlignment="1">
      <alignment horizontal="right"/>
    </xf>
    <xf numFmtId="10" fontId="86" fillId="0" borderId="0" xfId="3" applyNumberFormat="1" applyFont="1" applyAlignment="1" applyProtection="1">
      <alignment horizontal="right"/>
      <protection locked="0"/>
    </xf>
    <xf numFmtId="10" fontId="73" fillId="0" borderId="0" xfId="3" applyNumberFormat="1" applyFont="1" applyAlignment="1" applyProtection="1">
      <alignment horizontal="right"/>
      <protection locked="0"/>
    </xf>
    <xf numFmtId="10" fontId="86" fillId="0" borderId="20" xfId="3" applyNumberFormat="1" applyFont="1" applyBorder="1" applyAlignment="1" applyProtection="1">
      <alignment horizontal="right"/>
      <protection locked="0"/>
    </xf>
    <xf numFmtId="10" fontId="83" fillId="0" borderId="16" xfId="3" applyNumberFormat="1" applyFont="1" applyBorder="1" applyAlignment="1">
      <alignment horizontal="right"/>
    </xf>
    <xf numFmtId="10" fontId="93" fillId="7" borderId="10" xfId="3" applyNumberFormat="1" applyFont="1" applyFill="1" applyBorder="1" applyAlignment="1">
      <alignment horizontal="right"/>
    </xf>
    <xf numFmtId="10" fontId="83" fillId="0" borderId="0" xfId="3" applyNumberFormat="1" applyFont="1" applyAlignment="1" applyProtection="1">
      <alignment horizontal="right"/>
      <protection locked="0"/>
    </xf>
    <xf numFmtId="10" fontId="83" fillId="7" borderId="12" xfId="3" applyNumberFormat="1" applyFont="1" applyFill="1" applyBorder="1" applyAlignment="1" applyProtection="1">
      <alignment horizontal="right"/>
      <protection locked="0"/>
    </xf>
    <xf numFmtId="10" fontId="83" fillId="0" borderId="21" xfId="3" applyNumberFormat="1" applyFont="1" applyBorder="1" applyAlignment="1" applyProtection="1">
      <alignment horizontal="right"/>
      <protection locked="0"/>
    </xf>
    <xf numFmtId="10" fontId="102" fillId="0" borderId="6" xfId="3" quotePrefix="1" applyNumberFormat="1" applyFont="1" applyFill="1" applyBorder="1" applyAlignment="1" applyProtection="1">
      <alignment horizontal="right"/>
      <protection locked="0"/>
    </xf>
    <xf numFmtId="10" fontId="75" fillId="0" borderId="33" xfId="3" applyNumberFormat="1" applyFont="1" applyBorder="1" applyAlignment="1">
      <alignment horizontal="right"/>
    </xf>
    <xf numFmtId="10" fontId="75" fillId="0" borderId="0" xfId="3" applyNumberFormat="1" applyFont="1" applyAlignment="1">
      <alignment horizontal="right"/>
    </xf>
    <xf numFmtId="10" fontId="73" fillId="3" borderId="33" xfId="3" applyNumberFormat="1" applyFont="1" applyFill="1" applyBorder="1" applyAlignment="1" applyProtection="1">
      <alignment horizontal="right"/>
      <protection locked="0"/>
    </xf>
    <xf numFmtId="183" fontId="86" fillId="0" borderId="6" xfId="3" applyNumberFormat="1" applyFont="1" applyBorder="1" applyAlignment="1">
      <alignment horizontal="right"/>
    </xf>
    <xf numFmtId="183" fontId="83" fillId="0" borderId="7" xfId="3" applyNumberFormat="1" applyFont="1" applyBorder="1" applyAlignment="1" applyProtection="1">
      <alignment horizontal="right"/>
      <protection locked="0"/>
    </xf>
    <xf numFmtId="183" fontId="86" fillId="0" borderId="6" xfId="3" applyNumberFormat="1" applyFont="1" applyBorder="1" applyAlignment="1" applyProtection="1">
      <alignment horizontal="right"/>
      <protection locked="0"/>
    </xf>
    <xf numFmtId="183" fontId="83" fillId="0" borderId="6" xfId="3" applyNumberFormat="1" applyFont="1" applyBorder="1" applyAlignment="1">
      <alignment horizontal="right"/>
    </xf>
    <xf numFmtId="183" fontId="86" fillId="0" borderId="7" xfId="3" applyNumberFormat="1" applyFont="1" applyBorder="1" applyAlignment="1" applyProtection="1">
      <alignment horizontal="right"/>
      <protection locked="0"/>
    </xf>
    <xf numFmtId="183" fontId="86" fillId="20" borderId="6" xfId="3" applyNumberFormat="1" applyFont="1" applyFill="1" applyBorder="1" applyAlignment="1" applyProtection="1">
      <alignment horizontal="right"/>
      <protection locked="0"/>
    </xf>
    <xf numFmtId="183" fontId="86" fillId="20" borderId="6" xfId="3" applyNumberFormat="1" applyFont="1" applyFill="1" applyBorder="1" applyAlignment="1">
      <alignment horizontal="right"/>
    </xf>
    <xf numFmtId="183" fontId="80" fillId="20" borderId="6" xfId="3" applyNumberFormat="1" applyFont="1" applyFill="1" applyBorder="1" applyAlignment="1" applyProtection="1">
      <alignment horizontal="right"/>
      <protection locked="0"/>
    </xf>
    <xf numFmtId="183" fontId="86" fillId="20" borderId="7" xfId="3" applyNumberFormat="1" applyFont="1" applyFill="1" applyBorder="1" applyAlignment="1" applyProtection="1">
      <alignment horizontal="right"/>
      <protection locked="0"/>
    </xf>
    <xf numFmtId="183" fontId="83" fillId="0" borderId="6" xfId="3" applyNumberFormat="1" applyFont="1" applyBorder="1" applyAlignment="1" applyProtection="1">
      <alignment horizontal="right"/>
      <protection locked="0"/>
    </xf>
    <xf numFmtId="183" fontId="86" fillId="0" borderId="2" xfId="3" applyNumberFormat="1" applyFont="1" applyBorder="1" applyAlignment="1" applyProtection="1">
      <alignment horizontal="right"/>
      <protection locked="0"/>
    </xf>
    <xf numFmtId="183" fontId="83" fillId="0" borderId="7" xfId="3" applyNumberFormat="1" applyFont="1" applyBorder="1" applyAlignment="1">
      <alignment horizontal="right"/>
    </xf>
    <xf numFmtId="183" fontId="73" fillId="20" borderId="0" xfId="3" applyNumberFormat="1" applyFont="1" applyFill="1" applyAlignment="1">
      <alignment horizontal="right"/>
    </xf>
    <xf numFmtId="183" fontId="73" fillId="20" borderId="0" xfId="3" applyNumberFormat="1" applyFont="1" applyFill="1" applyAlignment="1" applyProtection="1">
      <alignment horizontal="right"/>
      <protection locked="0"/>
    </xf>
    <xf numFmtId="186" fontId="30" fillId="0" borderId="0" xfId="39" applyNumberFormat="1" applyFont="1" applyAlignment="1">
      <alignment horizontal="left" vertical="center" wrapText="1" indent="1"/>
    </xf>
    <xf numFmtId="186" fontId="30" fillId="0" borderId="0" xfId="39" applyNumberFormat="1" applyFont="1" applyAlignment="1">
      <alignment horizontal="right" vertical="center" wrapText="1" indent="2"/>
    </xf>
    <xf numFmtId="183" fontId="7" fillId="0" borderId="0" xfId="3" applyNumberFormat="1" applyFont="1"/>
    <xf numFmtId="0" fontId="66" fillId="0" borderId="2" xfId="0" applyFont="1" applyBorder="1" applyProtection="1">
      <protection locked="0"/>
    </xf>
    <xf numFmtId="10" fontId="4" fillId="0" borderId="0" xfId="3" applyNumberFormat="1" applyFont="1" applyAlignment="1" applyProtection="1">
      <alignment horizontal="center"/>
      <protection locked="0"/>
    </xf>
    <xf numFmtId="170" fontId="113" fillId="0" borderId="0" xfId="0" applyNumberFormat="1" applyFont="1"/>
    <xf numFmtId="178" fontId="86" fillId="0" borderId="0" xfId="3" applyNumberFormat="1" applyFont="1" applyAlignment="1" applyProtection="1">
      <alignment horizontal="center"/>
      <protection locked="0"/>
    </xf>
    <xf numFmtId="41" fontId="117" fillId="0" borderId="29" xfId="0" applyNumberFormat="1" applyFont="1" applyBorder="1"/>
    <xf numFmtId="41" fontId="117" fillId="0" borderId="28" xfId="0" applyNumberFormat="1" applyFont="1" applyBorder="1"/>
    <xf numFmtId="41" fontId="111" fillId="0" borderId="63" xfId="0" applyNumberFormat="1" applyFont="1" applyBorder="1"/>
    <xf numFmtId="41" fontId="127" fillId="7" borderId="63" xfId="0" applyNumberFormat="1" applyFont="1" applyFill="1" applyBorder="1"/>
    <xf numFmtId="10" fontId="127" fillId="7" borderId="63" xfId="3" applyNumberFormat="1" applyFont="1" applyFill="1" applyBorder="1"/>
    <xf numFmtId="41" fontId="86" fillId="54" borderId="7" xfId="0" applyNumberFormat="1" applyFont="1" applyFill="1" applyBorder="1" applyAlignment="1" applyProtection="1">
      <alignment horizontal="center"/>
      <protection locked="0"/>
    </xf>
    <xf numFmtId="41" fontId="93" fillId="7" borderId="68" xfId="0" applyNumberFormat="1" applyFont="1" applyFill="1" applyBorder="1"/>
    <xf numFmtId="41" fontId="86" fillId="0" borderId="16" xfId="0" applyNumberFormat="1" applyFont="1" applyBorder="1" applyAlignment="1" applyProtection="1">
      <alignment horizontal="center"/>
      <protection locked="0"/>
    </xf>
    <xf numFmtId="164" fontId="73" fillId="3" borderId="42" xfId="0" applyNumberFormat="1" applyFont="1" applyFill="1" applyBorder="1" applyAlignment="1" applyProtection="1">
      <alignment horizontal="center"/>
      <protection locked="0"/>
    </xf>
    <xf numFmtId="41" fontId="5" fillId="2" borderId="4" xfId="0" applyNumberFormat="1" applyFont="1" applyFill="1" applyBorder="1" applyAlignment="1" applyProtection="1">
      <alignment horizontal="center"/>
      <protection locked="0"/>
    </xf>
    <xf numFmtId="171" fontId="5" fillId="2" borderId="2" xfId="0" applyNumberFormat="1" applyFont="1" applyFill="1" applyBorder="1" applyAlignment="1" applyProtection="1">
      <alignment horizontal="center"/>
      <protection locked="0"/>
    </xf>
    <xf numFmtId="41" fontId="73" fillId="0" borderId="4" xfId="0" applyNumberFormat="1" applyFont="1" applyBorder="1" applyAlignment="1" applyProtection="1">
      <alignment horizontal="center"/>
      <protection locked="0"/>
    </xf>
    <xf numFmtId="41" fontId="86" fillId="0" borderId="4" xfId="0" quotePrefix="1" applyNumberFormat="1" applyFont="1" applyBorder="1" applyProtection="1">
      <protection locked="0"/>
    </xf>
    <xf numFmtId="41" fontId="206" fillId="0" borderId="4" xfId="0" applyNumberFormat="1" applyFont="1" applyBorder="1"/>
    <xf numFmtId="41" fontId="86" fillId="15" borderId="4" xfId="0" applyNumberFormat="1" applyFont="1" applyFill="1" applyBorder="1" applyProtection="1">
      <protection locked="0"/>
    </xf>
    <xf numFmtId="41" fontId="83" fillId="0" borderId="4" xfId="0" applyNumberFormat="1" applyFont="1" applyBorder="1" applyAlignment="1">
      <alignment horizontal="center" wrapText="1"/>
    </xf>
    <xf numFmtId="41" fontId="97" fillId="7" borderId="10" xfId="0" applyNumberFormat="1" applyFont="1" applyFill="1" applyBorder="1"/>
    <xf numFmtId="41" fontId="80" fillId="7" borderId="10" xfId="0" applyNumberFormat="1" applyFont="1" applyFill="1" applyBorder="1" applyAlignment="1" applyProtection="1">
      <alignment horizontal="center"/>
      <protection locked="0"/>
    </xf>
    <xf numFmtId="181" fontId="73" fillId="0" borderId="4" xfId="0" applyNumberFormat="1" applyFont="1" applyBorder="1" applyAlignment="1" applyProtection="1">
      <alignment horizontal="center"/>
      <protection locked="0"/>
    </xf>
    <xf numFmtId="41" fontId="83" fillId="0" borderId="1" xfId="0" applyNumberFormat="1" applyFont="1" applyBorder="1" applyAlignment="1">
      <alignment horizontal="center"/>
    </xf>
    <xf numFmtId="41" fontId="86" fillId="54" borderId="4" xfId="0" applyNumberFormat="1" applyFont="1" applyFill="1" applyBorder="1" applyAlignment="1">
      <alignment horizontal="center"/>
    </xf>
    <xf numFmtId="168" fontId="86" fillId="54" borderId="4" xfId="0" applyNumberFormat="1" applyFont="1" applyFill="1" applyBorder="1" applyAlignment="1">
      <alignment horizontal="center"/>
    </xf>
    <xf numFmtId="41" fontId="83" fillId="54" borderId="4" xfId="0" applyNumberFormat="1" applyFont="1" applyFill="1" applyBorder="1" applyAlignment="1">
      <alignment horizontal="center"/>
    </xf>
    <xf numFmtId="41" fontId="145" fillId="54" borderId="4" xfId="0" applyNumberFormat="1" applyFont="1" applyFill="1" applyBorder="1" applyProtection="1">
      <protection locked="0"/>
    </xf>
    <xf numFmtId="41" fontId="86" fillId="54" borderId="4" xfId="0" applyNumberFormat="1" applyFont="1" applyFill="1" applyBorder="1" applyAlignment="1" applyProtection="1">
      <alignment horizontal="center"/>
      <protection locked="0"/>
    </xf>
    <xf numFmtId="41" fontId="83" fillId="0" borderId="55" xfId="0" applyNumberFormat="1" applyFont="1" applyBorder="1" applyAlignment="1" applyProtection="1">
      <alignment horizontal="center"/>
      <protection locked="0"/>
    </xf>
    <xf numFmtId="179" fontId="102" fillId="0" borderId="4" xfId="0" quotePrefix="1" applyNumberFormat="1" applyFont="1" applyBorder="1" applyAlignment="1" applyProtection="1">
      <alignment horizontal="center"/>
      <protection locked="0"/>
    </xf>
    <xf numFmtId="3" fontId="15" fillId="0" borderId="30" xfId="0" applyNumberFormat="1" applyFont="1" applyBorder="1"/>
    <xf numFmtId="3" fontId="15" fillId="0" borderId="27" xfId="4" applyNumberFormat="1" applyFont="1" applyBorder="1"/>
    <xf numFmtId="173" fontId="15" fillId="0" borderId="27" xfId="4" applyNumberFormat="1" applyFont="1" applyBorder="1"/>
    <xf numFmtId="3" fontId="180" fillId="0" borderId="30" xfId="0" applyNumberFormat="1" applyFont="1" applyBorder="1"/>
    <xf numFmtId="0" fontId="15" fillId="0" borderId="36" xfId="0" applyFont="1" applyBorder="1"/>
    <xf numFmtId="192" fontId="19" fillId="0" borderId="28" xfId="4" applyNumberFormat="1" applyFont="1" applyFill="1" applyBorder="1"/>
    <xf numFmtId="176" fontId="19" fillId="0" borderId="27" xfId="0" applyNumberFormat="1" applyFont="1" applyBorder="1"/>
    <xf numFmtId="0" fontId="183" fillId="61" borderId="0" xfId="0" applyFont="1" applyFill="1" applyAlignment="1">
      <alignment horizontal="right" vertical="center" wrapText="1" indent="1"/>
    </xf>
    <xf numFmtId="0" fontId="0" fillId="61" borderId="0" xfId="0" applyFill="1"/>
    <xf numFmtId="178" fontId="7" fillId="61" borderId="0" xfId="3" applyNumberFormat="1" applyFont="1" applyFill="1"/>
    <xf numFmtId="0" fontId="182" fillId="0" borderId="23" xfId="0" applyFont="1" applyBorder="1" applyAlignment="1">
      <alignment horizontal="right" vertical="center" wrapText="1" indent="1"/>
    </xf>
    <xf numFmtId="1" fontId="125" fillId="61" borderId="0" xfId="3" applyNumberFormat="1" applyFont="1" applyFill="1"/>
    <xf numFmtId="1" fontId="125" fillId="0" borderId="0" xfId="3" applyNumberFormat="1" applyFont="1"/>
    <xf numFmtId="1" fontId="146" fillId="0" borderId="0" xfId="3" applyNumberFormat="1" applyFont="1"/>
    <xf numFmtId="0" fontId="182" fillId="0" borderId="0" xfId="0" applyFont="1" applyAlignment="1">
      <alignment horizontal="right" vertical="center" wrapText="1" indent="1"/>
    </xf>
    <xf numFmtId="0" fontId="182" fillId="0" borderId="6" xfId="0" applyFont="1" applyBorder="1" applyAlignment="1">
      <alignment horizontal="center" vertical="center" wrapText="1"/>
    </xf>
    <xf numFmtId="0" fontId="182" fillId="0" borderId="0" xfId="0" applyFont="1" applyAlignment="1">
      <alignment horizontal="center" vertical="center" wrapText="1"/>
    </xf>
    <xf numFmtId="10" fontId="185" fillId="15" borderId="0" xfId="0" applyNumberFormat="1" applyFont="1" applyFill="1" applyAlignment="1">
      <alignment horizontal="right" vertical="center" wrapText="1"/>
    </xf>
    <xf numFmtId="178" fontId="27" fillId="0" borderId="0" xfId="3" applyNumberFormat="1" applyFont="1" applyAlignment="1">
      <alignment horizontal="center"/>
    </xf>
    <xf numFmtId="0" fontId="25" fillId="63" borderId="0" xfId="0" applyFont="1" applyFill="1" applyAlignment="1">
      <alignment horizontal="right"/>
    </xf>
    <xf numFmtId="0" fontId="0" fillId="63" borderId="0" xfId="0" applyFill="1"/>
    <xf numFmtId="0" fontId="31" fillId="63" borderId="0" xfId="39" applyFont="1" applyFill="1" applyAlignment="1">
      <alignment vertical="center" wrapText="1"/>
    </xf>
    <xf numFmtId="173" fontId="30" fillId="63" borderId="0" xfId="4" applyNumberFormat="1" applyFont="1" applyFill="1" applyBorder="1" applyAlignment="1">
      <alignment vertical="center" wrapText="1"/>
    </xf>
    <xf numFmtId="173" fontId="30" fillId="63" borderId="0" xfId="4" applyNumberFormat="1" applyFont="1" applyFill="1" applyAlignment="1">
      <alignment vertical="center" wrapText="1"/>
    </xf>
    <xf numFmtId="0" fontId="24" fillId="63" borderId="0" xfId="0" applyFont="1" applyFill="1" applyAlignment="1">
      <alignment horizontal="left"/>
    </xf>
    <xf numFmtId="0" fontId="31" fillId="63" borderId="0" xfId="0" applyFont="1" applyFill="1"/>
    <xf numFmtId="173" fontId="31" fillId="63" borderId="0" xfId="39" applyNumberFormat="1" applyFont="1" applyFill="1" applyAlignment="1">
      <alignment vertical="center" wrapText="1"/>
    </xf>
    <xf numFmtId="173" fontId="25" fillId="0" borderId="0" xfId="39" applyNumberFormat="1" applyFont="1" applyAlignment="1">
      <alignment vertical="center" wrapText="1"/>
    </xf>
    <xf numFmtId="0" fontId="31" fillId="64" borderId="0" xfId="0" applyFont="1" applyFill="1"/>
    <xf numFmtId="0" fontId="0" fillId="64" borderId="0" xfId="0" applyFill="1"/>
    <xf numFmtId="0" fontId="31" fillId="64" borderId="0" xfId="39" applyFont="1" applyFill="1" applyAlignment="1">
      <alignment vertical="center" wrapText="1"/>
    </xf>
    <xf numFmtId="0" fontId="25" fillId="64" borderId="0" xfId="0" applyFont="1" applyFill="1" applyAlignment="1">
      <alignment horizontal="right"/>
    </xf>
    <xf numFmtId="173" fontId="25" fillId="64" borderId="0" xfId="39" applyNumberFormat="1" applyFont="1" applyFill="1" applyAlignment="1">
      <alignment vertical="center" wrapText="1"/>
    </xf>
    <xf numFmtId="10" fontId="25" fillId="64" borderId="0" xfId="3" applyNumberFormat="1" applyFont="1" applyFill="1" applyAlignment="1">
      <alignment vertical="center" wrapText="1"/>
    </xf>
    <xf numFmtId="0" fontId="30" fillId="0" borderId="26" xfId="0" applyFont="1" applyBorder="1"/>
    <xf numFmtId="0" fontId="0" fillId="0" borderId="33" xfId="0" applyBorder="1"/>
    <xf numFmtId="173" fontId="0" fillId="0" borderId="0" xfId="4" applyNumberFormat="1" applyFont="1" applyBorder="1"/>
    <xf numFmtId="173" fontId="0" fillId="18" borderId="0" xfId="4" applyNumberFormat="1" applyFont="1" applyFill="1" applyBorder="1"/>
    <xf numFmtId="10" fontId="0" fillId="0" borderId="0" xfId="0" applyNumberFormat="1"/>
    <xf numFmtId="173" fontId="31" fillId="0" borderId="0" xfId="0" applyNumberFormat="1" applyFont="1"/>
    <xf numFmtId="43" fontId="0" fillId="0" borderId="0" xfId="0" applyNumberFormat="1"/>
    <xf numFmtId="179" fontId="0" fillId="0" borderId="0" xfId="0" applyNumberFormat="1"/>
    <xf numFmtId="0" fontId="0" fillId="0" borderId="28" xfId="0" applyBorder="1"/>
    <xf numFmtId="179" fontId="0" fillId="15" borderId="0" xfId="0" applyNumberFormat="1" applyFill="1"/>
    <xf numFmtId="0" fontId="30" fillId="0" borderId="29" xfId="0" applyFont="1" applyBorder="1" applyAlignment="1">
      <alignment wrapText="1"/>
    </xf>
    <xf numFmtId="10" fontId="0" fillId="0" borderId="0" xfId="3" applyNumberFormat="1" applyFont="1" applyBorder="1"/>
    <xf numFmtId="0" fontId="0" fillId="0" borderId="31" xfId="0" applyBorder="1"/>
    <xf numFmtId="173" fontId="4" fillId="0" borderId="0" xfId="4" applyNumberFormat="1" applyFont="1" applyProtection="1">
      <protection locked="0"/>
    </xf>
    <xf numFmtId="0" fontId="0" fillId="62" borderId="17" xfId="0" applyFill="1" applyBorder="1"/>
    <xf numFmtId="10" fontId="31" fillId="62" borderId="17" xfId="0" applyNumberFormat="1" applyFont="1" applyFill="1" applyBorder="1"/>
    <xf numFmtId="193" fontId="31" fillId="65" borderId="17" xfId="3" applyNumberFormat="1" applyFont="1" applyFill="1" applyBorder="1"/>
    <xf numFmtId="10" fontId="0" fillId="62" borderId="17" xfId="0" applyNumberFormat="1" applyFill="1" applyBorder="1"/>
    <xf numFmtId="0" fontId="30" fillId="0" borderId="17" xfId="0" applyFont="1" applyBorder="1"/>
    <xf numFmtId="10" fontId="0" fillId="62" borderId="17" xfId="3" applyNumberFormat="1" applyFont="1" applyFill="1" applyBorder="1"/>
    <xf numFmtId="0" fontId="0" fillId="0" borderId="96" xfId="0" applyBorder="1"/>
    <xf numFmtId="0" fontId="30" fillId="0" borderId="97" xfId="0" applyFont="1" applyBorder="1"/>
    <xf numFmtId="194" fontId="0" fillId="66" borderId="0" xfId="0" applyNumberFormat="1" applyFill="1"/>
    <xf numFmtId="188" fontId="0" fillId="0" borderId="119" xfId="0" applyNumberFormat="1" applyBorder="1"/>
    <xf numFmtId="188" fontId="0" fillId="65" borderId="56" xfId="0" applyNumberFormat="1" applyFill="1" applyBorder="1"/>
    <xf numFmtId="188" fontId="0" fillId="66" borderId="17" xfId="0" applyNumberFormat="1" applyFill="1" applyBorder="1"/>
    <xf numFmtId="188" fontId="0" fillId="0" borderId="97" xfId="0" applyNumberFormat="1" applyBorder="1"/>
    <xf numFmtId="188" fontId="0" fillId="65" borderId="120" xfId="0" applyNumberFormat="1" applyFill="1" applyBorder="1"/>
    <xf numFmtId="0" fontId="0" fillId="56" borderId="27" xfId="0" applyFill="1" applyBorder="1"/>
    <xf numFmtId="0" fontId="0" fillId="65" borderId="27" xfId="0" applyFill="1" applyBorder="1"/>
    <xf numFmtId="0" fontId="0" fillId="67" borderId="27" xfId="0" applyFill="1" applyBorder="1"/>
    <xf numFmtId="193" fontId="0" fillId="56" borderId="63" xfId="0" applyNumberFormat="1" applyFill="1" applyBorder="1"/>
    <xf numFmtId="0" fontId="0" fillId="65" borderId="63" xfId="0" applyFill="1" applyBorder="1"/>
    <xf numFmtId="0" fontId="0" fillId="67" borderId="63" xfId="0" applyFill="1" applyBorder="1"/>
    <xf numFmtId="193" fontId="0" fillId="65" borderId="63" xfId="0" applyNumberFormat="1" applyFill="1" applyBorder="1"/>
    <xf numFmtId="173" fontId="0" fillId="67" borderId="63" xfId="0" applyNumberFormat="1" applyFill="1" applyBorder="1"/>
    <xf numFmtId="0" fontId="0" fillId="0" borderId="27" xfId="0" applyBorder="1"/>
    <xf numFmtId="170" fontId="0" fillId="56" borderId="27" xfId="0" applyNumberFormat="1" applyFill="1" applyBorder="1"/>
    <xf numFmtId="170" fontId="0" fillId="65" borderId="27" xfId="0" applyNumberFormat="1" applyFill="1" applyBorder="1"/>
    <xf numFmtId="10" fontId="31" fillId="65" borderId="17" xfId="0" applyNumberFormat="1" applyFont="1" applyFill="1" applyBorder="1"/>
    <xf numFmtId="10" fontId="31" fillId="67" borderId="17" xfId="0" applyNumberFormat="1" applyFont="1" applyFill="1" applyBorder="1"/>
    <xf numFmtId="41" fontId="188" fillId="0" borderId="0" xfId="0" applyNumberFormat="1" applyFont="1"/>
    <xf numFmtId="10" fontId="188" fillId="0" borderId="0" xfId="3" applyNumberFormat="1" applyFont="1"/>
    <xf numFmtId="17" fontId="83" fillId="0" borderId="7" xfId="0" quotePrefix="1" applyNumberFormat="1" applyFont="1" applyBorder="1" applyAlignment="1" applyProtection="1">
      <alignment horizontal="center"/>
      <protection locked="0"/>
    </xf>
    <xf numFmtId="182" fontId="0" fillId="0" borderId="0" xfId="0" applyNumberFormat="1" applyAlignment="1">
      <alignment horizontal="center"/>
    </xf>
    <xf numFmtId="41" fontId="83" fillId="0" borderId="6" xfId="0" quotePrefix="1" applyNumberFormat="1" applyFont="1" applyBorder="1" applyAlignment="1">
      <alignment horizontal="center"/>
    </xf>
    <xf numFmtId="16" fontId="165" fillId="0" borderId="0" xfId="0" applyNumberFormat="1" applyFont="1" applyAlignment="1" applyProtection="1">
      <alignment horizontal="center"/>
      <protection locked="0"/>
    </xf>
    <xf numFmtId="191" fontId="86" fillId="0" borderId="115" xfId="0" quotePrefix="1" applyNumberFormat="1" applyFont="1" applyBorder="1" applyAlignment="1">
      <alignment horizontal="center"/>
    </xf>
    <xf numFmtId="41" fontId="86" fillId="0" borderId="115" xfId="0" applyNumberFormat="1" applyFont="1" applyBorder="1" applyAlignment="1" applyProtection="1">
      <alignment horizontal="center"/>
      <protection locked="0"/>
    </xf>
    <xf numFmtId="183" fontId="110" fillId="62" borderId="0" xfId="3" applyNumberFormat="1" applyFont="1" applyFill="1"/>
    <xf numFmtId="41" fontId="48" fillId="0" borderId="6" xfId="0" quotePrefix="1" applyNumberFormat="1" applyFont="1" applyBorder="1" applyAlignment="1">
      <alignment horizontal="center"/>
    </xf>
    <xf numFmtId="17" fontId="47" fillId="0" borderId="6" xfId="0" quotePrefix="1" applyNumberFormat="1" applyFont="1" applyBorder="1" applyAlignment="1">
      <alignment horizontal="center"/>
    </xf>
    <xf numFmtId="173" fontId="101" fillId="0" borderId="0" xfId="4" applyNumberFormat="1" applyFont="1" applyBorder="1" applyAlignment="1" applyProtection="1">
      <alignment horizontal="left"/>
      <protection locked="0"/>
    </xf>
    <xf numFmtId="173" fontId="0" fillId="67" borderId="17" xfId="4" applyNumberFormat="1" applyFont="1" applyFill="1" applyBorder="1" applyAlignment="1">
      <alignment horizontal="right"/>
    </xf>
    <xf numFmtId="16" fontId="80" fillId="7" borderId="12" xfId="0" quotePrefix="1" applyNumberFormat="1" applyFont="1" applyFill="1" applyBorder="1" applyAlignment="1" applyProtection="1">
      <alignment horizontal="center"/>
      <protection locked="0"/>
    </xf>
    <xf numFmtId="17" fontId="208" fillId="0" borderId="6" xfId="0" quotePrefix="1" applyNumberFormat="1" applyFont="1" applyBorder="1" applyAlignment="1" applyProtection="1">
      <alignment horizontal="center"/>
      <protection locked="0"/>
    </xf>
    <xf numFmtId="43" fontId="188" fillId="0" borderId="0" xfId="0" applyNumberFormat="1" applyFont="1"/>
    <xf numFmtId="3" fontId="172" fillId="0" borderId="111" xfId="0" quotePrefix="1" applyNumberFormat="1" applyFont="1" applyBorder="1"/>
    <xf numFmtId="3" fontId="172" fillId="0" borderId="113" xfId="0" quotePrefix="1" applyNumberFormat="1" applyFont="1" applyBorder="1"/>
    <xf numFmtId="17" fontId="86" fillId="0" borderId="0" xfId="0" quotePrefix="1" applyNumberFormat="1" applyFont="1" applyProtection="1">
      <protection locked="0"/>
    </xf>
    <xf numFmtId="171" fontId="31" fillId="18" borderId="0" xfId="0" applyNumberFormat="1" applyFont="1" applyFill="1" applyAlignment="1" applyProtection="1">
      <alignment horizontal="center"/>
      <protection locked="0"/>
    </xf>
    <xf numFmtId="191" fontId="86" fillId="0" borderId="0" xfId="0" applyNumberFormat="1" applyFont="1" applyAlignment="1">
      <alignment horizontal="center"/>
    </xf>
    <xf numFmtId="16" fontId="164" fillId="0" borderId="0" xfId="0" applyNumberFormat="1" applyFont="1" applyProtection="1">
      <protection locked="0"/>
    </xf>
    <xf numFmtId="41" fontId="83" fillId="7" borderId="0" xfId="0" applyNumberFormat="1" applyFont="1" applyFill="1"/>
    <xf numFmtId="41" fontId="97" fillId="7" borderId="0" xfId="0" applyNumberFormat="1" applyFont="1" applyFill="1"/>
    <xf numFmtId="191" fontId="80" fillId="7" borderId="0" xfId="0" applyNumberFormat="1" applyFont="1" applyFill="1" applyAlignment="1" applyProtection="1">
      <alignment horizontal="center"/>
      <protection locked="0"/>
    </xf>
    <xf numFmtId="41" fontId="83" fillId="7" borderId="0" xfId="0" applyNumberFormat="1" applyFont="1" applyFill="1" applyAlignment="1">
      <alignment horizontal="center"/>
    </xf>
    <xf numFmtId="41" fontId="93" fillId="7" borderId="0" xfId="0" applyNumberFormat="1" applyFont="1" applyFill="1"/>
    <xf numFmtId="41" fontId="83" fillId="7" borderId="0" xfId="0" applyNumberFormat="1" applyFont="1" applyFill="1" applyAlignment="1" applyProtection="1">
      <alignment horizontal="center"/>
      <protection locked="0"/>
    </xf>
    <xf numFmtId="3" fontId="25" fillId="0" borderId="27" xfId="0" applyNumberFormat="1" applyFont="1" applyBorder="1" applyProtection="1">
      <protection locked="0"/>
    </xf>
    <xf numFmtId="3" fontId="25" fillId="0" borderId="122" xfId="0" applyNumberFormat="1" applyFont="1" applyBorder="1" applyProtection="1">
      <protection locked="0"/>
    </xf>
    <xf numFmtId="3" fontId="25" fillId="0" borderId="121" xfId="0" applyNumberFormat="1" applyFont="1" applyBorder="1" applyProtection="1">
      <protection locked="0"/>
    </xf>
    <xf numFmtId="3" fontId="19" fillId="0" borderId="112" xfId="0" applyNumberFormat="1" applyFont="1" applyBorder="1" applyProtection="1">
      <protection locked="0"/>
    </xf>
    <xf numFmtId="0" fontId="19" fillId="0" borderId="112" xfId="0" applyFont="1" applyBorder="1" applyProtection="1">
      <protection locked="0"/>
    </xf>
    <xf numFmtId="3" fontId="25" fillId="0" borderId="28" xfId="0" applyNumberFormat="1" applyFont="1" applyBorder="1" applyProtection="1">
      <protection locked="0"/>
    </xf>
    <xf numFmtId="41" fontId="19" fillId="0" borderId="112" xfId="0" applyNumberFormat="1" applyFont="1" applyBorder="1" applyProtection="1">
      <protection locked="0"/>
    </xf>
    <xf numFmtId="3" fontId="25" fillId="0" borderId="0" xfId="0" applyNumberFormat="1" applyFont="1" applyProtection="1">
      <protection locked="0"/>
    </xf>
    <xf numFmtId="41" fontId="19" fillId="0" borderId="112" xfId="0" applyNumberFormat="1" applyFont="1" applyBorder="1"/>
    <xf numFmtId="3" fontId="172" fillId="0" borderId="112" xfId="0" applyNumberFormat="1" applyFont="1" applyBorder="1"/>
    <xf numFmtId="16" fontId="16" fillId="0" borderId="113" xfId="0" applyNumberFormat="1" applyFont="1" applyBorder="1"/>
    <xf numFmtId="16" fontId="47" fillId="0" borderId="0" xfId="0" applyNumberFormat="1" applyFont="1" applyAlignment="1" applyProtection="1">
      <alignment horizontal="center"/>
      <protection locked="0"/>
    </xf>
    <xf numFmtId="16" fontId="180" fillId="0" borderId="115" xfId="0" applyNumberFormat="1" applyFont="1" applyBorder="1" applyAlignment="1" applyProtection="1">
      <alignment horizontal="center"/>
      <protection locked="0"/>
    </xf>
    <xf numFmtId="16" fontId="47" fillId="0" borderId="6" xfId="0" applyNumberFormat="1" applyFont="1" applyBorder="1" applyAlignment="1">
      <alignment horizontal="center"/>
    </xf>
    <xf numFmtId="41" fontId="47" fillId="0" borderId="0" xfId="0" applyNumberFormat="1" applyFont="1" applyProtection="1">
      <protection locked="0"/>
    </xf>
    <xf numFmtId="41" fontId="47" fillId="0" borderId="0" xfId="0" applyNumberFormat="1" applyFont="1" applyAlignment="1">
      <alignment horizontal="center"/>
    </xf>
    <xf numFmtId="16" fontId="47" fillId="0" borderId="0" xfId="0" applyNumberFormat="1" applyFont="1" applyAlignment="1">
      <alignment horizontal="center"/>
    </xf>
    <xf numFmtId="41" fontId="47" fillId="0" borderId="0" xfId="0" quotePrefix="1" applyNumberFormat="1" applyFont="1" applyProtection="1">
      <protection locked="0"/>
    </xf>
    <xf numFmtId="41" fontId="47" fillId="0" borderId="0" xfId="0" applyNumberFormat="1" applyFont="1" applyAlignment="1" applyProtection="1">
      <alignment horizontal="center"/>
      <protection locked="0"/>
    </xf>
    <xf numFmtId="41" fontId="47" fillId="0" borderId="10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41" fontId="45" fillId="0" borderId="21" xfId="0" applyNumberFormat="1" applyFont="1" applyBorder="1" applyAlignment="1">
      <alignment horizontal="left"/>
    </xf>
    <xf numFmtId="3" fontId="16" fillId="18" borderId="27" xfId="0" applyNumberFormat="1" applyFont="1" applyFill="1" applyBorder="1" applyAlignment="1">
      <alignment horizontal="left"/>
    </xf>
    <xf numFmtId="3" fontId="17" fillId="18" borderId="27" xfId="0" applyNumberFormat="1" applyFont="1" applyFill="1" applyBorder="1" applyAlignment="1">
      <alignment horizontal="left"/>
    </xf>
    <xf numFmtId="3" fontId="17" fillId="18" borderId="30" xfId="0" applyNumberFormat="1" applyFont="1" applyFill="1" applyBorder="1" applyAlignment="1">
      <alignment horizontal="left"/>
    </xf>
    <xf numFmtId="3" fontId="25" fillId="0" borderId="110" xfId="0" applyNumberFormat="1" applyFont="1" applyBorder="1" applyAlignment="1" applyProtection="1">
      <alignment horizontal="left"/>
      <protection locked="0"/>
    </xf>
    <xf numFmtId="3" fontId="25" fillId="0" borderId="112" xfId="0" applyNumberFormat="1" applyFont="1" applyBorder="1" applyAlignment="1" applyProtection="1">
      <alignment horizontal="left"/>
      <protection locked="0"/>
    </xf>
    <xf numFmtId="3" fontId="25" fillId="0" borderId="112" xfId="0" quotePrefix="1" applyNumberFormat="1" applyFont="1" applyBorder="1" applyAlignment="1" applyProtection="1">
      <alignment horizontal="left"/>
      <protection locked="0"/>
    </xf>
    <xf numFmtId="3" fontId="172" fillId="0" borderId="112" xfId="0" applyNumberFormat="1" applyFont="1" applyBorder="1" applyAlignment="1">
      <alignment horizontal="left"/>
    </xf>
    <xf numFmtId="3" fontId="25" fillId="0" borderId="113" xfId="0" applyNumberFormat="1" applyFont="1" applyBorder="1" applyAlignment="1" applyProtection="1">
      <alignment horizontal="left"/>
      <protection locked="0"/>
    </xf>
    <xf numFmtId="3" fontId="25" fillId="0" borderId="27" xfId="0" applyNumberFormat="1" applyFont="1" applyBorder="1" applyAlignment="1" applyProtection="1">
      <alignment horizontal="left"/>
      <protection locked="0"/>
    </xf>
    <xf numFmtId="0" fontId="16" fillId="0" borderId="27" xfId="0" applyFont="1" applyBorder="1" applyAlignment="1">
      <alignment horizontal="left"/>
    </xf>
    <xf numFmtId="3" fontId="16" fillId="0" borderId="30" xfId="0" applyNumberFormat="1" applyFont="1" applyBorder="1" applyAlignment="1">
      <alignment horizontal="left"/>
    </xf>
    <xf numFmtId="3" fontId="20" fillId="0" borderId="27" xfId="0" applyNumberFormat="1" applyFont="1" applyBorder="1" applyAlignment="1">
      <alignment horizontal="left"/>
    </xf>
    <xf numFmtId="3" fontId="38" fillId="0" borderId="27" xfId="0" applyNumberFormat="1" applyFont="1" applyBorder="1" applyAlignment="1">
      <alignment horizontal="left"/>
    </xf>
    <xf numFmtId="3" fontId="17" fillId="0" borderId="27" xfId="0" applyNumberFormat="1" applyFont="1" applyBorder="1" applyAlignment="1">
      <alignment horizontal="left"/>
    </xf>
    <xf numFmtId="3" fontId="16" fillId="0" borderId="36" xfId="0" applyNumberFormat="1" applyFont="1" applyBorder="1" applyAlignment="1">
      <alignment horizontal="left"/>
    </xf>
    <xf numFmtId="41" fontId="5" fillId="57" borderId="6" xfId="0" applyNumberFormat="1" applyFont="1" applyFill="1" applyBorder="1" applyAlignment="1" applyProtection="1">
      <alignment horizontal="center"/>
      <protection locked="0"/>
    </xf>
    <xf numFmtId="41" fontId="31" fillId="57" borderId="6" xfId="0" applyNumberFormat="1" applyFont="1" applyFill="1" applyBorder="1" applyAlignment="1" applyProtection="1">
      <alignment horizontal="center"/>
      <protection locked="0"/>
    </xf>
    <xf numFmtId="41" fontId="5" fillId="57" borderId="28" xfId="0" applyNumberFormat="1" applyFont="1" applyFill="1" applyBorder="1" applyAlignment="1" applyProtection="1">
      <alignment horizontal="center"/>
      <protection locked="0"/>
    </xf>
    <xf numFmtId="41" fontId="31" fillId="57" borderId="28" xfId="0" applyNumberFormat="1" applyFont="1" applyFill="1" applyBorder="1" applyAlignment="1" applyProtection="1">
      <alignment horizontal="center"/>
      <protection locked="0"/>
    </xf>
    <xf numFmtId="173" fontId="31" fillId="0" borderId="0" xfId="4" applyNumberFormat="1" applyFont="1" applyBorder="1"/>
    <xf numFmtId="0" fontId="209" fillId="0" borderId="32" xfId="0" applyFont="1" applyBorder="1"/>
    <xf numFmtId="0" fontId="210" fillId="0" borderId="21" xfId="0" applyFont="1" applyBorder="1"/>
    <xf numFmtId="0" fontId="0" fillId="18" borderId="0" xfId="0" applyFill="1"/>
    <xf numFmtId="16" fontId="7" fillId="56" borderId="6" xfId="0" applyNumberFormat="1" applyFont="1" applyFill="1" applyBorder="1" applyProtection="1">
      <protection locked="0"/>
    </xf>
    <xf numFmtId="191" fontId="4" fillId="56" borderId="28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41" fontId="24" fillId="0" borderId="0" xfId="0" applyNumberFormat="1" applyFont="1"/>
    <xf numFmtId="41" fontId="211" fillId="3" borderId="7" xfId="0" applyNumberFormat="1" applyFont="1" applyFill="1" applyBorder="1" applyAlignment="1" applyProtection="1">
      <alignment horizontal="center"/>
      <protection locked="0"/>
    </xf>
    <xf numFmtId="0" fontId="73" fillId="3" borderId="21" xfId="0" applyFont="1" applyFill="1" applyBorder="1" applyAlignment="1" applyProtection="1">
      <alignment horizontal="center"/>
      <protection locked="0"/>
    </xf>
    <xf numFmtId="0" fontId="73" fillId="3" borderId="55" xfId="0" applyFont="1" applyFill="1" applyBorder="1" applyAlignment="1" applyProtection="1">
      <alignment horizontal="center"/>
      <protection locked="0"/>
    </xf>
    <xf numFmtId="0" fontId="73" fillId="3" borderId="21" xfId="3" applyNumberFormat="1" applyFont="1" applyFill="1" applyBorder="1" applyAlignment="1" applyProtection="1">
      <alignment horizontal="right"/>
      <protection locked="0"/>
    </xf>
    <xf numFmtId="10" fontId="73" fillId="0" borderId="0" xfId="3" applyNumberFormat="1" applyFont="1" applyBorder="1" applyAlignment="1" applyProtection="1">
      <alignment horizontal="center"/>
      <protection locked="0"/>
    </xf>
    <xf numFmtId="10" fontId="5" fillId="0" borderId="0" xfId="3" applyNumberFormat="1" applyFont="1" applyBorder="1" applyAlignment="1" applyProtection="1">
      <alignment horizontal="center"/>
      <protection locked="0"/>
    </xf>
    <xf numFmtId="41" fontId="48" fillId="54" borderId="0" xfId="0" quotePrefix="1" applyNumberFormat="1" applyFont="1" applyFill="1" applyProtection="1">
      <protection locked="0"/>
    </xf>
    <xf numFmtId="3" fontId="25" fillId="0" borderId="112" xfId="0" quotePrefix="1" applyNumberFormat="1" applyFont="1" applyBorder="1"/>
    <xf numFmtId="16" fontId="7" fillId="56" borderId="6" xfId="0" quotePrefix="1" applyNumberFormat="1" applyFont="1" applyFill="1" applyBorder="1" applyProtection="1">
      <protection locked="0"/>
    </xf>
    <xf numFmtId="16" fontId="48" fillId="54" borderId="0" xfId="0" quotePrefix="1" applyNumberFormat="1" applyFont="1" applyFill="1" applyProtection="1">
      <protection locked="0"/>
    </xf>
    <xf numFmtId="44" fontId="188" fillId="0" borderId="0" xfId="0" applyNumberFormat="1" applyFont="1"/>
    <xf numFmtId="10" fontId="73" fillId="0" borderId="0" xfId="0" applyNumberFormat="1" applyFont="1"/>
    <xf numFmtId="173" fontId="0" fillId="62" borderId="17" xfId="4" applyNumberFormat="1" applyFont="1" applyFill="1" applyBorder="1"/>
    <xf numFmtId="175" fontId="31" fillId="67" borderId="17" xfId="5" applyNumberFormat="1" applyFont="1" applyFill="1" applyBorder="1"/>
    <xf numFmtId="0" fontId="31" fillId="54" borderId="26" xfId="0" applyFont="1" applyFill="1" applyBorder="1"/>
    <xf numFmtId="0" fontId="0" fillId="54" borderId="33" xfId="0" applyFill="1" applyBorder="1"/>
    <xf numFmtId="0" fontId="0" fillId="0" borderId="24" xfId="0" applyBorder="1"/>
    <xf numFmtId="0" fontId="0" fillId="54" borderId="29" xfId="0" applyFill="1" applyBorder="1"/>
    <xf numFmtId="0" fontId="0" fillId="54" borderId="0" xfId="0" applyFill="1"/>
    <xf numFmtId="0" fontId="30" fillId="54" borderId="0" xfId="0" applyFont="1" applyFill="1"/>
    <xf numFmtId="0" fontId="30" fillId="56" borderId="0" xfId="0" applyFont="1" applyFill="1"/>
    <xf numFmtId="170" fontId="31" fillId="56" borderId="0" xfId="4" applyNumberFormat="1" applyFont="1" applyFill="1" applyBorder="1"/>
    <xf numFmtId="0" fontId="30" fillId="54" borderId="29" xfId="0" applyFont="1" applyFill="1" applyBorder="1"/>
    <xf numFmtId="10" fontId="0" fillId="54" borderId="0" xfId="0" applyNumberFormat="1" applyFill="1"/>
    <xf numFmtId="10" fontId="0" fillId="65" borderId="0" xfId="0" applyNumberFormat="1" applyFill="1"/>
    <xf numFmtId="170" fontId="31" fillId="65" borderId="0" xfId="0" applyNumberFormat="1" applyFont="1" applyFill="1"/>
    <xf numFmtId="170" fontId="207" fillId="0" borderId="0" xfId="0" applyNumberFormat="1" applyFont="1"/>
    <xf numFmtId="10" fontId="0" fillId="67" borderId="0" xfId="3" applyNumberFormat="1" applyFont="1" applyFill="1" applyBorder="1"/>
    <xf numFmtId="170" fontId="31" fillId="67" borderId="0" xfId="0" applyNumberFormat="1" applyFont="1" applyFill="1"/>
    <xf numFmtId="0" fontId="30" fillId="54" borderId="32" xfId="0" applyFont="1" applyFill="1" applyBorder="1"/>
    <xf numFmtId="0" fontId="0" fillId="54" borderId="21" xfId="0" applyFill="1" applyBorder="1"/>
    <xf numFmtId="10" fontId="0" fillId="54" borderId="21" xfId="3" applyNumberFormat="1" applyFont="1" applyFill="1" applyBorder="1"/>
    <xf numFmtId="170" fontId="31" fillId="54" borderId="21" xfId="0" applyNumberFormat="1" applyFont="1" applyFill="1" applyBorder="1"/>
    <xf numFmtId="170" fontId="0" fillId="56" borderId="30" xfId="0" applyNumberFormat="1" applyFill="1" applyBorder="1"/>
    <xf numFmtId="170" fontId="0" fillId="65" borderId="30" xfId="0" applyNumberFormat="1" applyFill="1" applyBorder="1"/>
    <xf numFmtId="0" fontId="0" fillId="0" borderId="26" xfId="0" applyBorder="1"/>
    <xf numFmtId="0" fontId="31" fillId="65" borderId="24" xfId="0" applyFont="1" applyFill="1" applyBorder="1" applyAlignment="1">
      <alignment horizontal="center" wrapText="1"/>
    </xf>
    <xf numFmtId="0" fontId="31" fillId="67" borderId="24" xfId="0" applyFont="1" applyFill="1" applyBorder="1" applyAlignment="1">
      <alignment horizontal="center" wrapText="1"/>
    </xf>
    <xf numFmtId="0" fontId="31" fillId="62" borderId="29" xfId="0" applyFont="1" applyFill="1" applyBorder="1"/>
    <xf numFmtId="0" fontId="31" fillId="62" borderId="0" xfId="0" applyFont="1" applyFill="1" applyAlignment="1">
      <alignment horizontal="right"/>
    </xf>
    <xf numFmtId="175" fontId="31" fillId="62" borderId="0" xfId="5" applyNumberFormat="1" applyFont="1" applyFill="1" applyBorder="1"/>
    <xf numFmtId="0" fontId="31" fillId="56" borderId="0" xfId="0" applyFont="1" applyFill="1"/>
    <xf numFmtId="193" fontId="31" fillId="56" borderId="0" xfId="0" applyNumberFormat="1" applyFont="1" applyFill="1"/>
    <xf numFmtId="0" fontId="31" fillId="62" borderId="40" xfId="0" applyFont="1" applyFill="1" applyBorder="1"/>
    <xf numFmtId="0" fontId="31" fillId="62" borderId="40" xfId="0" applyFont="1" applyFill="1" applyBorder="1" applyAlignment="1">
      <alignment wrapText="1"/>
    </xf>
    <xf numFmtId="0" fontId="19" fillId="62" borderId="29" xfId="0" applyFont="1" applyFill="1" applyBorder="1" applyAlignment="1">
      <alignment horizontal="right"/>
    </xf>
    <xf numFmtId="173" fontId="0" fillId="62" borderId="0" xfId="4" applyNumberFormat="1" applyFont="1" applyFill="1" applyBorder="1"/>
    <xf numFmtId="0" fontId="0" fillId="62" borderId="0" xfId="0" applyFill="1"/>
    <xf numFmtId="0" fontId="31" fillId="62" borderId="0" xfId="0" applyFont="1" applyFill="1"/>
    <xf numFmtId="3" fontId="31" fillId="67" borderId="0" xfId="0" applyNumberFormat="1" applyFont="1" applyFill="1"/>
    <xf numFmtId="0" fontId="0" fillId="62" borderId="21" xfId="0" applyFill="1" applyBorder="1"/>
    <xf numFmtId="0" fontId="0" fillId="0" borderId="30" xfId="0" applyBorder="1"/>
    <xf numFmtId="10" fontId="19" fillId="62" borderId="0" xfId="0" applyNumberFormat="1" applyFont="1" applyFill="1" applyAlignment="1">
      <alignment horizontal="center"/>
    </xf>
    <xf numFmtId="0" fontId="31" fillId="0" borderId="33" xfId="0" applyFont="1" applyBorder="1" applyAlignment="1">
      <alignment horizontal="center" wrapText="1"/>
    </xf>
    <xf numFmtId="0" fontId="31" fillId="56" borderId="24" xfId="0" applyFont="1" applyFill="1" applyBorder="1" applyAlignment="1">
      <alignment horizontal="center" wrapText="1"/>
    </xf>
    <xf numFmtId="3" fontId="213" fillId="0" borderId="27" xfId="0" applyNumberFormat="1" applyFont="1" applyBorder="1"/>
    <xf numFmtId="41" fontId="213" fillId="0" borderId="28" xfId="0" applyNumberFormat="1" applyFont="1" applyBorder="1"/>
    <xf numFmtId="173" fontId="213" fillId="0" borderId="28" xfId="4" applyNumberFormat="1" applyFont="1" applyFill="1" applyBorder="1"/>
    <xf numFmtId="41" fontId="213" fillId="0" borderId="29" xfId="0" applyNumberFormat="1" applyFont="1" applyBorder="1"/>
    <xf numFmtId="3" fontId="212" fillId="0" borderId="27" xfId="0" applyNumberFormat="1" applyFont="1" applyBorder="1"/>
    <xf numFmtId="10" fontId="31" fillId="0" borderId="0" xfId="0" applyNumberFormat="1" applyFont="1"/>
    <xf numFmtId="10" fontId="31" fillId="0" borderId="0" xfId="3" applyNumberFormat="1" applyFont="1"/>
    <xf numFmtId="3" fontId="214" fillId="0" borderId="0" xfId="0" applyNumberFormat="1" applyFont="1"/>
    <xf numFmtId="0" fontId="213" fillId="0" borderId="28" xfId="0" applyFont="1" applyBorder="1"/>
    <xf numFmtId="41" fontId="213" fillId="0" borderId="27" xfId="0" applyNumberFormat="1" applyFont="1" applyBorder="1"/>
    <xf numFmtId="14" fontId="0" fillId="0" borderId="0" xfId="0" applyNumberFormat="1"/>
    <xf numFmtId="3" fontId="215" fillId="0" borderId="122" xfId="0" applyNumberFormat="1" applyFont="1" applyBorder="1" applyProtection="1">
      <protection locked="0"/>
    </xf>
    <xf numFmtId="3" fontId="215" fillId="0" borderId="121" xfId="0" applyNumberFormat="1" applyFont="1" applyBorder="1" applyProtection="1">
      <protection locked="0"/>
    </xf>
    <xf numFmtId="176" fontId="215" fillId="0" borderId="112" xfId="0" applyNumberFormat="1" applyFont="1" applyBorder="1"/>
    <xf numFmtId="176" fontId="215" fillId="59" borderId="112" xfId="0" applyNumberFormat="1" applyFont="1" applyFill="1" applyBorder="1"/>
    <xf numFmtId="3" fontId="216" fillId="0" borderId="113" xfId="0" quotePrefix="1" applyNumberFormat="1" applyFont="1" applyBorder="1"/>
    <xf numFmtId="3" fontId="216" fillId="0" borderId="113" xfId="0" applyNumberFormat="1" applyFont="1" applyBorder="1"/>
    <xf numFmtId="178" fontId="0" fillId="0" borderId="0" xfId="3" applyNumberFormat="1" applyFont="1"/>
    <xf numFmtId="3" fontId="215" fillId="0" borderId="112" xfId="0" applyNumberFormat="1" applyFont="1" applyBorder="1"/>
    <xf numFmtId="0" fontId="216" fillId="0" borderId="113" xfId="0" applyFont="1" applyBorder="1"/>
    <xf numFmtId="14" fontId="30" fillId="0" borderId="0" xfId="0" applyNumberFormat="1" applyFont="1"/>
    <xf numFmtId="3" fontId="218" fillId="0" borderId="29" xfId="0" applyNumberFormat="1" applyFont="1" applyBorder="1"/>
    <xf numFmtId="0" fontId="0" fillId="0" borderId="29" xfId="0" applyBorder="1"/>
    <xf numFmtId="14" fontId="172" fillId="0" borderId="29" xfId="0" applyNumberFormat="1" applyFont="1" applyBorder="1"/>
    <xf numFmtId="14" fontId="216" fillId="0" borderId="29" xfId="0" applyNumberFormat="1" applyFont="1" applyBorder="1"/>
    <xf numFmtId="14" fontId="0" fillId="0" borderId="29" xfId="0" applyNumberFormat="1" applyBorder="1"/>
    <xf numFmtId="14" fontId="217" fillId="0" borderId="29" xfId="0" applyNumberFormat="1" applyFont="1" applyBorder="1"/>
    <xf numFmtId="0" fontId="159" fillId="62" borderId="29" xfId="0" applyFont="1" applyFill="1" applyBorder="1"/>
    <xf numFmtId="0" fontId="159" fillId="62" borderId="0" xfId="0" applyFont="1" applyFill="1"/>
    <xf numFmtId="193" fontId="159" fillId="62" borderId="0" xfId="0" applyNumberFormat="1" applyFont="1" applyFill="1"/>
    <xf numFmtId="0" fontId="25" fillId="62" borderId="32" xfId="0" applyFont="1" applyFill="1" applyBorder="1"/>
    <xf numFmtId="0" fontId="25" fillId="62" borderId="21" xfId="0" applyFont="1" applyFill="1" applyBorder="1"/>
    <xf numFmtId="173" fontId="25" fillId="62" borderId="21" xfId="4" applyNumberFormat="1" applyFont="1" applyFill="1" applyBorder="1"/>
    <xf numFmtId="10" fontId="0" fillId="0" borderId="21" xfId="3" applyNumberFormat="1" applyFont="1" applyBorder="1"/>
    <xf numFmtId="193" fontId="209" fillId="65" borderId="63" xfId="0" applyNumberFormat="1" applyFont="1" applyFill="1" applyBorder="1"/>
    <xf numFmtId="175" fontId="0" fillId="0" borderId="0" xfId="0" applyNumberFormat="1"/>
    <xf numFmtId="6" fontId="219" fillId="0" borderId="0" xfId="0" applyNumberFormat="1" applyFont="1"/>
    <xf numFmtId="6" fontId="110" fillId="0" borderId="0" xfId="0" applyNumberFormat="1" applyFont="1"/>
    <xf numFmtId="173" fontId="209" fillId="65" borderId="21" xfId="0" applyNumberFormat="1" applyFont="1" applyFill="1" applyBorder="1" applyAlignment="1">
      <alignment horizontal="center"/>
    </xf>
    <xf numFmtId="0" fontId="31" fillId="56" borderId="33" xfId="0" applyFont="1" applyFill="1" applyBorder="1" applyAlignment="1">
      <alignment wrapText="1"/>
    </xf>
    <xf numFmtId="0" fontId="31" fillId="56" borderId="25" xfId="0" applyFont="1" applyFill="1" applyBorder="1" applyAlignment="1">
      <alignment wrapText="1"/>
    </xf>
    <xf numFmtId="0" fontId="15" fillId="52" borderId="15" xfId="0" applyFont="1" applyFill="1" applyBorder="1" applyAlignment="1">
      <alignment horizontal="left" wrapText="1"/>
    </xf>
    <xf numFmtId="0" fontId="15" fillId="52" borderId="17" xfId="0" applyFont="1" applyFill="1" applyBorder="1" applyAlignment="1">
      <alignment horizontal="left"/>
    </xf>
    <xf numFmtId="1" fontId="5" fillId="10" borderId="29" xfId="0" applyNumberFormat="1" applyFont="1" applyFill="1" applyBorder="1" applyAlignment="1">
      <alignment horizontal="center"/>
    </xf>
    <xf numFmtId="1" fontId="5" fillId="10" borderId="28" xfId="0" applyNumberFormat="1" applyFont="1" applyFill="1" applyBorder="1" applyAlignment="1">
      <alignment horizontal="center"/>
    </xf>
    <xf numFmtId="1" fontId="114" fillId="10" borderId="26" xfId="0" applyNumberFormat="1" applyFont="1" applyFill="1" applyBorder="1" applyAlignment="1">
      <alignment horizontal="center"/>
    </xf>
    <xf numFmtId="1" fontId="114" fillId="10" borderId="25" xfId="0" applyNumberFormat="1" applyFont="1" applyFill="1" applyBorder="1" applyAlignment="1">
      <alignment horizontal="center"/>
    </xf>
    <xf numFmtId="0" fontId="153" fillId="14" borderId="33" xfId="0" applyFont="1" applyFill="1" applyBorder="1" applyAlignment="1">
      <alignment horizontal="center" vertical="center" wrapText="1"/>
    </xf>
    <xf numFmtId="0" fontId="153" fillId="14" borderId="0" xfId="0" applyFont="1" applyFill="1" applyAlignment="1">
      <alignment horizontal="center" vertical="center" wrapText="1"/>
    </xf>
    <xf numFmtId="0" fontId="192" fillId="0" borderId="33" xfId="0" applyFont="1" applyBorder="1" applyAlignment="1" applyProtection="1">
      <alignment horizontal="center" vertical="center" wrapText="1"/>
      <protection locked="0"/>
    </xf>
    <xf numFmtId="0" fontId="192" fillId="0" borderId="0" xfId="0" applyFont="1" applyAlignment="1" applyProtection="1">
      <alignment horizontal="center" vertical="center" wrapText="1"/>
      <protection locked="0"/>
    </xf>
    <xf numFmtId="0" fontId="193" fillId="0" borderId="33" xfId="0" applyFont="1" applyBorder="1" applyAlignment="1" applyProtection="1">
      <alignment horizontal="center" vertical="center" wrapText="1"/>
      <protection locked="0"/>
    </xf>
    <xf numFmtId="0" fontId="193" fillId="0" borderId="0" xfId="0" applyFont="1" applyAlignment="1" applyProtection="1">
      <alignment horizontal="center" vertical="center" wrapText="1"/>
      <protection locked="0"/>
    </xf>
    <xf numFmtId="0" fontId="194" fillId="0" borderId="33" xfId="0" applyFont="1" applyBorder="1" applyAlignment="1">
      <alignment horizontal="center" vertical="center" wrapText="1"/>
    </xf>
    <xf numFmtId="0" fontId="194" fillId="0" borderId="0" xfId="0" applyFont="1" applyAlignment="1">
      <alignment horizontal="center" vertical="center" wrapText="1"/>
    </xf>
  </cellXfs>
  <cellStyles count="53">
    <cellStyle name="20% - Accent1" xfId="22" builtinId="30" customBuiltin="1"/>
    <cellStyle name="20% - Accent2" xfId="25" builtinId="34" customBuiltin="1"/>
    <cellStyle name="20% - Accent3" xfId="28" builtinId="38" customBuiltin="1"/>
    <cellStyle name="20% - Accent4" xfId="31" builtinId="42" customBuiltin="1"/>
    <cellStyle name="20% - Accent5" xfId="34" builtinId="46" customBuiltin="1"/>
    <cellStyle name="20% - Accent6" xfId="37" builtinId="50" customBuiltin="1"/>
    <cellStyle name="40% - Accent1" xfId="23" builtinId="31" customBuiltin="1"/>
    <cellStyle name="40% - Accent2" xfId="26" builtinId="35" customBuiltin="1"/>
    <cellStyle name="40% - Accent3" xfId="29" builtinId="39" customBuiltin="1"/>
    <cellStyle name="40% - Accent4" xfId="32" builtinId="43" customBuiltin="1"/>
    <cellStyle name="40% - Accent5" xfId="35" builtinId="47" customBuiltin="1"/>
    <cellStyle name="40% - Accent6" xfId="38" builtinId="51" customBuiltin="1"/>
    <cellStyle name="60% - Accent1 2" xfId="43" xr:uid="{00000000-0005-0000-0000-00000C000000}"/>
    <cellStyle name="60% - Accent2 2" xfId="44" xr:uid="{00000000-0005-0000-0000-00000D000000}"/>
    <cellStyle name="60% - Accent3 2" xfId="45" xr:uid="{00000000-0005-0000-0000-00000E000000}"/>
    <cellStyle name="60% - Accent4 2" xfId="46" xr:uid="{00000000-0005-0000-0000-00000F000000}"/>
    <cellStyle name="60% - Accent5 2" xfId="47" xr:uid="{00000000-0005-0000-0000-000010000000}"/>
    <cellStyle name="60% - Accent6 2" xfId="48" xr:uid="{00000000-0005-0000-0000-000011000000}"/>
    <cellStyle name="Accent1" xfId="21" builtinId="29" customBuiltin="1"/>
    <cellStyle name="Accent2" xfId="24" builtinId="33" customBuiltin="1"/>
    <cellStyle name="Accent3" xfId="27" builtinId="37" customBuiltin="1"/>
    <cellStyle name="Accent4" xfId="30" builtinId="41" customBuiltin="1"/>
    <cellStyle name="Accent5" xfId="33" builtinId="45" customBuiltin="1"/>
    <cellStyle name="Accent6" xfId="36" builtinId="49" customBuiltin="1"/>
    <cellStyle name="Bad" xfId="12" builtinId="27" customBuiltin="1"/>
    <cellStyle name="Calculation" xfId="15" builtinId="22" customBuiltin="1"/>
    <cellStyle name="Check Cell" xfId="17" builtinId="23" customBuiltin="1"/>
    <cellStyle name="Comma" xfId="4" builtinId="3"/>
    <cellStyle name="Comma 2" xfId="50" xr:uid="{00000000-0005-0000-0000-00001C000000}"/>
    <cellStyle name="Comma 7" xfId="6" xr:uid="{00000000-0005-0000-0000-00001D000000}"/>
    <cellStyle name="Currency" xfId="5" builtinId="4"/>
    <cellStyle name="Currency 2" xfId="49" xr:uid="{00000000-0005-0000-0000-00001F000000}"/>
    <cellStyle name="Explanatory Text" xfId="19" builtinId="53" customBuiltin="1"/>
    <cellStyle name="Followed Hyperlink" xfId="2" builtinId="9" hidde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1" builtinId="8" hidden="1"/>
    <cellStyle name="Hyperlink 2" xfId="52" xr:uid="{00000000-0005-0000-0000-000028000000}"/>
    <cellStyle name="Input" xfId="13" builtinId="20" customBuiltin="1"/>
    <cellStyle name="Linked Cell" xfId="16" builtinId="24" customBuiltin="1"/>
    <cellStyle name="Neutral 2" xfId="41" xr:uid="{00000000-0005-0000-0000-00002B000000}"/>
    <cellStyle name="Normal" xfId="0" builtinId="0"/>
    <cellStyle name="Normal 2" xfId="39" xr:uid="{00000000-0005-0000-0000-00002D000000}"/>
    <cellStyle name="Note 2" xfId="42" xr:uid="{00000000-0005-0000-0000-00002E000000}"/>
    <cellStyle name="Output" xfId="14" builtinId="21" customBuiltin="1"/>
    <cellStyle name="Percent" xfId="3" builtinId="5"/>
    <cellStyle name="Percent 2" xfId="51" xr:uid="{00000000-0005-0000-0000-000031000000}"/>
    <cellStyle name="Title 2" xfId="40" xr:uid="{00000000-0005-0000-0000-000032000000}"/>
    <cellStyle name="Total" xfId="20" builtinId="25" customBuiltin="1"/>
    <cellStyle name="Warning Text" xfId="18" builtinId="11" customBuiltin="1"/>
  </cellStyles>
  <dxfs count="4"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colors>
    <mruColors>
      <color rgb="FF0000FF"/>
      <color rgb="FFFFFF99"/>
      <color rgb="FFFF00FF"/>
      <color rgb="FF00FFFF"/>
      <color rgb="FFDA9694"/>
      <color rgb="FFFF6600"/>
      <color rgb="FF66FF66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e\Documents\Fincom\2025\Omn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e\Documents\Fincom\2025\FY25%20Water%20Enterprise%20Department%20Level\FY25%20Water%20Enterprise%20Budget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BUDGET DETAIL"/>
      <sheetName val="HIGHLIGHTS-NOTES"/>
      <sheetName val="ABOVE GUIDELINES"/>
      <sheetName val="SUMMARY"/>
      <sheetName val="Exp By Function"/>
      <sheetName val="Town-Sch Unclassified"/>
      <sheetName val="Library MARS"/>
      <sheetName val="% INC"/>
      <sheetName val="Pie Chart-Budget"/>
      <sheetName val="Pie Chart-School"/>
    </sheetNames>
    <sheetDataSet>
      <sheetData sheetId="0"/>
      <sheetData sheetId="1">
        <row r="7">
          <cell r="CX7">
            <v>50</v>
          </cell>
        </row>
        <row r="18">
          <cell r="CX18">
            <v>238778</v>
          </cell>
        </row>
        <row r="27">
          <cell r="CX27">
            <v>77322</v>
          </cell>
        </row>
        <row r="39">
          <cell r="CX39">
            <v>13890</v>
          </cell>
        </row>
        <row r="50">
          <cell r="CX50">
            <v>77300</v>
          </cell>
        </row>
        <row r="55">
          <cell r="CX55">
            <v>1687</v>
          </cell>
        </row>
        <row r="62">
          <cell r="CX62">
            <v>350</v>
          </cell>
        </row>
        <row r="65">
          <cell r="CX65">
            <v>100000</v>
          </cell>
        </row>
        <row r="72">
          <cell r="CX72">
            <v>108000</v>
          </cell>
        </row>
        <row r="77">
          <cell r="CX77">
            <v>66972</v>
          </cell>
        </row>
        <row r="88">
          <cell r="CX88">
            <v>37026</v>
          </cell>
        </row>
        <row r="96">
          <cell r="CX96">
            <v>105220</v>
          </cell>
        </row>
        <row r="100">
          <cell r="CX100">
            <v>53425</v>
          </cell>
        </row>
        <row r="117">
          <cell r="CX117">
            <v>57645</v>
          </cell>
        </row>
        <row r="124">
          <cell r="CX124">
            <v>105566</v>
          </cell>
        </row>
        <row r="129">
          <cell r="CX129">
            <v>112933</v>
          </cell>
        </row>
        <row r="146">
          <cell r="CX146">
            <v>45627</v>
          </cell>
        </row>
        <row r="151">
          <cell r="CW151">
            <v>24012</v>
          </cell>
        </row>
        <row r="184">
          <cell r="CX184">
            <v>245274</v>
          </cell>
        </row>
        <row r="189">
          <cell r="CX189">
            <v>688</v>
          </cell>
        </row>
        <row r="198">
          <cell r="CX198">
            <v>5251</v>
          </cell>
        </row>
        <row r="206">
          <cell r="CX206">
            <v>50225</v>
          </cell>
        </row>
        <row r="213">
          <cell r="CX213">
            <v>86070</v>
          </cell>
        </row>
        <row r="221">
          <cell r="CX221">
            <v>45555</v>
          </cell>
        </row>
        <row r="240">
          <cell r="CX240">
            <v>24482</v>
          </cell>
        </row>
        <row r="253">
          <cell r="CX253">
            <v>77585</v>
          </cell>
        </row>
        <row r="257">
          <cell r="CX257">
            <v>27036</v>
          </cell>
        </row>
        <row r="266">
          <cell r="CX266">
            <v>5</v>
          </cell>
        </row>
        <row r="270">
          <cell r="CX270">
            <v>2903</v>
          </cell>
        </row>
        <row r="281">
          <cell r="CX281">
            <v>1750</v>
          </cell>
        </row>
        <row r="288">
          <cell r="CX288">
            <v>11585</v>
          </cell>
        </row>
        <row r="297">
          <cell r="CX297">
            <v>750</v>
          </cell>
        </row>
        <row r="311">
          <cell r="CX311">
            <v>273430</v>
          </cell>
        </row>
        <row r="334">
          <cell r="CX334">
            <v>1298175</v>
          </cell>
        </row>
        <row r="375">
          <cell r="CX375">
            <v>135654</v>
          </cell>
        </row>
        <row r="385">
          <cell r="CX385">
            <v>146720</v>
          </cell>
        </row>
        <row r="399">
          <cell r="CX399">
            <v>940501</v>
          </cell>
        </row>
        <row r="441">
          <cell r="CX441">
            <v>170518</v>
          </cell>
        </row>
        <row r="453">
          <cell r="CX453">
            <v>114615</v>
          </cell>
        </row>
        <row r="459">
          <cell r="CX459">
            <v>43880</v>
          </cell>
        </row>
        <row r="472">
          <cell r="CX472">
            <v>15465</v>
          </cell>
        </row>
        <row r="478">
          <cell r="CX478">
            <v>1726</v>
          </cell>
        </row>
        <row r="483">
          <cell r="CX483">
            <v>6000</v>
          </cell>
        </row>
        <row r="488">
          <cell r="CX488">
            <v>1000</v>
          </cell>
        </row>
        <row r="494">
          <cell r="CX494">
            <v>7750</v>
          </cell>
        </row>
        <row r="499">
          <cell r="CX499">
            <v>1840</v>
          </cell>
        </row>
        <row r="505">
          <cell r="CX505">
            <v>5000</v>
          </cell>
        </row>
        <row r="509">
          <cell r="CX509">
            <v>3530</v>
          </cell>
        </row>
        <row r="517">
          <cell r="CX517">
            <v>8260</v>
          </cell>
        </row>
        <row r="544">
          <cell r="CX544">
            <v>7418</v>
          </cell>
        </row>
        <row r="546">
          <cell r="CX546">
            <v>25000</v>
          </cell>
        </row>
        <row r="554">
          <cell r="CX554">
            <v>71584</v>
          </cell>
        </row>
        <row r="565">
          <cell r="CX565">
            <v>360111</v>
          </cell>
        </row>
        <row r="569">
          <cell r="CX569">
            <v>6798</v>
          </cell>
        </row>
        <row r="570">
          <cell r="CX570">
            <v>4400</v>
          </cell>
        </row>
        <row r="571">
          <cell r="CX571">
            <v>6600</v>
          </cell>
        </row>
        <row r="572">
          <cell r="CX572">
            <v>9495</v>
          </cell>
        </row>
        <row r="573">
          <cell r="CX573">
            <v>5600</v>
          </cell>
        </row>
        <row r="574">
          <cell r="CX574">
            <v>300</v>
          </cell>
        </row>
        <row r="575">
          <cell r="CX575">
            <v>5000</v>
          </cell>
        </row>
        <row r="576">
          <cell r="CX576">
            <v>0</v>
          </cell>
        </row>
        <row r="577">
          <cell r="CX577">
            <v>500</v>
          </cell>
        </row>
        <row r="578">
          <cell r="CX578">
            <v>5900</v>
          </cell>
        </row>
        <row r="579">
          <cell r="CX579">
            <v>300</v>
          </cell>
        </row>
        <row r="580">
          <cell r="CX580">
            <v>0</v>
          </cell>
        </row>
        <row r="581">
          <cell r="CX581">
            <v>900</v>
          </cell>
        </row>
        <row r="582">
          <cell r="CX582">
            <v>750</v>
          </cell>
        </row>
        <row r="583">
          <cell r="CX583">
            <v>200</v>
          </cell>
        </row>
        <row r="584">
          <cell r="CX584">
            <v>765</v>
          </cell>
        </row>
        <row r="585">
          <cell r="CX585">
            <v>500</v>
          </cell>
        </row>
        <row r="586">
          <cell r="CX586">
            <v>5000</v>
          </cell>
        </row>
        <row r="587">
          <cell r="CX587">
            <v>0</v>
          </cell>
        </row>
        <row r="588">
          <cell r="CX588">
            <v>2480</v>
          </cell>
        </row>
        <row r="589">
          <cell r="CX589">
            <v>1100</v>
          </cell>
        </row>
        <row r="590">
          <cell r="CX590">
            <v>400</v>
          </cell>
        </row>
        <row r="591">
          <cell r="CX591">
            <v>0</v>
          </cell>
        </row>
        <row r="592">
          <cell r="CX592">
            <v>0</v>
          </cell>
        </row>
        <row r="593">
          <cell r="CX593">
            <v>750</v>
          </cell>
        </row>
        <row r="594">
          <cell r="CX594">
            <v>2120</v>
          </cell>
        </row>
        <row r="595">
          <cell r="CX595">
            <v>3500</v>
          </cell>
        </row>
        <row r="596">
          <cell r="CX596">
            <v>25056</v>
          </cell>
        </row>
        <row r="597">
          <cell r="CX597">
            <v>200</v>
          </cell>
        </row>
        <row r="598">
          <cell r="CX598">
            <v>7000</v>
          </cell>
        </row>
        <row r="599">
          <cell r="CX599">
            <v>13525</v>
          </cell>
        </row>
        <row r="600">
          <cell r="CX600">
            <v>1200</v>
          </cell>
        </row>
        <row r="601">
          <cell r="CX601">
            <v>150</v>
          </cell>
        </row>
        <row r="602">
          <cell r="CX602">
            <v>500</v>
          </cell>
        </row>
        <row r="603">
          <cell r="CX603">
            <v>7500</v>
          </cell>
        </row>
        <row r="604">
          <cell r="CX604">
            <v>1020</v>
          </cell>
        </row>
        <row r="605">
          <cell r="CX605">
            <v>0</v>
          </cell>
        </row>
        <row r="606">
          <cell r="CX606">
            <v>74067</v>
          </cell>
        </row>
        <row r="619">
          <cell r="CX619">
            <v>38870</v>
          </cell>
        </row>
        <row r="628">
          <cell r="CX628">
            <v>176845</v>
          </cell>
        </row>
        <row r="634">
          <cell r="CX634">
            <v>33000</v>
          </cell>
        </row>
        <row r="641">
          <cell r="CX641">
            <v>574500</v>
          </cell>
        </row>
        <row r="648">
          <cell r="CX648">
            <v>1650</v>
          </cell>
        </row>
        <row r="655">
          <cell r="CX655">
            <v>65000</v>
          </cell>
        </row>
        <row r="662">
          <cell r="CX662">
            <v>47723</v>
          </cell>
        </row>
        <row r="673">
          <cell r="CX673">
            <v>194394</v>
          </cell>
        </row>
        <row r="705">
          <cell r="CX705">
            <v>105970</v>
          </cell>
        </row>
        <row r="714">
          <cell r="CX714">
            <v>32600</v>
          </cell>
        </row>
        <row r="722">
          <cell r="CX722">
            <v>81228</v>
          </cell>
        </row>
        <row r="730">
          <cell r="CX730">
            <v>31286</v>
          </cell>
        </row>
        <row r="747">
          <cell r="CX747">
            <v>35892</v>
          </cell>
        </row>
        <row r="753">
          <cell r="CX753">
            <v>79985</v>
          </cell>
        </row>
        <row r="758">
          <cell r="CX758">
            <v>67590</v>
          </cell>
        </row>
        <row r="771">
          <cell r="CX771">
            <v>5561</v>
          </cell>
        </row>
        <row r="783">
          <cell r="CX783">
            <v>20960</v>
          </cell>
        </row>
        <row r="789">
          <cell r="CX789">
            <v>1000</v>
          </cell>
        </row>
        <row r="803">
          <cell r="CX803">
            <v>288801</v>
          </cell>
        </row>
        <row r="808">
          <cell r="CX808">
            <v>227878</v>
          </cell>
        </row>
        <row r="832">
          <cell r="CX832">
            <v>183847</v>
          </cell>
        </row>
        <row r="837">
          <cell r="CX837">
            <v>34047</v>
          </cell>
        </row>
        <row r="847">
          <cell r="CX847">
            <v>2920</v>
          </cell>
        </row>
        <row r="854">
          <cell r="CX854">
            <v>300</v>
          </cell>
        </row>
        <row r="870">
          <cell r="CX870">
            <v>1850</v>
          </cell>
        </row>
        <row r="884">
          <cell r="CX884">
            <v>2500</v>
          </cell>
        </row>
        <row r="888">
          <cell r="CX888">
            <v>143000</v>
          </cell>
        </row>
        <row r="889">
          <cell r="CX889">
            <v>12000</v>
          </cell>
        </row>
        <row r="891">
          <cell r="CX891">
            <v>170000</v>
          </cell>
        </row>
        <row r="892">
          <cell r="CX892">
            <v>165000</v>
          </cell>
        </row>
        <row r="894">
          <cell r="CX894">
            <v>65000</v>
          </cell>
        </row>
        <row r="895">
          <cell r="CX895">
            <v>80000</v>
          </cell>
        </row>
        <row r="900">
          <cell r="CX900">
            <v>63654</v>
          </cell>
        </row>
        <row r="901">
          <cell r="CX901">
            <v>1890</v>
          </cell>
        </row>
        <row r="903">
          <cell r="CX903">
            <v>183688</v>
          </cell>
        </row>
        <row r="904">
          <cell r="CX904">
            <v>102775</v>
          </cell>
        </row>
        <row r="906">
          <cell r="CX906">
            <v>55394</v>
          </cell>
        </row>
        <row r="907">
          <cell r="CX907">
            <v>39238</v>
          </cell>
        </row>
        <row r="940">
          <cell r="CX940">
            <v>1749985</v>
          </cell>
        </row>
        <row r="957">
          <cell r="CX957">
            <v>2576172</v>
          </cell>
        </row>
        <row r="968">
          <cell r="CX968">
            <v>415869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TER 061"/>
    </sheetNames>
    <sheetDataSet>
      <sheetData sheetId="0">
        <row r="8">
          <cell r="CF8">
            <v>119309</v>
          </cell>
        </row>
        <row r="19">
          <cell r="CF19">
            <v>294476</v>
          </cell>
        </row>
        <row r="71">
          <cell r="CF71">
            <v>441050</v>
          </cell>
        </row>
        <row r="73">
          <cell r="CF73">
            <v>643600</v>
          </cell>
        </row>
        <row r="74">
          <cell r="CF74">
            <v>284462</v>
          </cell>
        </row>
        <row r="76">
          <cell r="CF76">
            <v>5000</v>
          </cell>
        </row>
        <row r="77">
          <cell r="CF77">
            <v>120000</v>
          </cell>
        </row>
        <row r="81">
          <cell r="CF81">
            <v>140000</v>
          </cell>
        </row>
        <row r="82">
          <cell r="CF82">
            <v>150000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Q49"/>
  <sheetViews>
    <sheetView zoomScale="130" zoomScaleNormal="130" workbookViewId="0">
      <selection activeCell="K16" sqref="K16"/>
    </sheetView>
  </sheetViews>
  <sheetFormatPr defaultRowHeight="12.75" x14ac:dyDescent="0.35"/>
  <cols>
    <col min="2" max="2" width="12.53125" customWidth="1"/>
    <col min="3" max="3" width="10.6640625" customWidth="1"/>
    <col min="4" max="4" width="10" customWidth="1"/>
    <col min="5" max="5" width="16" customWidth="1"/>
    <col min="6" max="6" width="14.1328125" customWidth="1"/>
    <col min="7" max="7" width="14.6640625" customWidth="1"/>
    <col min="8" max="8" width="9.6640625" customWidth="1"/>
    <col min="9" max="9" width="12.46484375" customWidth="1"/>
    <col min="10" max="10" width="11.1328125" customWidth="1"/>
    <col min="11" max="11" width="14" customWidth="1"/>
    <col min="12" max="12" width="12.46484375" customWidth="1"/>
    <col min="13" max="13" width="13.33203125" customWidth="1"/>
    <col min="14" max="14" width="18" customWidth="1"/>
    <col min="15" max="15" width="13.33203125" customWidth="1"/>
    <col min="16" max="16" width="11" customWidth="1"/>
  </cols>
  <sheetData>
    <row r="2" spans="1:12" x14ac:dyDescent="0.35">
      <c r="A2" s="2509"/>
    </row>
    <row r="3" spans="1:12" hidden="1" x14ac:dyDescent="0.35">
      <c r="A3" s="2509"/>
    </row>
    <row r="4" spans="1:12" hidden="1" x14ac:dyDescent="0.35">
      <c r="A4" s="2509"/>
      <c r="B4" s="725" t="s">
        <v>885</v>
      </c>
      <c r="C4" s="726">
        <v>1</v>
      </c>
      <c r="D4" s="726"/>
      <c r="E4" s="494" t="s">
        <v>1205</v>
      </c>
      <c r="F4" s="1209">
        <f>IF($AK$6="ON",1,G4)</f>
        <v>1.0225</v>
      </c>
      <c r="G4" s="1585">
        <v>1.0225</v>
      </c>
      <c r="H4" s="1579" t="s">
        <v>1034</v>
      </c>
      <c r="I4" s="726">
        <f>IF($AK$6="ON",1,J4)</f>
        <v>1.02</v>
      </c>
      <c r="J4" s="1209">
        <v>1.02</v>
      </c>
    </row>
    <row r="5" spans="1:12" hidden="1" x14ac:dyDescent="0.35">
      <c r="A5" s="2509"/>
      <c r="B5" s="725" t="s">
        <v>915</v>
      </c>
      <c r="C5" s="1209">
        <f>IF($AK$6="ON",1,D5)</f>
        <v>1.02</v>
      </c>
      <c r="D5" s="1586">
        <v>1.02</v>
      </c>
      <c r="E5" s="494" t="s">
        <v>1136</v>
      </c>
      <c r="F5" s="1585">
        <f>IF($AK$6="ON",1,G5)</f>
        <v>1.0449999999999999</v>
      </c>
      <c r="G5" s="1612">
        <v>1.0449999999999999</v>
      </c>
      <c r="H5" s="1579" t="s">
        <v>1035</v>
      </c>
      <c r="I5" s="726">
        <f>IF($AK$6="ON",1,J5)</f>
        <v>1.02</v>
      </c>
      <c r="J5" s="1209">
        <v>1.02</v>
      </c>
    </row>
    <row r="6" spans="1:12" hidden="1" x14ac:dyDescent="0.35">
      <c r="A6" s="2509"/>
      <c r="B6" s="725" t="s">
        <v>119</v>
      </c>
      <c r="C6" s="726">
        <v>1</v>
      </c>
      <c r="D6" s="726">
        <v>1.02</v>
      </c>
      <c r="E6" s="725" t="s">
        <v>887</v>
      </c>
      <c r="F6" s="1209">
        <f>IF($AK$6="ON",1,G6)</f>
        <v>1.03</v>
      </c>
      <c r="G6" s="1613">
        <v>1.03</v>
      </c>
      <c r="H6" s="1579" t="s">
        <v>1036</v>
      </c>
      <c r="I6" s="726">
        <f t="shared" ref="I6:I7" si="0">IF($AK$6="ON",1,J6)</f>
        <v>1</v>
      </c>
      <c r="J6" s="1209">
        <v>1</v>
      </c>
    </row>
    <row r="7" spans="1:12" hidden="1" x14ac:dyDescent="0.35">
      <c r="A7" s="2509"/>
      <c r="B7" s="725" t="s">
        <v>886</v>
      </c>
      <c r="C7" s="1586">
        <f>IF($AK$6="ON",1,D7)</f>
        <v>1.1000000000000001</v>
      </c>
      <c r="D7" s="1586">
        <v>1.1000000000000001</v>
      </c>
      <c r="E7" s="725" t="s">
        <v>916</v>
      </c>
      <c r="F7" s="1209">
        <f>IF($AK$6="ON",1,G7)</f>
        <v>1.02</v>
      </c>
      <c r="G7" s="1209">
        <v>1.02</v>
      </c>
      <c r="H7" s="1579" t="s">
        <v>1037</v>
      </c>
      <c r="I7" s="726">
        <f t="shared" si="0"/>
        <v>1</v>
      </c>
      <c r="J7" s="1209">
        <v>1</v>
      </c>
    </row>
    <row r="8" spans="1:12" ht="13.15" hidden="1" thickBot="1" x14ac:dyDescent="0.4">
      <c r="A8" s="2509"/>
      <c r="B8" s="499" t="s">
        <v>15</v>
      </c>
      <c r="C8" s="1586">
        <f>IF($AK$6="ON",1,D8)</f>
        <v>1.1100000000000001</v>
      </c>
      <c r="D8" s="1586">
        <v>1.1100000000000001</v>
      </c>
      <c r="E8" s="499" t="s">
        <v>919</v>
      </c>
      <c r="F8" s="1397" t="s">
        <v>1171</v>
      </c>
      <c r="G8" s="1397"/>
      <c r="H8" s="1397" t="s">
        <v>1085</v>
      </c>
      <c r="I8" s="1397">
        <f>IF(F8="ON",1,J8)</f>
        <v>1</v>
      </c>
      <c r="J8" s="2076">
        <v>1</v>
      </c>
    </row>
    <row r="9" spans="1:12" x14ac:dyDescent="0.35">
      <c r="A9" s="2509"/>
    </row>
    <row r="11" spans="1:12" ht="13.15" thickBot="1" x14ac:dyDescent="0.4">
      <c r="K11" s="2056"/>
    </row>
    <row r="12" spans="1:12" ht="39.4" x14ac:dyDescent="0.4">
      <c r="E12" s="2549"/>
      <c r="F12" s="2397"/>
      <c r="G12" s="2567"/>
      <c r="H12" s="2608" t="s">
        <v>1289</v>
      </c>
      <c r="I12" s="2609"/>
      <c r="J12" s="2568" t="s">
        <v>1292</v>
      </c>
      <c r="K12" s="2550" t="s">
        <v>1313</v>
      </c>
      <c r="L12" s="2551" t="s">
        <v>1291</v>
      </c>
    </row>
    <row r="13" spans="1:12" ht="13.15" x14ac:dyDescent="0.4">
      <c r="E13" s="2552" t="s">
        <v>1206</v>
      </c>
      <c r="F13" s="2553" t="s">
        <v>1223</v>
      </c>
      <c r="G13" s="2554">
        <v>31937214</v>
      </c>
      <c r="H13" s="2555"/>
      <c r="I13" s="2556">
        <v>9123180</v>
      </c>
      <c r="J13" s="2424"/>
      <c r="K13" s="2425"/>
      <c r="L13" s="2426"/>
    </row>
    <row r="14" spans="1:12" ht="13.15" x14ac:dyDescent="0.4">
      <c r="E14" s="2557" t="s">
        <v>1312</v>
      </c>
      <c r="F14" s="2410"/>
      <c r="G14" s="2410"/>
      <c r="H14" s="2435">
        <v>3.2980545160788299E-2</v>
      </c>
      <c r="I14" s="2412">
        <f>I13*(1+H14)</f>
        <v>9424067.4500000011</v>
      </c>
      <c r="J14" s="2427">
        <f>I14-I13</f>
        <v>300887.45000000112</v>
      </c>
      <c r="K14" s="2428"/>
      <c r="L14" s="2429"/>
    </row>
    <row r="15" spans="1:12" ht="26.25" x14ac:dyDescent="0.4">
      <c r="E15" s="2558" t="s">
        <v>1290</v>
      </c>
      <c r="F15" s="2413">
        <v>2.75E-2</v>
      </c>
      <c r="G15" s="2449">
        <f>SUM('Masco Calculation'!L52+'Masco Calculation'!L53)*(1+F15)</f>
        <v>32815487.385000002</v>
      </c>
      <c r="H15" s="2436">
        <v>5.6099999999999997E-2</v>
      </c>
      <c r="I15" s="2527">
        <v>9635185.4963564109</v>
      </c>
      <c r="J15" s="2427">
        <f>I15-I$13</f>
        <v>512005.49635641091</v>
      </c>
      <c r="K15" s="2430">
        <f>I15-I14</f>
        <v>211118.04635640979</v>
      </c>
      <c r="L15" s="2429"/>
    </row>
    <row r="16" spans="1:12" ht="17.649999999999999" x14ac:dyDescent="0.5">
      <c r="E16" s="2557" t="s">
        <v>1208</v>
      </c>
      <c r="F16" s="2415">
        <f>G16/'Masco Calculation'!L52-1</f>
        <v>4.0912522927015527E-2</v>
      </c>
      <c r="G16" s="2526">
        <f>33243846</f>
        <v>33243846</v>
      </c>
      <c r="H16" s="2411">
        <v>7.3599999999999999E-2</v>
      </c>
      <c r="I16" s="2554">
        <f>ROUND(9760622.62096898,0)</f>
        <v>9760623</v>
      </c>
      <c r="J16" s="2427">
        <f>I16-I$13</f>
        <v>637443</v>
      </c>
      <c r="K16" s="2603">
        <f>I16-I14</f>
        <v>336555.54999999888</v>
      </c>
      <c r="L16" s="2431">
        <f>I16-I15</f>
        <v>125437.50364358909</v>
      </c>
    </row>
    <row r="17" spans="5:13" x14ac:dyDescent="0.35">
      <c r="E17" s="2559" t="s">
        <v>1224</v>
      </c>
      <c r="F17" s="2566">
        <f>F16-F15</f>
        <v>1.3412522927015526E-2</v>
      </c>
      <c r="G17" s="2560"/>
      <c r="H17" s="2561"/>
      <c r="I17" s="2561"/>
      <c r="J17" s="2432"/>
      <c r="K17" s="2432"/>
      <c r="L17" s="2432"/>
    </row>
    <row r="18" spans="5:13" x14ac:dyDescent="0.35">
      <c r="E18" s="2559"/>
      <c r="F18" s="2566"/>
      <c r="G18" s="2560"/>
      <c r="H18" s="2561"/>
      <c r="I18" s="2561"/>
      <c r="J18" s="2432"/>
      <c r="K18" s="2432"/>
      <c r="L18" s="2432"/>
    </row>
    <row r="19" spans="5:13" ht="13.15" x14ac:dyDescent="0.4">
      <c r="E19" s="2552" t="s">
        <v>1311</v>
      </c>
      <c r="F19" s="2562"/>
      <c r="G19" s="2563">
        <f>G16</f>
        <v>33243846</v>
      </c>
      <c r="H19" s="2561"/>
      <c r="I19" s="2561"/>
      <c r="J19" s="2432"/>
      <c r="K19" s="2432"/>
      <c r="L19" s="2432"/>
    </row>
    <row r="20" spans="5:13" ht="13.15" thickBot="1" x14ac:dyDescent="0.4">
      <c r="E20" s="2599" t="s">
        <v>1309</v>
      </c>
      <c r="F20" s="2600"/>
      <c r="G20" s="2601">
        <f>'Masco Calculation'!M50</f>
        <v>9760622.6209689751</v>
      </c>
      <c r="H20" s="2564"/>
      <c r="I20" s="2564"/>
      <c r="J20" s="2565"/>
      <c r="K20" s="2565"/>
      <c r="L20" s="2565"/>
      <c r="M20" s="2604">
        <f>I16</f>
        <v>9760623</v>
      </c>
    </row>
    <row r="21" spans="5:13" ht="15" x14ac:dyDescent="0.4">
      <c r="E21" s="2596" t="s">
        <v>1310</v>
      </c>
      <c r="F21" s="2597"/>
      <c r="G21" s="2598">
        <f>I14</f>
        <v>9424067.4500000011</v>
      </c>
    </row>
    <row r="23" spans="5:13" ht="13.15" thickBot="1" x14ac:dyDescent="0.4"/>
    <row r="24" spans="5:13" ht="13.15" x14ac:dyDescent="0.4">
      <c r="E24" s="2528" t="s">
        <v>1210</v>
      </c>
      <c r="F24" s="2529"/>
      <c r="G24" s="2529"/>
      <c r="H24" s="2529"/>
      <c r="I24" s="2397"/>
      <c r="J24" s="2530"/>
      <c r="K24" s="2530"/>
      <c r="L24" s="2530"/>
    </row>
    <row r="25" spans="5:13" ht="13.15" x14ac:dyDescent="0.4">
      <c r="E25" s="2531"/>
      <c r="F25" s="2532"/>
      <c r="G25" s="2533"/>
      <c r="H25" s="2534" t="s">
        <v>1228</v>
      </c>
      <c r="I25" s="2535">
        <v>11119268</v>
      </c>
      <c r="J25" s="2424"/>
      <c r="K25" s="2432"/>
      <c r="L25" s="2432"/>
    </row>
    <row r="26" spans="5:13" ht="13.15" x14ac:dyDescent="0.4">
      <c r="E26" s="2536" t="s">
        <v>1231</v>
      </c>
      <c r="F26" s="2532"/>
      <c r="G26" s="2537"/>
      <c r="H26" s="2538">
        <v>2.2499999999999999E-2</v>
      </c>
      <c r="I26" s="2539">
        <v>11369452</v>
      </c>
      <c r="J26" s="2433">
        <f>I26-I$25</f>
        <v>250184</v>
      </c>
      <c r="K26" s="2432"/>
      <c r="L26" s="2432"/>
    </row>
    <row r="27" spans="5:13" x14ac:dyDescent="0.35">
      <c r="E27" s="2536" t="s">
        <v>1229</v>
      </c>
      <c r="F27" s="2532"/>
      <c r="G27" s="2532"/>
      <c r="H27" s="2532"/>
      <c r="I27" s="2540">
        <v>11278878.48</v>
      </c>
      <c r="J27" s="2424"/>
      <c r="K27" s="2432"/>
      <c r="L27" s="2432"/>
    </row>
    <row r="28" spans="5:13" x14ac:dyDescent="0.35">
      <c r="E28" s="2536" t="s">
        <v>1230</v>
      </c>
      <c r="F28" s="2532"/>
      <c r="G28" s="2532"/>
      <c r="H28" s="2532"/>
      <c r="I28" s="2540">
        <v>364903</v>
      </c>
      <c r="J28" s="2424"/>
      <c r="K28" s="2432"/>
      <c r="L28" s="2432"/>
    </row>
    <row r="29" spans="5:13" ht="13.15" x14ac:dyDescent="0.4">
      <c r="E29" s="2536" t="s">
        <v>1221</v>
      </c>
      <c r="F29" s="2532"/>
      <c r="G29" s="2532"/>
      <c r="H29" s="2541">
        <f>I29/I$25-1</f>
        <v>4.7171583597049871E-2</v>
      </c>
      <c r="I29" s="2542">
        <f>I27+I28</f>
        <v>11643781.48</v>
      </c>
      <c r="J29" s="2433">
        <f>I29-I$25</f>
        <v>524513.48000000045</v>
      </c>
      <c r="K29" s="2434">
        <f>I29-I26</f>
        <v>274329.48000000045</v>
      </c>
      <c r="L29" s="2432"/>
    </row>
    <row r="30" spans="5:13" ht="13.5" thickBot="1" x14ac:dyDescent="0.45">
      <c r="E30" s="2543" t="s">
        <v>1302</v>
      </c>
      <c r="F30" s="2544"/>
      <c r="G30" s="2544"/>
      <c r="H30" s="2545">
        <f>I30/I$25-1</f>
        <v>6.0323934992843053E-2</v>
      </c>
      <c r="I30" s="2546">
        <v>11790026</v>
      </c>
      <c r="J30" s="2547">
        <f>I30-I$25</f>
        <v>670758</v>
      </c>
      <c r="K30" s="2548">
        <f>I30-I26</f>
        <v>420574</v>
      </c>
      <c r="L30" s="2432"/>
    </row>
    <row r="32" spans="5:13" ht="13.15" thickBot="1" x14ac:dyDescent="0.4">
      <c r="E32" s="2396" t="s">
        <v>1210</v>
      </c>
      <c r="F32" s="2397"/>
      <c r="G32" s="2397"/>
      <c r="H32" s="2397"/>
      <c r="I32" s="2416" t="s">
        <v>1084</v>
      </c>
      <c r="J32" s="2416"/>
      <c r="K32" s="2419">
        <f>G33</f>
        <v>11119268</v>
      </c>
    </row>
    <row r="33" spans="5:17" ht="13.15" thickBot="1" x14ac:dyDescent="0.4">
      <c r="E33" s="285" t="s">
        <v>1211</v>
      </c>
      <c r="G33" s="2398">
        <f>BUDGET!AR183</f>
        <v>11119268</v>
      </c>
      <c r="I33" s="2414" t="s">
        <v>1225</v>
      </c>
      <c r="J33" s="2416"/>
      <c r="K33" s="2420">
        <f>G38</f>
        <v>11278878.48</v>
      </c>
      <c r="M33" s="2118"/>
    </row>
    <row r="34" spans="5:17" ht="13.15" thickBot="1" x14ac:dyDescent="0.4">
      <c r="E34" s="285" t="s">
        <v>1212</v>
      </c>
      <c r="G34" s="2399">
        <f>88580</f>
        <v>88580</v>
      </c>
      <c r="I34" s="2414" t="s">
        <v>1226</v>
      </c>
      <c r="J34" s="2416"/>
      <c r="K34" s="2421">
        <v>11643781.48</v>
      </c>
      <c r="L34" s="2420">
        <f>K34-K33</f>
        <v>364903</v>
      </c>
    </row>
    <row r="35" spans="5:17" ht="13.5" thickBot="1" x14ac:dyDescent="0.45">
      <c r="E35" s="285"/>
      <c r="G35" s="2401">
        <f>G33-G34</f>
        <v>11030688</v>
      </c>
      <c r="I35" s="2417" t="s">
        <v>1227</v>
      </c>
      <c r="J35" s="2416"/>
      <c r="K35" s="2422">
        <v>12033460</v>
      </c>
      <c r="L35" s="2423">
        <f>K35-K33</f>
        <v>754581.51999999955</v>
      </c>
      <c r="M35" s="2418">
        <f>K35-K34</f>
        <v>389678.51999999955</v>
      </c>
    </row>
    <row r="36" spans="5:17" x14ac:dyDescent="0.35">
      <c r="E36" s="285" t="s">
        <v>1207</v>
      </c>
      <c r="F36" s="2400">
        <v>2.2499999999999999E-2</v>
      </c>
      <c r="G36" s="2402">
        <f>G35*F36</f>
        <v>248190.47999999998</v>
      </c>
      <c r="N36" s="2403">
        <f>G38-G33</f>
        <v>159610.48000000045</v>
      </c>
    </row>
    <row r="37" spans="5:17" x14ac:dyDescent="0.35">
      <c r="E37" s="285"/>
    </row>
    <row r="38" spans="5:17" x14ac:dyDescent="0.35">
      <c r="E38" s="285" t="s">
        <v>1213</v>
      </c>
      <c r="G38" s="2403">
        <f>G35+G36</f>
        <v>11278878.48</v>
      </c>
      <c r="I38" s="2400"/>
      <c r="J38" s="2404"/>
      <c r="L38" s="2403">
        <f>G38+L40</f>
        <v>11699452.48</v>
      </c>
      <c r="M38" s="2403">
        <f>L38-G33</f>
        <v>580184.48000000045</v>
      </c>
    </row>
    <row r="39" spans="5:17" x14ac:dyDescent="0.35">
      <c r="E39" s="285" t="s">
        <v>1214</v>
      </c>
      <c r="G39" s="2405">
        <v>364903</v>
      </c>
      <c r="I39" s="2400"/>
      <c r="J39" s="2404"/>
    </row>
    <row r="40" spans="5:17" ht="13.5" x14ac:dyDescent="0.35">
      <c r="E40" s="285" t="s">
        <v>1215</v>
      </c>
      <c r="G40" s="2403">
        <f>G38+G39</f>
        <v>11643781.48</v>
      </c>
      <c r="I40" s="2400"/>
      <c r="J40" s="2404"/>
      <c r="L40" s="2576">
        <v>420574</v>
      </c>
      <c r="M40" s="2586">
        <f>(L40+G38)/G33-1</f>
        <v>5.2178298067822482E-2</v>
      </c>
    </row>
    <row r="41" spans="5:17" x14ac:dyDescent="0.35">
      <c r="E41" s="285"/>
      <c r="G41" s="2403"/>
      <c r="J41" s="2404"/>
    </row>
    <row r="42" spans="5:17" x14ac:dyDescent="0.35">
      <c r="E42" s="285"/>
      <c r="G42" s="2403"/>
      <c r="J42" s="2404"/>
      <c r="M42">
        <f>88580*1.0225</f>
        <v>90573.05</v>
      </c>
    </row>
    <row r="43" spans="5:17" ht="25.9" x14ac:dyDescent="0.4">
      <c r="E43" s="2406" t="s">
        <v>1216</v>
      </c>
      <c r="F43" s="2400">
        <v>2.2499999999999999E-2</v>
      </c>
      <c r="G43" s="2506">
        <v>11369452</v>
      </c>
      <c r="J43" s="2404"/>
      <c r="M43" s="2403">
        <f>G39-M42</f>
        <v>274329.95</v>
      </c>
    </row>
    <row r="44" spans="5:17" x14ac:dyDescent="0.35">
      <c r="E44" s="285"/>
      <c r="J44" s="2404"/>
      <c r="M44">
        <f>134754</f>
        <v>134754</v>
      </c>
      <c r="Q44" t="s">
        <v>1222</v>
      </c>
    </row>
    <row r="45" spans="5:17" ht="25.5" x14ac:dyDescent="0.35">
      <c r="E45" s="2406" t="s">
        <v>1217</v>
      </c>
      <c r="F45" s="2407">
        <f>G45/G33-1</f>
        <v>4.7171583597049871E-2</v>
      </c>
      <c r="G45" s="2403">
        <f>G40</f>
        <v>11643781.48</v>
      </c>
      <c r="J45" s="2404"/>
      <c r="M45" s="2403">
        <f>M43-M44</f>
        <v>139575.95000000001</v>
      </c>
    </row>
    <row r="46" spans="5:17" x14ac:dyDescent="0.35">
      <c r="E46" s="2406"/>
      <c r="J46" s="2404"/>
      <c r="M46">
        <v>50000</v>
      </c>
    </row>
    <row r="47" spans="5:17" x14ac:dyDescent="0.35">
      <c r="E47" s="2406" t="s">
        <v>1218</v>
      </c>
      <c r="F47" s="2400">
        <f>G47/G33-1</f>
        <v>8.2216922912551338E-2</v>
      </c>
      <c r="G47" s="2398">
        <f>12033460</f>
        <v>12033460</v>
      </c>
      <c r="J47" s="2404"/>
      <c r="M47" s="2403">
        <f>M45-M46</f>
        <v>89575.950000000012</v>
      </c>
    </row>
    <row r="48" spans="5:17" x14ac:dyDescent="0.35">
      <c r="E48" s="2406"/>
      <c r="F48" s="2400"/>
      <c r="G48" s="2398"/>
      <c r="J48" s="2404"/>
    </row>
    <row r="49" spans="5:10" ht="18" thickBot="1" x14ac:dyDescent="0.55000000000000004">
      <c r="E49" s="2507" t="s">
        <v>1209</v>
      </c>
      <c r="F49" s="2508"/>
      <c r="G49" s="2607">
        <v>11419452</v>
      </c>
      <c r="H49" s="2607"/>
      <c r="I49" s="2602">
        <f>G49/I25-1</f>
        <v>2.6996741152385262E-2</v>
      </c>
      <c r="J49" s="2408"/>
    </row>
  </sheetData>
  <mergeCells count="2">
    <mergeCell ref="G49:H49"/>
    <mergeCell ref="H12:I12"/>
  </mergeCells>
  <conditionalFormatting sqref="G19">
    <cfRule type="cellIs" dxfId="3" priority="1" operator="equal">
      <formula>$G$16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W47"/>
  <sheetViews>
    <sheetView workbookViewId="0">
      <selection activeCell="AB37" sqref="AB37"/>
    </sheetView>
  </sheetViews>
  <sheetFormatPr defaultColWidth="8.86328125" defaultRowHeight="10.15" x14ac:dyDescent="0.3"/>
  <cols>
    <col min="1" max="1" width="48" style="7" customWidth="1"/>
    <col min="2" max="2" width="9.33203125" style="7" hidden="1" customWidth="1"/>
    <col min="3" max="3" width="2.1328125" style="7" hidden="1" customWidth="1"/>
    <col min="4" max="4" width="9.33203125" style="7" hidden="1" customWidth="1"/>
    <col min="5" max="5" width="2.1328125" style="7" hidden="1" customWidth="1"/>
    <col min="6" max="6" width="9.33203125" style="7" hidden="1" customWidth="1"/>
    <col min="7" max="7" width="2.1328125" style="7" hidden="1" customWidth="1"/>
    <col min="8" max="8" width="9.6640625" style="7" hidden="1" customWidth="1"/>
    <col min="9" max="9" width="2.1328125" style="7" hidden="1" customWidth="1"/>
    <col min="10" max="10" width="9.6640625" style="7" hidden="1" customWidth="1"/>
    <col min="11" max="11" width="2.6640625" style="7" hidden="1" customWidth="1"/>
    <col min="12" max="12" width="10.33203125" style="7" hidden="1" customWidth="1"/>
    <col min="13" max="13" width="2.6640625" style="7" hidden="1" customWidth="1"/>
    <col min="14" max="14" width="10.6640625" style="7" hidden="1" customWidth="1"/>
    <col min="15" max="15" width="2.6640625" style="7" hidden="1" customWidth="1"/>
    <col min="16" max="16" width="10.6640625" style="7" hidden="1" customWidth="1"/>
    <col min="17" max="17" width="2.6640625" style="7" hidden="1" customWidth="1"/>
    <col min="18" max="18" width="10.6640625" style="7" hidden="1" customWidth="1"/>
    <col min="19" max="19" width="2.6640625" style="7" hidden="1" customWidth="1"/>
    <col min="20" max="20" width="10.6640625" style="7" hidden="1" customWidth="1"/>
    <col min="21" max="21" width="2.6640625" style="7" hidden="1" customWidth="1"/>
    <col min="22" max="22" width="10.6640625" style="7" hidden="1" customWidth="1"/>
    <col min="23" max="23" width="2.6640625" style="7" hidden="1" customWidth="1"/>
    <col min="24" max="24" width="10.6640625" style="7" hidden="1" customWidth="1"/>
    <col min="25" max="25" width="2.6640625" style="7" hidden="1" customWidth="1"/>
    <col min="26" max="26" width="10.6640625" style="7" hidden="1" customWidth="1"/>
    <col min="27" max="27" width="2.6640625" style="7" hidden="1" customWidth="1"/>
    <col min="28" max="28" width="10.6640625" style="7" customWidth="1"/>
    <col min="29" max="29" width="2.6640625" style="7" customWidth="1"/>
    <col min="30" max="30" width="9.46484375" style="7" customWidth="1"/>
    <col min="31" max="31" width="2.6640625" style="7" customWidth="1"/>
    <col min="32" max="32" width="9.46484375" style="7" customWidth="1"/>
    <col min="33" max="33" width="2.6640625" style="7" customWidth="1"/>
    <col min="34" max="34" width="9.46484375" style="7" customWidth="1"/>
    <col min="35" max="35" width="2.6640625" style="7" customWidth="1"/>
    <col min="36" max="36" width="9.46484375" style="7" customWidth="1"/>
    <col min="37" max="37" width="2.1328125" style="7" customWidth="1"/>
    <col min="38" max="38" width="9.46484375" style="7" customWidth="1"/>
    <col min="39" max="39" width="2.1328125" style="7" customWidth="1"/>
    <col min="40" max="40" width="9.46484375" style="7" customWidth="1"/>
    <col min="41" max="41" width="2.1328125" style="7" customWidth="1"/>
    <col min="42" max="43" width="9.46484375" style="7" customWidth="1"/>
    <col min="44" max="44" width="2.6640625" style="7" customWidth="1"/>
    <col min="45" max="45" width="9.6640625" style="7" customWidth="1"/>
    <col min="46" max="46" width="8.86328125" style="7"/>
    <col min="47" max="47" width="11.1328125" style="7" bestFit="1" customWidth="1"/>
    <col min="48" max="16384" width="8.86328125" style="7"/>
  </cols>
  <sheetData>
    <row r="1" spans="1:49" x14ac:dyDescent="0.3">
      <c r="B1" s="438" t="s">
        <v>581</v>
      </c>
      <c r="C1" s="367"/>
      <c r="D1" s="438" t="s">
        <v>581</v>
      </c>
      <c r="E1" s="439"/>
      <c r="F1" s="440" t="s">
        <v>581</v>
      </c>
      <c r="G1" s="439"/>
      <c r="H1" s="440" t="s">
        <v>581</v>
      </c>
      <c r="I1" s="439"/>
      <c r="J1" s="440" t="s">
        <v>581</v>
      </c>
      <c r="K1" s="440"/>
      <c r="L1" s="440" t="s">
        <v>581</v>
      </c>
      <c r="M1" s="440"/>
      <c r="N1" s="440" t="s">
        <v>581</v>
      </c>
      <c r="O1" s="439"/>
      <c r="P1" s="440" t="s">
        <v>581</v>
      </c>
      <c r="Q1" s="439"/>
      <c r="R1" s="440" t="s">
        <v>581</v>
      </c>
      <c r="S1" s="439"/>
      <c r="T1" s="440" t="s">
        <v>581</v>
      </c>
      <c r="U1" s="439"/>
      <c r="V1" s="440" t="s">
        <v>581</v>
      </c>
      <c r="W1" s="439"/>
      <c r="X1" s="440" t="s">
        <v>581</v>
      </c>
      <c r="Y1" s="439"/>
      <c r="Z1" s="440" t="s">
        <v>581</v>
      </c>
      <c r="AA1" s="439"/>
      <c r="AB1" s="440" t="s">
        <v>581</v>
      </c>
      <c r="AC1" s="440"/>
      <c r="AD1" s="440" t="s">
        <v>581</v>
      </c>
      <c r="AE1" s="440"/>
      <c r="AF1" s="440" t="s">
        <v>581</v>
      </c>
      <c r="AG1" s="439"/>
      <c r="AH1" s="440" t="s">
        <v>581</v>
      </c>
      <c r="AI1" s="439"/>
      <c r="AJ1" s="440" t="s">
        <v>581</v>
      </c>
      <c r="AK1" s="440"/>
      <c r="AL1" s="440" t="s">
        <v>581</v>
      </c>
      <c r="AM1" s="440"/>
      <c r="AN1" s="440" t="s">
        <v>581</v>
      </c>
      <c r="AO1" s="440"/>
      <c r="AP1" s="440" t="s">
        <v>581</v>
      </c>
      <c r="AQ1" s="440" t="s">
        <v>157</v>
      </c>
      <c r="AR1" s="439"/>
      <c r="AS1" s="441" t="s">
        <v>158</v>
      </c>
    </row>
    <row r="2" spans="1:49" x14ac:dyDescent="0.3">
      <c r="B2" s="442" t="s">
        <v>133</v>
      </c>
      <c r="C2" s="367"/>
      <c r="D2" s="442" t="s">
        <v>189</v>
      </c>
      <c r="E2" s="437"/>
      <c r="F2" s="436" t="s">
        <v>259</v>
      </c>
      <c r="G2" s="437"/>
      <c r="H2" s="436" t="s">
        <v>163</v>
      </c>
      <c r="I2" s="437"/>
      <c r="J2" s="436" t="s">
        <v>0</v>
      </c>
      <c r="K2" s="436"/>
      <c r="L2" s="436" t="s">
        <v>21</v>
      </c>
      <c r="M2" s="436"/>
      <c r="N2" s="436" t="s">
        <v>13</v>
      </c>
      <c r="O2" s="437"/>
      <c r="P2" s="436" t="s">
        <v>14</v>
      </c>
      <c r="Q2" s="437"/>
      <c r="R2" s="436" t="s">
        <v>67</v>
      </c>
      <c r="S2" s="437"/>
      <c r="T2" s="436" t="s">
        <v>672</v>
      </c>
      <c r="U2" s="437"/>
      <c r="V2" s="436" t="s">
        <v>589</v>
      </c>
      <c r="W2" s="437"/>
      <c r="X2" s="436" t="s">
        <v>803</v>
      </c>
      <c r="Y2" s="437"/>
      <c r="Z2" s="436" t="s">
        <v>854</v>
      </c>
      <c r="AA2" s="437"/>
      <c r="AB2" s="436" t="s">
        <v>902</v>
      </c>
      <c r="AC2" s="436"/>
      <c r="AD2" s="436" t="s">
        <v>902</v>
      </c>
      <c r="AE2" s="436"/>
      <c r="AF2" s="436" t="s">
        <v>964</v>
      </c>
      <c r="AG2" s="437"/>
      <c r="AH2" s="436" t="s">
        <v>996</v>
      </c>
      <c r="AI2" s="437"/>
      <c r="AJ2" s="436" t="s">
        <v>1033</v>
      </c>
      <c r="AK2" s="436"/>
      <c r="AL2" s="436" t="s">
        <v>1054</v>
      </c>
      <c r="AM2" s="436"/>
      <c r="AN2" s="436" t="s">
        <v>1075</v>
      </c>
      <c r="AO2" s="436"/>
      <c r="AP2" s="436" t="s">
        <v>1168</v>
      </c>
      <c r="AQ2" s="437" t="s">
        <v>65</v>
      </c>
      <c r="AR2" s="437"/>
      <c r="AS2" s="443" t="s">
        <v>65</v>
      </c>
    </row>
    <row r="3" spans="1:49" x14ac:dyDescent="0.3">
      <c r="B3" s="367"/>
      <c r="C3" s="367"/>
      <c r="D3" s="367"/>
    </row>
    <row r="4" spans="1:49" x14ac:dyDescent="0.3">
      <c r="A4" s="7" t="s">
        <v>198</v>
      </c>
      <c r="B4" s="367"/>
      <c r="C4" s="367"/>
      <c r="D4" s="367"/>
    </row>
    <row r="5" spans="1:49" x14ac:dyDescent="0.3">
      <c r="B5" s="367"/>
      <c r="C5" s="367"/>
      <c r="D5" s="367"/>
    </row>
    <row r="6" spans="1:49" x14ac:dyDescent="0.3">
      <c r="A6" s="7" t="s">
        <v>199</v>
      </c>
      <c r="B6" s="367"/>
      <c r="C6" s="367"/>
      <c r="D6" s="367"/>
    </row>
    <row r="7" spans="1:49" x14ac:dyDescent="0.3">
      <c r="B7" s="367"/>
      <c r="C7" s="367"/>
      <c r="D7" s="367"/>
    </row>
    <row r="8" spans="1:49" x14ac:dyDescent="0.3">
      <c r="A8" s="7" t="s">
        <v>389</v>
      </c>
      <c r="B8" s="82">
        <v>663179</v>
      </c>
      <c r="C8" s="82"/>
      <c r="D8" s="82">
        <v>946951</v>
      </c>
      <c r="E8" s="82"/>
      <c r="F8" s="82">
        <v>1069469</v>
      </c>
      <c r="G8" s="82"/>
      <c r="H8" s="82">
        <v>1105893</v>
      </c>
      <c r="I8" s="82"/>
      <c r="J8" s="82">
        <v>1083775</v>
      </c>
      <c r="K8" s="82"/>
      <c r="L8" s="527">
        <f>J8</f>
        <v>1083775</v>
      </c>
      <c r="M8" s="82"/>
      <c r="N8" s="82">
        <f>1025939+11299</f>
        <v>1037238</v>
      </c>
      <c r="O8" s="82"/>
      <c r="P8" s="82">
        <v>1048739</v>
      </c>
      <c r="Q8" s="82"/>
      <c r="R8" s="82">
        <v>1062914</v>
      </c>
      <c r="S8" s="82"/>
      <c r="T8" s="82">
        <v>1093858</v>
      </c>
      <c r="U8" s="82"/>
      <c r="V8" s="82">
        <v>1107808</v>
      </c>
      <c r="W8" s="82"/>
      <c r="X8" s="82">
        <v>1119528</v>
      </c>
      <c r="Y8" s="82"/>
      <c r="Z8" s="82">
        <v>1140038</v>
      </c>
      <c r="AA8" s="82"/>
      <c r="AB8" s="82">
        <v>1157318</v>
      </c>
      <c r="AC8" s="82"/>
      <c r="AD8" s="82">
        <f>AB8</f>
        <v>1157318</v>
      </c>
      <c r="AE8" s="82"/>
      <c r="AF8" s="82">
        <v>1174628</v>
      </c>
      <c r="AG8" s="82"/>
      <c r="AH8" s="82">
        <v>1192358</v>
      </c>
      <c r="AI8" s="82"/>
      <c r="AJ8" s="82">
        <v>1239023</v>
      </c>
      <c r="AK8" s="82"/>
      <c r="AL8" s="82">
        <v>1255283</v>
      </c>
      <c r="AM8" s="82"/>
      <c r="AN8" s="82">
        <v>1376580</v>
      </c>
      <c r="AO8" s="82"/>
      <c r="AP8" s="82">
        <v>1468264</v>
      </c>
      <c r="AQ8" s="82">
        <f>AP8-AN8</f>
        <v>91684</v>
      </c>
      <c r="AS8" s="368">
        <f>IF(AP8=0," ",AQ8/AN8)</f>
        <v>6.6602740124075605E-2</v>
      </c>
      <c r="AT8" s="564"/>
      <c r="AU8" s="1540">
        <f>1239023</f>
        <v>1239023</v>
      </c>
      <c r="AV8" s="1561">
        <f>AU8-AJ8</f>
        <v>0</v>
      </c>
      <c r="AW8" s="14">
        <v>1715813</v>
      </c>
    </row>
    <row r="9" spans="1:49" x14ac:dyDescent="0.3">
      <c r="A9" s="7" t="s">
        <v>40</v>
      </c>
      <c r="B9" s="82">
        <v>0</v>
      </c>
      <c r="C9" s="82"/>
      <c r="D9" s="82">
        <v>0</v>
      </c>
      <c r="E9" s="82"/>
      <c r="F9" s="82">
        <v>0</v>
      </c>
      <c r="G9" s="82"/>
      <c r="H9" s="82"/>
      <c r="I9" s="82"/>
      <c r="J9" s="82">
        <v>0</v>
      </c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>
        <f t="shared" ref="AQ9:AQ31" si="0">AP9-AN9</f>
        <v>0</v>
      </c>
      <c r="AS9" s="368" t="str">
        <f t="shared" ref="AS9:AS31" si="1">IF(AP9=0," ",AQ9/AN9)</f>
        <v xml:space="preserve"> </v>
      </c>
    </row>
    <row r="10" spans="1:49" x14ac:dyDescent="0.3">
      <c r="A10" s="7" t="s">
        <v>521</v>
      </c>
      <c r="B10" s="369"/>
      <c r="C10" s="82"/>
      <c r="D10" s="369"/>
      <c r="E10" s="82"/>
      <c r="F10" s="82">
        <v>0</v>
      </c>
      <c r="G10" s="82"/>
      <c r="H10" s="82"/>
      <c r="I10" s="82"/>
      <c r="J10" s="82">
        <v>0</v>
      </c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>
        <f t="shared" si="0"/>
        <v>0</v>
      </c>
      <c r="AS10" s="368" t="str">
        <f t="shared" si="1"/>
        <v xml:space="preserve"> </v>
      </c>
    </row>
    <row r="11" spans="1:49" x14ac:dyDescent="0.3">
      <c r="A11" s="7" t="s">
        <v>522</v>
      </c>
      <c r="B11" s="370">
        <v>4112</v>
      </c>
      <c r="C11" s="82"/>
      <c r="D11" s="370">
        <v>3749</v>
      </c>
      <c r="E11" s="82"/>
      <c r="F11" s="371">
        <v>3648</v>
      </c>
      <c r="G11" s="82"/>
      <c r="H11" s="371">
        <v>3442</v>
      </c>
      <c r="I11" s="82"/>
      <c r="J11" s="371">
        <v>3578</v>
      </c>
      <c r="K11" s="82"/>
      <c r="L11" s="527">
        <v>2857</v>
      </c>
      <c r="M11" s="82"/>
      <c r="N11" s="82">
        <v>3098</v>
      </c>
      <c r="O11" s="82"/>
      <c r="P11" s="82">
        <v>3137</v>
      </c>
      <c r="Q11" s="82"/>
      <c r="R11" s="82">
        <v>2855</v>
      </c>
      <c r="S11" s="82"/>
      <c r="T11" s="82">
        <v>2739</v>
      </c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>
        <f t="shared" si="0"/>
        <v>0</v>
      </c>
      <c r="AS11" s="368" t="str">
        <f t="shared" si="1"/>
        <v xml:space="preserve"> </v>
      </c>
      <c r="AT11" s="546"/>
    </row>
    <row r="12" spans="1:49" x14ac:dyDescent="0.3"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>
        <f t="shared" si="0"/>
        <v>0</v>
      </c>
      <c r="AS12" s="368" t="str">
        <f t="shared" si="1"/>
        <v xml:space="preserve"> </v>
      </c>
    </row>
    <row r="13" spans="1:49" x14ac:dyDescent="0.3">
      <c r="A13" s="7" t="s">
        <v>139</v>
      </c>
      <c r="B13" s="82">
        <f>SUM(B8:B12)</f>
        <v>667291</v>
      </c>
      <c r="C13" s="82"/>
      <c r="D13" s="82">
        <f>SUM(D8:D12)</f>
        <v>950700</v>
      </c>
      <c r="E13" s="82"/>
      <c r="F13" s="82">
        <f>SUM(F8:F12)</f>
        <v>1073117</v>
      </c>
      <c r="G13" s="82"/>
      <c r="H13" s="82">
        <f>SUM(H8:H12)</f>
        <v>1109335</v>
      </c>
      <c r="I13" s="82"/>
      <c r="J13" s="82">
        <f>SUM(J8:J12)</f>
        <v>1087353</v>
      </c>
      <c r="K13" s="82"/>
      <c r="L13" s="527">
        <f>SUM(L8:L12)</f>
        <v>1086632</v>
      </c>
      <c r="M13" s="82"/>
      <c r="N13" s="82">
        <f>SUM(N8:N12)</f>
        <v>1040336</v>
      </c>
      <c r="O13" s="82"/>
      <c r="P13" s="82">
        <f>SUM(P8:P12)</f>
        <v>1051876</v>
      </c>
      <c r="Q13" s="82"/>
      <c r="R13" s="82">
        <f>SUM(R8:R12)</f>
        <v>1065769</v>
      </c>
      <c r="S13" s="82"/>
      <c r="T13" s="82">
        <f>SUM(T8:T12)</f>
        <v>1096597</v>
      </c>
      <c r="U13" s="82"/>
      <c r="V13" s="82">
        <f>SUM(V8:V12)</f>
        <v>1107808</v>
      </c>
      <c r="W13" s="82"/>
      <c r="X13" s="82">
        <f>SUM(X8:X12)</f>
        <v>1119528</v>
      </c>
      <c r="Y13" s="82"/>
      <c r="Z13" s="82">
        <f>SUM(Z8:Z12)</f>
        <v>1140038</v>
      </c>
      <c r="AA13" s="82"/>
      <c r="AB13" s="562">
        <f>SUM(AB8:AB12)</f>
        <v>1157318</v>
      </c>
      <c r="AC13" s="562"/>
      <c r="AD13" s="562">
        <f>SUM(AD8:AD12)</f>
        <v>1157318</v>
      </c>
      <c r="AE13" s="562">
        <f t="shared" ref="AE13:AN13" si="2">SUM(AE8:AE12)</f>
        <v>0</v>
      </c>
      <c r="AF13" s="562">
        <f t="shared" si="2"/>
        <v>1174628</v>
      </c>
      <c r="AG13" s="82"/>
      <c r="AH13" s="562">
        <f t="shared" si="2"/>
        <v>1192358</v>
      </c>
      <c r="AI13" s="82"/>
      <c r="AJ13" s="562">
        <f t="shared" si="2"/>
        <v>1239023</v>
      </c>
      <c r="AK13" s="562">
        <f t="shared" si="2"/>
        <v>0</v>
      </c>
      <c r="AL13" s="562">
        <f t="shared" si="2"/>
        <v>1255283</v>
      </c>
      <c r="AM13" s="562">
        <f t="shared" si="2"/>
        <v>0</v>
      </c>
      <c r="AN13" s="562">
        <f t="shared" si="2"/>
        <v>1376580</v>
      </c>
      <c r="AO13" s="562"/>
      <c r="AP13" s="562">
        <f>SUM(AP8:AP12)</f>
        <v>1468264</v>
      </c>
      <c r="AQ13" s="82">
        <f t="shared" si="0"/>
        <v>91684</v>
      </c>
      <c r="AS13" s="368">
        <f t="shared" si="1"/>
        <v>6.6602740124075605E-2</v>
      </c>
      <c r="AT13" s="546"/>
    </row>
    <row r="14" spans="1:49" x14ac:dyDescent="0.3"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>
        <f t="shared" si="0"/>
        <v>0</v>
      </c>
      <c r="AS14" s="368" t="str">
        <f t="shared" si="1"/>
        <v xml:space="preserve"> </v>
      </c>
    </row>
    <row r="15" spans="1:49" x14ac:dyDescent="0.3">
      <c r="A15" s="7" t="s">
        <v>282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>
        <f t="shared" si="0"/>
        <v>0</v>
      </c>
      <c r="AS15" s="368" t="str">
        <f t="shared" si="1"/>
        <v xml:space="preserve"> </v>
      </c>
    </row>
    <row r="16" spans="1:49" x14ac:dyDescent="0.3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>
        <f t="shared" si="0"/>
        <v>0</v>
      </c>
      <c r="AS16" s="368" t="str">
        <f t="shared" si="1"/>
        <v xml:space="preserve"> </v>
      </c>
    </row>
    <row r="17" spans="1:49" x14ac:dyDescent="0.3">
      <c r="A17" s="7" t="s">
        <v>199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>
        <f t="shared" si="0"/>
        <v>0</v>
      </c>
      <c r="AS17" s="368" t="str">
        <f t="shared" si="1"/>
        <v xml:space="preserve"> </v>
      </c>
    </row>
    <row r="18" spans="1:49" x14ac:dyDescent="0.3"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>
        <f t="shared" si="0"/>
        <v>0</v>
      </c>
      <c r="AS18" s="368" t="str">
        <f t="shared" si="1"/>
        <v xml:space="preserve"> </v>
      </c>
    </row>
    <row r="19" spans="1:49" x14ac:dyDescent="0.3">
      <c r="A19" s="7" t="s">
        <v>122</v>
      </c>
      <c r="B19" s="82"/>
      <c r="C19" s="82"/>
      <c r="D19" s="82"/>
      <c r="E19" s="82"/>
      <c r="F19" s="82"/>
      <c r="G19" s="82"/>
      <c r="H19" s="82"/>
      <c r="I19" s="82"/>
      <c r="J19" s="82">
        <v>540420</v>
      </c>
      <c r="K19" s="82"/>
      <c r="L19" s="527">
        <f>J19</f>
        <v>540420</v>
      </c>
      <c r="M19" s="82"/>
      <c r="N19" s="82">
        <v>481291</v>
      </c>
      <c r="O19" s="82"/>
      <c r="P19" s="82">
        <v>518803</v>
      </c>
      <c r="Q19" s="82"/>
      <c r="R19" s="82">
        <f>P19</f>
        <v>518803</v>
      </c>
      <c r="S19" s="82"/>
      <c r="T19" s="82">
        <v>545793</v>
      </c>
      <c r="U19" s="82"/>
      <c r="V19" s="82">
        <v>565442</v>
      </c>
      <c r="W19" s="82"/>
      <c r="X19" s="82">
        <v>589756</v>
      </c>
      <c r="Y19" s="82"/>
      <c r="Z19" s="82">
        <v>589756</v>
      </c>
      <c r="AA19" s="82"/>
      <c r="AB19" s="82">
        <v>612757</v>
      </c>
      <c r="AC19" s="82"/>
      <c r="AD19" s="82">
        <v>612757</v>
      </c>
      <c r="AE19" s="82"/>
      <c r="AF19" s="82">
        <v>634204</v>
      </c>
      <c r="AG19" s="82"/>
      <c r="AH19" s="82">
        <v>651328</v>
      </c>
      <c r="AI19" s="82"/>
      <c r="AJ19" s="82">
        <v>651328</v>
      </c>
      <c r="AK19" s="82"/>
      <c r="AL19" s="82">
        <v>674124</v>
      </c>
      <c r="AM19" s="82"/>
      <c r="AN19" s="82">
        <v>710527</v>
      </c>
      <c r="AO19" s="82"/>
      <c r="AP19" s="82">
        <v>733264</v>
      </c>
      <c r="AQ19" s="82">
        <f t="shared" si="0"/>
        <v>22737</v>
      </c>
      <c r="AS19" s="368">
        <f t="shared" si="1"/>
        <v>3.2000191407223093E-2</v>
      </c>
      <c r="AT19" s="546"/>
      <c r="AW19" s="14">
        <v>724738</v>
      </c>
    </row>
    <row r="20" spans="1:49" x14ac:dyDescent="0.3">
      <c r="A20" s="7" t="s">
        <v>272</v>
      </c>
      <c r="B20" s="82">
        <v>420832</v>
      </c>
      <c r="C20" s="82"/>
      <c r="D20" s="82">
        <v>501895</v>
      </c>
      <c r="E20" s="82"/>
      <c r="F20" s="410">
        <v>510110</v>
      </c>
      <c r="G20" s="82"/>
      <c r="H20" s="82">
        <f>442377+67733</f>
        <v>510110</v>
      </c>
      <c r="I20" s="82"/>
      <c r="J20" s="410">
        <v>0</v>
      </c>
      <c r="K20" s="410"/>
      <c r="L20" s="82"/>
      <c r="M20" s="82"/>
      <c r="N20" s="82"/>
      <c r="O20" s="82"/>
      <c r="P20" s="82"/>
      <c r="Q20" s="82"/>
      <c r="R20" s="82">
        <v>15022</v>
      </c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>
        <f t="shared" si="0"/>
        <v>0</v>
      </c>
      <c r="AS20" s="368" t="str">
        <f t="shared" si="1"/>
        <v xml:space="preserve"> </v>
      </c>
    </row>
    <row r="21" spans="1:49" ht="12.75" x14ac:dyDescent="0.35">
      <c r="A21" s="7" t="s">
        <v>273</v>
      </c>
      <c r="B21" s="82">
        <v>253284</v>
      </c>
      <c r="C21" s="82"/>
      <c r="D21" s="82">
        <v>253284</v>
      </c>
      <c r="E21" s="82"/>
      <c r="F21" s="410">
        <f>D21</f>
        <v>253284</v>
      </c>
      <c r="G21" s="82"/>
      <c r="H21" s="82">
        <v>253284</v>
      </c>
      <c r="I21" s="82"/>
      <c r="J21" s="410">
        <v>0</v>
      </c>
      <c r="K21" s="410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/>
      <c r="Y21" s="82"/>
      <c r="Z21"/>
      <c r="AA21" s="82"/>
      <c r="AB21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>
        <f t="shared" si="0"/>
        <v>0</v>
      </c>
      <c r="AS21" s="368" t="str">
        <f t="shared" si="1"/>
        <v xml:space="preserve"> </v>
      </c>
    </row>
    <row r="22" spans="1:49" x14ac:dyDescent="0.3">
      <c r="A22" s="7" t="s">
        <v>267</v>
      </c>
      <c r="B22" s="82">
        <v>28676</v>
      </c>
      <c r="C22" s="82"/>
      <c r="D22" s="82">
        <v>32872</v>
      </c>
      <c r="E22" s="82"/>
      <c r="F22" s="410">
        <v>33802</v>
      </c>
      <c r="G22" s="82"/>
      <c r="H22" s="82">
        <v>31755</v>
      </c>
      <c r="I22" s="82"/>
      <c r="J22" s="410">
        <v>6004</v>
      </c>
      <c r="K22" s="410"/>
      <c r="L22" s="527">
        <v>3368</v>
      </c>
      <c r="M22" s="82"/>
      <c r="N22" s="82"/>
      <c r="O22" s="82"/>
      <c r="P22" s="82">
        <f>N22*(1-0.08)</f>
        <v>0</v>
      </c>
      <c r="Q22" s="82"/>
      <c r="R22" s="82">
        <f>P22*(1-0.08)</f>
        <v>0</v>
      </c>
      <c r="S22" s="82"/>
      <c r="T22" s="82">
        <f>R22*(1-0.08)</f>
        <v>0</v>
      </c>
      <c r="U22" s="82"/>
      <c r="V22" s="82">
        <f>T22*(1-0.08)</f>
        <v>0</v>
      </c>
      <c r="W22" s="82"/>
      <c r="X22" s="82">
        <f>V22*(1-0.08)</f>
        <v>0</v>
      </c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>
        <f t="shared" si="0"/>
        <v>0</v>
      </c>
      <c r="AS22" s="368" t="str">
        <f t="shared" si="1"/>
        <v xml:space="preserve"> </v>
      </c>
      <c r="AT22" s="546"/>
    </row>
    <row r="23" spans="1:49" x14ac:dyDescent="0.3">
      <c r="A23" s="7" t="s">
        <v>449</v>
      </c>
      <c r="C23" s="82"/>
      <c r="D23" s="82">
        <v>9044</v>
      </c>
      <c r="E23" s="82"/>
      <c r="F23" s="410">
        <v>0</v>
      </c>
      <c r="G23" s="82"/>
      <c r="H23" s="82"/>
      <c r="I23" s="82"/>
      <c r="J23" s="410">
        <v>0</v>
      </c>
      <c r="K23" s="410"/>
      <c r="L23" s="82">
        <v>11768</v>
      </c>
      <c r="M23" s="82"/>
      <c r="N23" s="82">
        <v>3632</v>
      </c>
      <c r="O23" s="82"/>
      <c r="P23" s="82">
        <v>4858</v>
      </c>
      <c r="Q23" s="82"/>
      <c r="R23" s="82">
        <v>4692</v>
      </c>
      <c r="S23" s="82"/>
      <c r="T23" s="82">
        <v>6859</v>
      </c>
      <c r="U23" s="82"/>
      <c r="V23" s="82">
        <v>4976</v>
      </c>
      <c r="W23" s="82"/>
      <c r="X23" s="82">
        <v>4976</v>
      </c>
      <c r="Y23" s="82"/>
      <c r="Z23" s="82">
        <v>5588</v>
      </c>
      <c r="AA23" s="82"/>
      <c r="AB23" s="82">
        <v>3973</v>
      </c>
      <c r="AC23" s="82"/>
      <c r="AD23" s="82">
        <v>3973</v>
      </c>
      <c r="AE23" s="82"/>
      <c r="AF23" s="82">
        <v>3644</v>
      </c>
      <c r="AG23" s="82"/>
      <c r="AH23" s="82">
        <v>4083</v>
      </c>
      <c r="AI23" s="82"/>
      <c r="AJ23" s="82">
        <v>2114</v>
      </c>
      <c r="AK23" s="82"/>
      <c r="AL23" s="82"/>
      <c r="AM23" s="82"/>
      <c r="AN23" s="82"/>
      <c r="AO23" s="82"/>
      <c r="AP23" s="82"/>
      <c r="AQ23" s="82">
        <f t="shared" si="0"/>
        <v>0</v>
      </c>
      <c r="AS23" s="368" t="str">
        <f t="shared" si="1"/>
        <v xml:space="preserve"> </v>
      </c>
      <c r="AT23" s="546"/>
      <c r="AW23" s="7">
        <v>0</v>
      </c>
    </row>
    <row r="24" spans="1:49" x14ac:dyDescent="0.3">
      <c r="A24" s="7" t="s">
        <v>552</v>
      </c>
      <c r="B24" s="82">
        <v>4188</v>
      </c>
      <c r="C24" s="82"/>
      <c r="D24" s="82">
        <v>3838</v>
      </c>
      <c r="E24" s="82"/>
      <c r="F24" s="410">
        <v>10063</v>
      </c>
      <c r="G24" s="82"/>
      <c r="H24" s="82">
        <v>10150</v>
      </c>
      <c r="I24" s="82"/>
      <c r="J24" s="410">
        <v>0</v>
      </c>
      <c r="K24" s="410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>
        <f t="shared" si="0"/>
        <v>0</v>
      </c>
      <c r="AS24" s="368" t="str">
        <f t="shared" si="1"/>
        <v xml:space="preserve"> </v>
      </c>
    </row>
    <row r="25" spans="1:49" x14ac:dyDescent="0.3">
      <c r="A25" s="7" t="s">
        <v>75</v>
      </c>
      <c r="B25" s="82">
        <v>3016</v>
      </c>
      <c r="C25" s="82"/>
      <c r="D25" s="82">
        <v>3018</v>
      </c>
      <c r="E25" s="82"/>
      <c r="F25" s="410">
        <v>3016</v>
      </c>
      <c r="G25" s="82"/>
      <c r="H25" s="82">
        <v>3026</v>
      </c>
      <c r="I25" s="82"/>
      <c r="J25" s="410">
        <v>0</v>
      </c>
      <c r="K25" s="410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>
        <f t="shared" si="0"/>
        <v>0</v>
      </c>
      <c r="AS25" s="368" t="str">
        <f t="shared" si="1"/>
        <v xml:space="preserve"> </v>
      </c>
    </row>
    <row r="26" spans="1:49" x14ac:dyDescent="0.3">
      <c r="A26" s="7" t="s">
        <v>123</v>
      </c>
      <c r="B26" s="82"/>
      <c r="C26" s="82"/>
      <c r="D26" s="82"/>
      <c r="E26" s="82"/>
      <c r="F26" s="410"/>
      <c r="G26" s="82"/>
      <c r="H26" s="82"/>
      <c r="I26" s="82"/>
      <c r="J26" s="410">
        <v>13176</v>
      </c>
      <c r="K26" s="410"/>
      <c r="L26" s="527">
        <v>12949</v>
      </c>
      <c r="M26" s="82"/>
      <c r="N26" s="82">
        <v>12410</v>
      </c>
      <c r="O26" s="82"/>
      <c r="P26" s="82">
        <v>12645</v>
      </c>
      <c r="Q26" s="82"/>
      <c r="R26" s="82">
        <v>12420</v>
      </c>
      <c r="S26" s="82"/>
      <c r="T26" s="82">
        <v>12108</v>
      </c>
      <c r="U26" s="82"/>
      <c r="V26" s="82">
        <v>13854</v>
      </c>
      <c r="W26" s="82"/>
      <c r="X26" s="82">
        <v>16341</v>
      </c>
      <c r="Y26" s="82"/>
      <c r="Z26" s="82">
        <v>16341</v>
      </c>
      <c r="AA26" s="82"/>
      <c r="AB26" s="82">
        <v>18568</v>
      </c>
      <c r="AC26" s="82"/>
      <c r="AD26" s="82">
        <v>18568</v>
      </c>
      <c r="AE26" s="82"/>
      <c r="AF26" s="82">
        <v>18366</v>
      </c>
      <c r="AG26" s="82"/>
      <c r="AH26" s="82">
        <v>19693</v>
      </c>
      <c r="AI26" s="82"/>
      <c r="AJ26" s="82">
        <v>19318</v>
      </c>
      <c r="AK26" s="82"/>
      <c r="AL26" s="82">
        <v>17169</v>
      </c>
      <c r="AM26" s="82"/>
      <c r="AN26" s="82">
        <v>15928</v>
      </c>
      <c r="AO26" s="82"/>
      <c r="AP26" s="82">
        <v>16687</v>
      </c>
      <c r="AQ26" s="82">
        <f t="shared" si="0"/>
        <v>759</v>
      </c>
      <c r="AS26" s="368">
        <f t="shared" si="1"/>
        <v>4.7651933701657462E-2</v>
      </c>
      <c r="AT26" s="546"/>
      <c r="AW26" s="7">
        <v>16774</v>
      </c>
    </row>
    <row r="27" spans="1:49" x14ac:dyDescent="0.3">
      <c r="A27" s="7" t="s">
        <v>182</v>
      </c>
      <c r="B27" s="82">
        <v>77809</v>
      </c>
      <c r="C27" s="82"/>
      <c r="D27" s="82">
        <v>122934</v>
      </c>
      <c r="E27" s="82"/>
      <c r="F27" s="410">
        <v>137348</v>
      </c>
      <c r="G27" s="82"/>
      <c r="H27" s="82">
        <v>147382</v>
      </c>
      <c r="I27" s="82"/>
      <c r="J27" s="410">
        <v>132667</v>
      </c>
      <c r="K27" s="410"/>
      <c r="L27" s="527">
        <v>131441</v>
      </c>
      <c r="M27" s="82"/>
      <c r="N27" s="82">
        <v>125686</v>
      </c>
      <c r="O27" s="82"/>
      <c r="P27" s="82">
        <v>125726</v>
      </c>
      <c r="Q27" s="82"/>
      <c r="R27" s="82">
        <v>125973</v>
      </c>
      <c r="S27" s="82"/>
      <c r="T27" s="82">
        <v>125693</v>
      </c>
      <c r="U27" s="82"/>
      <c r="V27" s="82">
        <v>125693</v>
      </c>
      <c r="W27" s="82"/>
      <c r="X27" s="82">
        <v>124663</v>
      </c>
      <c r="Y27" s="82"/>
      <c r="Z27" s="82">
        <v>124197</v>
      </c>
      <c r="AA27" s="82"/>
      <c r="AB27" s="82">
        <v>124079</v>
      </c>
      <c r="AC27" s="82"/>
      <c r="AD27" s="82">
        <v>124079</v>
      </c>
      <c r="AE27" s="82"/>
      <c r="AF27" s="82">
        <v>129339</v>
      </c>
      <c r="AG27" s="82"/>
      <c r="AH27" s="82">
        <v>140546</v>
      </c>
      <c r="AI27" s="82"/>
      <c r="AJ27" s="82">
        <v>144203</v>
      </c>
      <c r="AK27" s="82"/>
      <c r="AL27" s="82">
        <v>154994</v>
      </c>
      <c r="AM27" s="82"/>
      <c r="AN27" s="82">
        <v>198949</v>
      </c>
      <c r="AO27" s="82"/>
      <c r="AP27" s="82">
        <v>227302</v>
      </c>
      <c r="AQ27" s="82">
        <f t="shared" si="0"/>
        <v>28353</v>
      </c>
      <c r="AS27" s="368">
        <f t="shared" si="1"/>
        <v>0.14251391060020407</v>
      </c>
      <c r="AT27" s="546"/>
      <c r="AW27" s="14">
        <v>227302</v>
      </c>
    </row>
    <row r="28" spans="1:49" x14ac:dyDescent="0.3">
      <c r="A28" s="7" t="s">
        <v>305</v>
      </c>
      <c r="B28" s="371">
        <v>11835</v>
      </c>
      <c r="C28" s="82"/>
      <c r="D28" s="371">
        <v>12115</v>
      </c>
      <c r="E28" s="82"/>
      <c r="F28" s="410">
        <v>12011</v>
      </c>
      <c r="G28" s="82"/>
      <c r="H28" s="371">
        <v>12011</v>
      </c>
      <c r="I28" s="82"/>
      <c r="J28" s="485">
        <v>10062</v>
      </c>
      <c r="K28" s="410"/>
      <c r="L28" s="529">
        <v>10024</v>
      </c>
      <c r="M28" s="82"/>
      <c r="N28" s="82">
        <v>9616</v>
      </c>
      <c r="O28" s="82"/>
      <c r="P28" s="82">
        <v>9209</v>
      </c>
      <c r="Q28" s="82"/>
      <c r="R28" s="82">
        <v>9236</v>
      </c>
      <c r="S28" s="82"/>
      <c r="T28" s="82">
        <v>11099</v>
      </c>
      <c r="U28" s="82"/>
      <c r="V28" s="82">
        <v>11311</v>
      </c>
      <c r="W28" s="82"/>
      <c r="X28" s="82">
        <v>11224</v>
      </c>
      <c r="Y28" s="82"/>
      <c r="Z28" s="82">
        <v>11144</v>
      </c>
      <c r="AA28" s="82"/>
      <c r="AB28" s="82">
        <v>10770</v>
      </c>
      <c r="AC28" s="82"/>
      <c r="AD28" s="82">
        <v>10770</v>
      </c>
      <c r="AE28" s="82"/>
      <c r="AF28" s="82">
        <v>10985</v>
      </c>
      <c r="AG28" s="82"/>
      <c r="AH28" s="82">
        <v>11043</v>
      </c>
      <c r="AI28" s="82"/>
      <c r="AJ28" s="82">
        <v>13487</v>
      </c>
      <c r="AK28" s="82"/>
      <c r="AL28" s="82">
        <v>13314</v>
      </c>
      <c r="AM28" s="82"/>
      <c r="AN28" s="82">
        <v>16338</v>
      </c>
      <c r="AO28" s="82"/>
      <c r="AP28" s="82">
        <v>17713</v>
      </c>
      <c r="AQ28" s="82">
        <f t="shared" si="0"/>
        <v>1375</v>
      </c>
      <c r="AS28" s="368">
        <f t="shared" si="1"/>
        <v>8.4159627861427347E-2</v>
      </c>
      <c r="AT28" s="546"/>
      <c r="AW28" s="14">
        <v>17713</v>
      </c>
    </row>
    <row r="29" spans="1:49" x14ac:dyDescent="0.3">
      <c r="A29" s="7" t="s">
        <v>71</v>
      </c>
      <c r="B29" s="82">
        <f>SUM(B20:B28)</f>
        <v>799640</v>
      </c>
      <c r="C29" s="82"/>
      <c r="D29" s="82">
        <f>SUM(D20:D28)</f>
        <v>939000</v>
      </c>
      <c r="E29" s="82"/>
      <c r="F29" s="82">
        <f>SUM(F20:F28)</f>
        <v>959634</v>
      </c>
      <c r="G29" s="82"/>
      <c r="H29" s="82">
        <f>SUM(H20:H28)</f>
        <v>967718</v>
      </c>
      <c r="I29" s="82"/>
      <c r="J29" s="82">
        <f>SUM(J19:J28)</f>
        <v>702329</v>
      </c>
      <c r="K29" s="82"/>
      <c r="L29" s="528">
        <f>SUM(L19:L28)</f>
        <v>709970</v>
      </c>
      <c r="M29" s="82"/>
      <c r="N29" s="562">
        <f>SUM(N19:N28)</f>
        <v>632635</v>
      </c>
      <c r="O29" s="563"/>
      <c r="P29" s="562">
        <f>SUM(P19:P28)</f>
        <v>671241</v>
      </c>
      <c r="Q29" s="563"/>
      <c r="R29" s="562">
        <f>SUM(R19:R28)</f>
        <v>686146</v>
      </c>
      <c r="S29" s="563"/>
      <c r="T29" s="562">
        <f>SUM(T19:T28)</f>
        <v>701552</v>
      </c>
      <c r="U29" s="563"/>
      <c r="V29" s="562">
        <f>SUM(V19:V28)</f>
        <v>721276</v>
      </c>
      <c r="W29" s="82"/>
      <c r="X29" s="562">
        <f>SUM(X19:X28)</f>
        <v>746960</v>
      </c>
      <c r="Y29" s="82"/>
      <c r="Z29" s="562">
        <f>SUM(Z19:Z28)</f>
        <v>747026</v>
      </c>
      <c r="AA29" s="82"/>
      <c r="AB29" s="562">
        <f>SUM(AB19:AB28)</f>
        <v>770147</v>
      </c>
      <c r="AC29" s="82"/>
      <c r="AD29" s="562">
        <f>SUM(AD19:AD28)</f>
        <v>770147</v>
      </c>
      <c r="AE29" s="562">
        <f t="shared" ref="AE29:AF29" si="3">SUM(AE19:AE28)</f>
        <v>0</v>
      </c>
      <c r="AF29" s="562">
        <f t="shared" si="3"/>
        <v>796538</v>
      </c>
      <c r="AG29" s="82"/>
      <c r="AH29" s="562">
        <f t="shared" ref="AH29:AP29" si="4">SUM(AH19:AH28)</f>
        <v>826693</v>
      </c>
      <c r="AI29" s="82"/>
      <c r="AJ29" s="562">
        <f t="shared" si="4"/>
        <v>830450</v>
      </c>
      <c r="AK29" s="562">
        <f t="shared" si="4"/>
        <v>0</v>
      </c>
      <c r="AL29" s="562">
        <f t="shared" si="4"/>
        <v>859601</v>
      </c>
      <c r="AM29" s="562">
        <f t="shared" si="4"/>
        <v>0</v>
      </c>
      <c r="AN29" s="562">
        <f t="shared" si="4"/>
        <v>941742</v>
      </c>
      <c r="AO29" s="562"/>
      <c r="AP29" s="562">
        <f t="shared" si="4"/>
        <v>994966</v>
      </c>
      <c r="AQ29" s="82">
        <f t="shared" si="0"/>
        <v>53224</v>
      </c>
      <c r="AS29" s="368">
        <f t="shared" si="1"/>
        <v>5.6516540623652765E-2</v>
      </c>
      <c r="AT29" s="546"/>
      <c r="AW29" s="562">
        <f t="shared" ref="AW29" si="5">SUM(AW19:AW28)</f>
        <v>986527</v>
      </c>
    </row>
    <row r="30" spans="1:49" x14ac:dyDescent="0.3">
      <c r="A30" s="7" t="s">
        <v>204</v>
      </c>
      <c r="B30" s="82"/>
      <c r="C30" s="82"/>
      <c r="D30" s="82">
        <v>0</v>
      </c>
      <c r="E30" s="82"/>
      <c r="F30" s="410">
        <v>0</v>
      </c>
      <c r="G30" s="82"/>
      <c r="H30" s="82"/>
      <c r="I30" s="82"/>
      <c r="J30" s="82">
        <v>0</v>
      </c>
      <c r="K30" s="82"/>
      <c r="L30" s="540">
        <v>-95026</v>
      </c>
      <c r="M30" s="82"/>
      <c r="N30" s="563"/>
      <c r="O30" s="563"/>
      <c r="P30" s="563"/>
      <c r="Q30" s="563"/>
      <c r="R30" s="563">
        <v>-619</v>
      </c>
      <c r="S30" s="563"/>
      <c r="T30" s="563"/>
      <c r="U30" s="563"/>
      <c r="V30" s="563"/>
      <c r="W30" s="82"/>
      <c r="X30" s="563"/>
      <c r="Y30" s="82"/>
      <c r="Z30" s="82"/>
      <c r="AA30" s="82"/>
      <c r="AB30" s="563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>
        <f t="shared" si="0"/>
        <v>0</v>
      </c>
      <c r="AS30" s="368" t="str">
        <f t="shared" si="1"/>
        <v xml:space="preserve"> </v>
      </c>
      <c r="AT30" s="546"/>
    </row>
    <row r="31" spans="1:49" x14ac:dyDescent="0.3">
      <c r="A31" s="7" t="s">
        <v>183</v>
      </c>
      <c r="B31" s="82">
        <f>SUM(B13,B29)</f>
        <v>1466931</v>
      </c>
      <c r="C31" s="82"/>
      <c r="D31" s="82">
        <f>D13+D29+D30</f>
        <v>1889700</v>
      </c>
      <c r="E31" s="82"/>
      <c r="F31" s="410">
        <f>F13+F29+F30</f>
        <v>2032751</v>
      </c>
      <c r="G31" s="82"/>
      <c r="H31" s="410">
        <f>H13+H29+H30</f>
        <v>2077053</v>
      </c>
      <c r="I31" s="82"/>
      <c r="J31" s="410">
        <f>J13+J29+J30</f>
        <v>1789682</v>
      </c>
      <c r="K31" s="410"/>
      <c r="L31" s="410">
        <f>L13+L29+L30</f>
        <v>1701576</v>
      </c>
      <c r="M31" s="82"/>
      <c r="N31" s="563">
        <f>N13+N29+N30</f>
        <v>1672971</v>
      </c>
      <c r="O31" s="563"/>
      <c r="P31" s="563">
        <f>P13+P29+P30</f>
        <v>1723117</v>
      </c>
      <c r="Q31" s="563"/>
      <c r="R31" s="563">
        <f>R13+R29+R30</f>
        <v>1751296</v>
      </c>
      <c r="S31" s="563"/>
      <c r="T31" s="563">
        <f>T13+T29+T30</f>
        <v>1798149</v>
      </c>
      <c r="U31" s="563"/>
      <c r="V31" s="563">
        <f>V13+V29+V30</f>
        <v>1829084</v>
      </c>
      <c r="W31" s="82"/>
      <c r="X31" s="563">
        <f>X13+X29+X30</f>
        <v>1866488</v>
      </c>
      <c r="Y31" s="82"/>
      <c r="Z31" s="82">
        <f>Z13+Z29+Z30</f>
        <v>1887064</v>
      </c>
      <c r="AA31" s="82"/>
      <c r="AB31" s="563">
        <f>AB13+AB29+AB30</f>
        <v>1927465</v>
      </c>
      <c r="AC31" s="82"/>
      <c r="AD31" s="563">
        <f>AD13+AD29+AD30</f>
        <v>1927465</v>
      </c>
      <c r="AE31" s="563">
        <f t="shared" ref="AE31:AF31" si="6">AE13+AE29+AE30</f>
        <v>0</v>
      </c>
      <c r="AF31" s="563">
        <f t="shared" si="6"/>
        <v>1971166</v>
      </c>
      <c r="AG31" s="82"/>
      <c r="AH31" s="563">
        <f t="shared" ref="AH31" si="7">AH13+AH29+AH30</f>
        <v>2019051</v>
      </c>
      <c r="AI31" s="82"/>
      <c r="AJ31" s="563">
        <f>(AJ13+AJ29+AJ30)*1+ 2069473*0</f>
        <v>2069473</v>
      </c>
      <c r="AK31" s="563"/>
      <c r="AL31" s="563">
        <f>(AL13+AL29+AL30)*1+ 2069473*0</f>
        <v>2114884</v>
      </c>
      <c r="AM31" s="563"/>
      <c r="AN31" s="563">
        <f>(AN13+AN29+AN30)</f>
        <v>2318322</v>
      </c>
      <c r="AO31" s="563"/>
      <c r="AP31" s="563">
        <f>(AP13+AP29+AP30)</f>
        <v>2463230</v>
      </c>
      <c r="AQ31" s="82">
        <f t="shared" si="0"/>
        <v>144908</v>
      </c>
      <c r="AS31" s="368">
        <f t="shared" si="1"/>
        <v>6.2505553585740031E-2</v>
      </c>
      <c r="AW31" s="82">
        <f>AW29+AW8</f>
        <v>2702340</v>
      </c>
    </row>
    <row r="32" spans="1:49" x14ac:dyDescent="0.3">
      <c r="B32" s="82"/>
      <c r="C32" s="82"/>
      <c r="D32" s="410"/>
      <c r="E32" s="82"/>
      <c r="F32" s="410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S32" s="368"/>
      <c r="AT32" s="531"/>
    </row>
    <row r="33" spans="1:45" x14ac:dyDescent="0.3">
      <c r="B33" s="82">
        <v>0</v>
      </c>
      <c r="C33" s="82"/>
      <c r="D33" s="410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</row>
    <row r="34" spans="1:45" ht="10.5" thickBot="1" x14ac:dyDescent="0.35">
      <c r="B34" s="82"/>
      <c r="C34" s="82"/>
      <c r="D34" s="410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</row>
    <row r="35" spans="1:45" ht="10.5" thickBot="1" x14ac:dyDescent="0.35">
      <c r="A35" s="7" t="s">
        <v>57</v>
      </c>
      <c r="B35" s="411">
        <f>SUM(B13,B29)</f>
        <v>1466931</v>
      </c>
      <c r="C35" s="412"/>
      <c r="D35" s="445">
        <f>SUM(D13,D29,D30)</f>
        <v>1889700</v>
      </c>
      <c r="E35" s="412"/>
      <c r="F35" s="444">
        <f>SUM(F13,F29,F30)</f>
        <v>2032751</v>
      </c>
      <c r="G35" s="412"/>
      <c r="H35" s="444">
        <f>SUM(H13,H29,H30)</f>
        <v>2077053</v>
      </c>
      <c r="I35" s="412"/>
      <c r="J35" s="444">
        <f>SUM(J13,J29,J30)</f>
        <v>1789682</v>
      </c>
      <c r="K35" s="444"/>
      <c r="L35" s="444">
        <f>SUM(L13,L29,L30)</f>
        <v>1701576</v>
      </c>
      <c r="M35" s="412"/>
      <c r="N35" s="445">
        <f>SUM(N13,N29,N30)</f>
        <v>1672971</v>
      </c>
      <c r="O35" s="412"/>
      <c r="P35" s="445">
        <f>SUM(P13,P29,P30)</f>
        <v>1723117</v>
      </c>
      <c r="Q35" s="412"/>
      <c r="R35" s="445">
        <f>SUM(R13,R29,R30)</f>
        <v>1751296</v>
      </c>
      <c r="S35" s="412"/>
      <c r="T35" s="445">
        <f>SUM(T13,T29,T30)</f>
        <v>1798149</v>
      </c>
      <c r="U35" s="412"/>
      <c r="V35" s="445">
        <f>SUM(V13,V29,V30)</f>
        <v>1829084</v>
      </c>
      <c r="W35" s="412"/>
      <c r="X35" s="445">
        <f>SUM(X13,X29,X30)</f>
        <v>1866488</v>
      </c>
      <c r="Y35" s="412"/>
      <c r="Z35" s="445">
        <f>SUM(Z13,Z29,Z30)</f>
        <v>1887064</v>
      </c>
      <c r="AA35" s="412"/>
      <c r="AB35" s="445">
        <f>SUM(AB13,AB29,AB30)</f>
        <v>1927465</v>
      </c>
      <c r="AC35" s="412"/>
      <c r="AD35" s="445">
        <f>SUM(AD13,AD29,AD30)</f>
        <v>1927465</v>
      </c>
      <c r="AE35" s="445">
        <f t="shared" ref="AE35:AF35" si="8">SUM(AE13,AE29,AE30)</f>
        <v>0</v>
      </c>
      <c r="AF35" s="445">
        <f t="shared" si="8"/>
        <v>1971166</v>
      </c>
      <c r="AG35" s="445"/>
      <c r="AH35" s="445">
        <f t="shared" ref="AH35" si="9">SUM(AH13,AH29,AH30)</f>
        <v>2019051</v>
      </c>
      <c r="AI35" s="445"/>
      <c r="AJ35" s="445">
        <f>SUM(AJ13,AJ29)</f>
        <v>2069473</v>
      </c>
      <c r="AK35" s="445">
        <f t="shared" ref="AK35:AP35" si="10">SUM(AK13,AK29)</f>
        <v>0</v>
      </c>
      <c r="AL35" s="445">
        <f t="shared" si="10"/>
        <v>2114884</v>
      </c>
      <c r="AM35" s="445">
        <f t="shared" si="10"/>
        <v>0</v>
      </c>
      <c r="AN35" s="445">
        <f t="shared" si="10"/>
        <v>2318322</v>
      </c>
      <c r="AO35" s="445"/>
      <c r="AP35" s="445">
        <f t="shared" si="10"/>
        <v>2463230</v>
      </c>
      <c r="AQ35" s="82">
        <f t="shared" ref="AQ35" si="11">AJ35-AH35</f>
        <v>50422</v>
      </c>
      <c r="AR35" s="447"/>
      <c r="AS35" s="446">
        <f>IF(AD35&gt;0,AQ35/AD35,0)</f>
        <v>2.6159748685449541E-2</v>
      </c>
    </row>
    <row r="36" spans="1:45" x14ac:dyDescent="0.3">
      <c r="B36" s="82"/>
      <c r="C36" s="82"/>
      <c r="D36" s="410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>
        <v>0</v>
      </c>
      <c r="AM36" s="82"/>
      <c r="AN36" s="82"/>
      <c r="AO36" s="82"/>
      <c r="AP36" s="82"/>
      <c r="AQ36" s="82"/>
    </row>
    <row r="37" spans="1:45" x14ac:dyDescent="0.3">
      <c r="A37" s="435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</row>
    <row r="38" spans="1:45" x14ac:dyDescent="0.3">
      <c r="A38" s="7" t="s">
        <v>316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</row>
    <row r="39" spans="1:45" x14ac:dyDescent="0.3">
      <c r="A39" s="7" t="s">
        <v>81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</row>
    <row r="40" spans="1:45" x14ac:dyDescent="0.3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</row>
    <row r="41" spans="1:45" x14ac:dyDescent="0.3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</row>
    <row r="42" spans="1:45" x14ac:dyDescent="0.3">
      <c r="B42" s="82"/>
      <c r="C42" s="82">
        <v>225000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</row>
    <row r="43" spans="1:45" x14ac:dyDescent="0.3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</row>
    <row r="44" spans="1:45" ht="12.75" x14ac:dyDescent="0.3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ht="12.75" x14ac:dyDescent="0.3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x14ac:dyDescent="0.3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</row>
    <row r="47" spans="1:45" x14ac:dyDescent="0.3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</row>
  </sheetData>
  <phoneticPr fontId="39" type="noConversion"/>
  <printOptions gridLines="1"/>
  <pageMargins left="0.23622047244094491" right="0.23622047244094491" top="0.70866141732283472" bottom="0" header="0.19685039370078741" footer="0"/>
  <pageSetup fitToWidth="0" orientation="landscape" horizontalDpi="300" verticalDpi="300" r:id="rId1"/>
  <headerFooter alignWithMargins="0">
    <oddHeader xml:space="preserve">&amp;L30-Mar-2023
&amp;A
&amp;CTOWN OF TOPSFIELD FINANCE COMMITTEE
BUDGET WORKSHEETS
&amp;R&amp;"Arial,Bold"&amp;12VERSION 2.0
FY 2024
</oddHeader>
    <oddFooter xml:space="preserve">&amp;R
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A1:BA448"/>
  <sheetViews>
    <sheetView topLeftCell="A4" workbookViewId="0">
      <selection activeCell="AB37" sqref="AB37"/>
    </sheetView>
  </sheetViews>
  <sheetFormatPr defaultRowHeight="12.75" outlineLevelCol="1" x14ac:dyDescent="0.35"/>
  <cols>
    <col min="1" max="1" width="36.6640625" customWidth="1"/>
    <col min="2" max="9" width="11.6640625" customWidth="1" outlineLevel="1"/>
    <col min="10" max="10" width="11.6640625" customWidth="1"/>
    <col min="11" max="11" width="13.1328125" customWidth="1"/>
    <col min="12" max="12" width="14.1328125" customWidth="1"/>
    <col min="13" max="13" width="14.46484375" customWidth="1"/>
    <col min="14" max="14" width="9.6640625" bestFit="1" customWidth="1"/>
    <col min="15" max="15" width="10.6640625" customWidth="1"/>
  </cols>
  <sheetData>
    <row r="1" spans="1:17" x14ac:dyDescent="0.35">
      <c r="A1" t="s">
        <v>1105</v>
      </c>
    </row>
    <row r="2" spans="1:17" x14ac:dyDescent="0.35">
      <c r="A2" s="2100" t="s">
        <v>1109</v>
      </c>
      <c r="B2" s="128">
        <f>C2-1</f>
        <v>2014</v>
      </c>
      <c r="C2" s="128">
        <f t="shared" ref="C2:K2" si="0">D2-1</f>
        <v>2015</v>
      </c>
      <c r="D2" s="128">
        <f t="shared" si="0"/>
        <v>2016</v>
      </c>
      <c r="E2" s="128">
        <f t="shared" si="0"/>
        <v>2017</v>
      </c>
      <c r="F2" s="128">
        <f t="shared" si="0"/>
        <v>2018</v>
      </c>
      <c r="G2" s="128">
        <f t="shared" si="0"/>
        <v>2019</v>
      </c>
      <c r="H2" s="128">
        <f t="shared" si="0"/>
        <v>2020</v>
      </c>
      <c r="I2" s="128">
        <f t="shared" si="0"/>
        <v>2021</v>
      </c>
      <c r="J2" s="128">
        <f t="shared" si="0"/>
        <v>2022</v>
      </c>
      <c r="K2" s="128">
        <f t="shared" si="0"/>
        <v>2023</v>
      </c>
      <c r="L2" s="128">
        <v>2024</v>
      </c>
      <c r="M2" s="128">
        <v>2025</v>
      </c>
    </row>
    <row r="3" spans="1:17" ht="18" customHeight="1" x14ac:dyDescent="0.35">
      <c r="A3" s="2101" t="s">
        <v>1110</v>
      </c>
      <c r="B3" s="2099" t="s">
        <v>1106</v>
      </c>
      <c r="C3" s="2099" t="s">
        <v>1107</v>
      </c>
      <c r="D3" s="2091" t="s">
        <v>1093</v>
      </c>
      <c r="E3" s="2091" t="s">
        <v>1094</v>
      </c>
      <c r="F3" s="2091" t="s">
        <v>1095</v>
      </c>
      <c r="G3" s="2091" t="s">
        <v>1096</v>
      </c>
      <c r="H3" s="2091" t="s">
        <v>1097</v>
      </c>
      <c r="I3" s="2091" t="s">
        <v>1098</v>
      </c>
      <c r="J3" s="2091" t="s">
        <v>1099</v>
      </c>
      <c r="K3" s="2091" t="s">
        <v>1100</v>
      </c>
      <c r="L3" s="2091" t="s">
        <v>1174</v>
      </c>
      <c r="M3" s="2091" t="s">
        <v>1173</v>
      </c>
    </row>
    <row r="4" spans="1:17" ht="13.15" x14ac:dyDescent="0.35">
      <c r="A4" s="2092" t="s">
        <v>1101</v>
      </c>
      <c r="B4" s="2093">
        <v>777</v>
      </c>
      <c r="C4" s="2093">
        <v>792</v>
      </c>
      <c r="D4" s="2093">
        <v>768</v>
      </c>
      <c r="E4" s="2093">
        <v>742</v>
      </c>
      <c r="F4" s="2093">
        <v>708</v>
      </c>
      <c r="G4" s="2093">
        <v>692</v>
      </c>
      <c r="H4" s="2093">
        <v>691</v>
      </c>
      <c r="I4" s="2093">
        <v>663</v>
      </c>
      <c r="J4" s="2093">
        <v>622</v>
      </c>
      <c r="K4" s="2093">
        <v>623</v>
      </c>
      <c r="L4" s="2093">
        <v>600</v>
      </c>
      <c r="M4" s="2093">
        <v>587</v>
      </c>
      <c r="N4" s="2106">
        <f>POWER(M4/H4,1/5)</f>
        <v>0.96790338962965705</v>
      </c>
      <c r="O4" s="2106">
        <f>POWER(M4/D4,1/9)</f>
        <v>0.97057871872609724</v>
      </c>
      <c r="P4" s="2400">
        <f>1-N4</f>
        <v>3.2096610370342948E-2</v>
      </c>
      <c r="Q4" s="2400">
        <f>1-O4</f>
        <v>2.9421281273902755E-2</v>
      </c>
    </row>
    <row r="5" spans="1:17" ht="13.15" x14ac:dyDescent="0.35">
      <c r="A5" s="2094" t="s">
        <v>1102</v>
      </c>
      <c r="B5" s="2093">
        <v>733</v>
      </c>
      <c r="C5" s="2093">
        <v>739</v>
      </c>
      <c r="D5" s="2093">
        <v>706</v>
      </c>
      <c r="E5" s="2093">
        <v>706</v>
      </c>
      <c r="F5" s="2093">
        <v>665</v>
      </c>
      <c r="G5" s="2093">
        <v>641</v>
      </c>
      <c r="H5" s="2093">
        <v>646</v>
      </c>
      <c r="I5" s="2093">
        <v>617</v>
      </c>
      <c r="J5" s="2093">
        <v>604</v>
      </c>
      <c r="K5" s="2093">
        <v>563</v>
      </c>
      <c r="L5" s="2093">
        <v>528</v>
      </c>
      <c r="M5" s="2093">
        <v>500</v>
      </c>
      <c r="N5" s="2106">
        <f>POWER(M5/H5,1/5)</f>
        <v>0.95005226408729226</v>
      </c>
      <c r="O5" s="2106">
        <f>POWER(M5/D5,1/9)</f>
        <v>0.96239132665759208</v>
      </c>
      <c r="P5" s="2400">
        <f t="shared" ref="P5:P6" si="1">1-N5</f>
        <v>4.9947735912707736E-2</v>
      </c>
      <c r="Q5" s="2400">
        <f t="shared" ref="Q5:Q6" si="2">1-O5</f>
        <v>3.7608673342407917E-2</v>
      </c>
    </row>
    <row r="6" spans="1:17" ht="13.15" x14ac:dyDescent="0.35">
      <c r="A6" s="2095" t="s">
        <v>1103</v>
      </c>
      <c r="B6" s="2096">
        <v>577</v>
      </c>
      <c r="C6" s="2096">
        <v>557</v>
      </c>
      <c r="D6" s="2096">
        <v>537</v>
      </c>
      <c r="E6" s="2096">
        <v>521</v>
      </c>
      <c r="F6" s="2096">
        <v>501</v>
      </c>
      <c r="G6" s="2096">
        <v>494</v>
      </c>
      <c r="H6" s="2096">
        <v>482</v>
      </c>
      <c r="I6" s="2096">
        <v>479</v>
      </c>
      <c r="J6" s="2096">
        <v>486</v>
      </c>
      <c r="K6" s="2096">
        <v>492</v>
      </c>
      <c r="L6" s="2096">
        <v>467</v>
      </c>
      <c r="M6" s="2093">
        <v>471</v>
      </c>
      <c r="N6" s="2106">
        <f>POWER(M6/H6,1/5)</f>
        <v>0.99539343889313647</v>
      </c>
      <c r="O6" s="2106">
        <f>POWER(M6/D6,1/9)</f>
        <v>0.98553453373084199</v>
      </c>
      <c r="P6" s="2400">
        <f t="shared" si="1"/>
        <v>4.606561106863527E-3</v>
      </c>
      <c r="Q6" s="2400">
        <f t="shared" si="2"/>
        <v>1.4465466269158012E-2</v>
      </c>
    </row>
    <row r="7" spans="1:17" ht="13.15" x14ac:dyDescent="0.4">
      <c r="A7" s="2097" t="s">
        <v>1104</v>
      </c>
      <c r="B7" s="2098">
        <v>2087</v>
      </c>
      <c r="C7" s="2098">
        <v>2088</v>
      </c>
      <c r="D7" s="2098">
        <v>2011</v>
      </c>
      <c r="E7" s="2098">
        <v>1969</v>
      </c>
      <c r="F7" s="2098">
        <v>1874</v>
      </c>
      <c r="G7" s="2098">
        <v>1827</v>
      </c>
      <c r="H7" s="2098">
        <v>1819</v>
      </c>
      <c r="I7" s="2098">
        <v>1759</v>
      </c>
      <c r="J7" s="2098">
        <v>1712</v>
      </c>
      <c r="K7" s="2098">
        <v>1678</v>
      </c>
      <c r="L7" s="2098">
        <v>1595</v>
      </c>
      <c r="M7" s="2098">
        <f>SUM(M4:M6)</f>
        <v>1558</v>
      </c>
      <c r="N7" s="2575">
        <f>POWER(M7/H7,1/5)</f>
        <v>0.96949807446045766</v>
      </c>
      <c r="O7" s="2575">
        <f>POWER(M7/D7,1/9)</f>
        <v>0.97203954039837737</v>
      </c>
      <c r="P7" s="2574">
        <f>1-O7</f>
        <v>2.7960459601622634E-2</v>
      </c>
      <c r="Q7" s="2574">
        <f>1-N7</f>
        <v>3.0501925539542341E-2</v>
      </c>
    </row>
    <row r="8" spans="1:17" ht="13.15" x14ac:dyDescent="0.35">
      <c r="A8" s="2116" t="s">
        <v>1129</v>
      </c>
      <c r="C8" s="2117">
        <f>C7/B7-1</f>
        <v>4.7915668423570423E-4</v>
      </c>
      <c r="D8" s="2117">
        <f t="shared" ref="D8:M8" si="3">D7/C7-1</f>
        <v>-3.6877394636015359E-2</v>
      </c>
      <c r="E8" s="2117">
        <f t="shared" si="3"/>
        <v>-2.088513177523621E-2</v>
      </c>
      <c r="F8" s="2117">
        <f t="shared" si="3"/>
        <v>-4.8247841543930914E-2</v>
      </c>
      <c r="G8" s="2117">
        <f t="shared" si="3"/>
        <v>-2.5080042689434312E-2</v>
      </c>
      <c r="H8" s="2117">
        <f t="shared" si="3"/>
        <v>-4.3787629994526123E-3</v>
      </c>
      <c r="I8" s="2117">
        <f t="shared" si="3"/>
        <v>-3.2985156679494199E-2</v>
      </c>
      <c r="J8" s="2117">
        <f t="shared" si="3"/>
        <v>-2.6719727117680447E-2</v>
      </c>
      <c r="K8" s="2117">
        <f t="shared" si="3"/>
        <v>-1.985981308411211E-2</v>
      </c>
      <c r="L8" s="2330">
        <f t="shared" si="3"/>
        <v>-4.9463647199046501E-2</v>
      </c>
      <c r="M8" s="2330">
        <f t="shared" si="3"/>
        <v>-2.319749216300937E-2</v>
      </c>
    </row>
    <row r="9" spans="1:17" ht="13.15" x14ac:dyDescent="0.35">
      <c r="A9" s="2116" t="s">
        <v>1130</v>
      </c>
      <c r="C9" s="2117">
        <f>C6/B6-1</f>
        <v>-3.4662045060658619E-2</v>
      </c>
      <c r="D9" s="2117">
        <f t="shared" ref="D9:M9" si="4">D6/C6-1</f>
        <v>-3.590664272890487E-2</v>
      </c>
      <c r="E9" s="2117">
        <f t="shared" si="4"/>
        <v>-2.9795158286778367E-2</v>
      </c>
      <c r="F9" s="2117">
        <f t="shared" si="4"/>
        <v>-3.8387715930902067E-2</v>
      </c>
      <c r="G9" s="2117">
        <f t="shared" si="4"/>
        <v>-1.3972055888223589E-2</v>
      </c>
      <c r="H9" s="2117">
        <f t="shared" si="4"/>
        <v>-2.4291497975708509E-2</v>
      </c>
      <c r="I9" s="2117">
        <f t="shared" si="4"/>
        <v>-6.2240663900414717E-3</v>
      </c>
      <c r="J9" s="2117">
        <f t="shared" si="4"/>
        <v>1.4613778705636848E-2</v>
      </c>
      <c r="K9" s="2117">
        <f t="shared" si="4"/>
        <v>1.2345679012345734E-2</v>
      </c>
      <c r="L9" s="2117">
        <f t="shared" si="4"/>
        <v>-5.0813008130081272E-2</v>
      </c>
      <c r="M9" s="2117">
        <f t="shared" si="4"/>
        <v>8.565310492505418E-3</v>
      </c>
    </row>
    <row r="10" spans="1:17" ht="13.15" x14ac:dyDescent="0.35">
      <c r="A10" s="2116"/>
      <c r="C10" s="2117"/>
      <c r="D10" s="2117"/>
      <c r="E10" s="2117"/>
      <c r="F10" s="2117"/>
      <c r="G10" s="2117"/>
      <c r="H10" s="2117"/>
      <c r="I10" s="2117"/>
      <c r="J10" s="2117"/>
      <c r="K10" s="2117"/>
      <c r="L10" s="2117"/>
      <c r="M10" s="2117"/>
    </row>
    <row r="11" spans="1:17" x14ac:dyDescent="0.35">
      <c r="A11" s="2376" t="s">
        <v>1288</v>
      </c>
      <c r="C11" s="2117"/>
      <c r="D11" s="2117"/>
      <c r="E11" s="2117"/>
      <c r="F11" s="2117"/>
      <c r="G11" s="2117"/>
      <c r="H11" s="2117"/>
      <c r="I11" s="2117"/>
      <c r="J11" s="2117"/>
      <c r="K11" s="2117"/>
      <c r="L11" s="2117"/>
      <c r="M11" s="2117"/>
    </row>
    <row r="12" spans="1:17" ht="13.15" x14ac:dyDescent="0.35">
      <c r="A12" s="2369" t="s">
        <v>1163</v>
      </c>
      <c r="C12" s="1562">
        <f>C4/C$7</f>
        <v>0.37931034482758619</v>
      </c>
      <c r="D12" s="1562">
        <f t="shared" ref="D12:M12" si="5">D4/D$7</f>
        <v>0.38189955246146196</v>
      </c>
      <c r="E12" s="1562">
        <f t="shared" si="5"/>
        <v>0.37684103605891317</v>
      </c>
      <c r="F12" s="1562">
        <f t="shared" si="5"/>
        <v>0.37780149413020275</v>
      </c>
      <c r="G12" s="1562">
        <f t="shared" si="5"/>
        <v>0.37876299945265463</v>
      </c>
      <c r="H12" s="1562">
        <f t="shared" si="5"/>
        <v>0.37987905442550851</v>
      </c>
      <c r="I12" s="1562">
        <f t="shared" si="5"/>
        <v>0.3769187038089824</v>
      </c>
      <c r="J12" s="1562">
        <f t="shared" si="5"/>
        <v>0.36331775700934582</v>
      </c>
      <c r="K12" s="1562">
        <f t="shared" si="5"/>
        <v>0.37127532777115613</v>
      </c>
      <c r="L12" s="1562">
        <f t="shared" si="5"/>
        <v>0.37617554858934171</v>
      </c>
      <c r="M12" s="1562">
        <f t="shared" si="5"/>
        <v>0.37676508344030807</v>
      </c>
    </row>
    <row r="13" spans="1:17" ht="13.15" x14ac:dyDescent="0.35">
      <c r="A13" s="2094" t="s">
        <v>1164</v>
      </c>
      <c r="C13" s="1562">
        <f t="shared" ref="C13:M14" si="6">C5/C$7</f>
        <v>0.35392720306513409</v>
      </c>
      <c r="D13" s="1562">
        <f t="shared" si="6"/>
        <v>0.35106911984087519</v>
      </c>
      <c r="E13" s="1562">
        <f t="shared" si="6"/>
        <v>0.35855764347384461</v>
      </c>
      <c r="F13" s="1562">
        <f t="shared" si="6"/>
        <v>0.35485592315901815</v>
      </c>
      <c r="G13" s="1562">
        <f t="shared" si="6"/>
        <v>0.35084838533114393</v>
      </c>
      <c r="H13" s="1562">
        <f t="shared" si="6"/>
        <v>0.35514018691588783</v>
      </c>
      <c r="I13" s="1562">
        <f t="shared" si="6"/>
        <v>0.35076748152359294</v>
      </c>
      <c r="J13" s="1562">
        <f t="shared" si="6"/>
        <v>0.35280373831775702</v>
      </c>
      <c r="K13" s="1562">
        <f t="shared" si="6"/>
        <v>0.33551847437425508</v>
      </c>
      <c r="L13" s="1562">
        <f t="shared" si="6"/>
        <v>0.33103448275862069</v>
      </c>
      <c r="M13" s="1562">
        <f t="shared" si="6"/>
        <v>0.3209242618741977</v>
      </c>
    </row>
    <row r="14" spans="1:17" ht="13.15" x14ac:dyDescent="0.35">
      <c r="A14" s="2369" t="s">
        <v>1196</v>
      </c>
      <c r="C14" s="1562">
        <f t="shared" si="6"/>
        <v>0.26676245210727967</v>
      </c>
      <c r="D14" s="1562">
        <f t="shared" si="6"/>
        <v>0.26703132769766286</v>
      </c>
      <c r="E14" s="1562">
        <f t="shared" si="6"/>
        <v>0.26460132046724227</v>
      </c>
      <c r="F14" s="1562">
        <f t="shared" si="6"/>
        <v>0.2673425827107791</v>
      </c>
      <c r="G14" s="1562">
        <f t="shared" si="6"/>
        <v>0.27038861521620144</v>
      </c>
      <c r="H14" s="1562">
        <f t="shared" si="6"/>
        <v>0.26498075865860365</v>
      </c>
      <c r="I14" s="1562">
        <f t="shared" si="6"/>
        <v>0.27231381466742466</v>
      </c>
      <c r="J14" s="1562">
        <f t="shared" si="6"/>
        <v>0.28387850467289721</v>
      </c>
      <c r="K14" s="1562">
        <f t="shared" si="6"/>
        <v>0.29320619785458879</v>
      </c>
      <c r="L14" s="1562">
        <f t="shared" si="6"/>
        <v>0.2927899686520376</v>
      </c>
      <c r="M14" s="1562">
        <f t="shared" si="6"/>
        <v>0.30231065468549423</v>
      </c>
    </row>
    <row r="15" spans="1:17" ht="13.15" x14ac:dyDescent="0.35">
      <c r="A15" s="2116"/>
      <c r="C15" s="2117"/>
      <c r="D15" s="2117"/>
      <c r="E15" s="2117"/>
      <c r="F15" s="2117"/>
      <c r="G15" s="2117"/>
      <c r="H15" s="2117"/>
      <c r="I15" s="2117"/>
      <c r="J15" s="2117"/>
      <c r="K15" s="2117"/>
      <c r="L15" s="2117"/>
      <c r="M15" s="2117"/>
    </row>
    <row r="16" spans="1:17" ht="13.15" x14ac:dyDescent="0.35">
      <c r="A16" s="2116"/>
      <c r="C16" s="2117"/>
      <c r="D16" s="2117"/>
      <c r="E16" s="2117"/>
      <c r="F16" s="2117"/>
      <c r="G16" s="2117"/>
      <c r="H16" s="2117"/>
      <c r="I16" s="2117"/>
      <c r="J16" s="2117"/>
      <c r="K16" s="2117"/>
      <c r="L16" s="2117"/>
      <c r="M16" s="2117"/>
    </row>
    <row r="17" spans="1:13" x14ac:dyDescent="0.35">
      <c r="A17" s="2100" t="s">
        <v>1197</v>
      </c>
      <c r="C17" s="2117"/>
      <c r="D17" s="2117"/>
      <c r="E17" s="2117"/>
      <c r="F17" s="2117"/>
      <c r="G17" s="2117"/>
      <c r="H17" s="2117"/>
      <c r="I17" s="2117"/>
      <c r="J17" s="2117"/>
      <c r="K17" s="2117"/>
      <c r="L17" s="2380" t="s">
        <v>1198</v>
      </c>
      <c r="M17" s="2380" t="s">
        <v>1199</v>
      </c>
    </row>
    <row r="18" spans="1:13" ht="13.15" x14ac:dyDescent="0.35">
      <c r="A18" s="2369" t="s">
        <v>1163</v>
      </c>
      <c r="B18" s="2370"/>
      <c r="C18" s="2371"/>
      <c r="D18" s="2371"/>
      <c r="E18" s="2371"/>
      <c r="F18" s="2371"/>
      <c r="G18" s="2371"/>
      <c r="H18" s="2371"/>
      <c r="I18" s="2371"/>
      <c r="J18" s="2371"/>
      <c r="K18" s="2371"/>
      <c r="L18" s="2373">
        <f>(L4+K4+J4)/3</f>
        <v>615</v>
      </c>
      <c r="M18" s="2373">
        <f>(M4+L4+K4+J4)/4</f>
        <v>608</v>
      </c>
    </row>
    <row r="19" spans="1:13" ht="13.15" x14ac:dyDescent="0.35">
      <c r="A19" s="2094" t="s">
        <v>1164</v>
      </c>
      <c r="C19" s="2117"/>
      <c r="D19" s="2117"/>
      <c r="E19" s="2117"/>
      <c r="F19" s="2117"/>
      <c r="G19" s="2117"/>
      <c r="H19" s="2117"/>
      <c r="I19" s="2117"/>
      <c r="J19" s="2117"/>
      <c r="K19" s="2117"/>
      <c r="L19" s="2373">
        <f>(L5+K5+J5)/3</f>
        <v>565</v>
      </c>
      <c r="M19" s="2374">
        <f>(M5+L5+K5+J5)/4</f>
        <v>548.75</v>
      </c>
    </row>
    <row r="20" spans="1:13" ht="13.15" x14ac:dyDescent="0.35">
      <c r="A20" s="2369" t="s">
        <v>1196</v>
      </c>
      <c r="B20" s="2370"/>
      <c r="C20" s="2371"/>
      <c r="D20" s="2371"/>
      <c r="E20" s="2371"/>
      <c r="F20" s="2371"/>
      <c r="G20" s="2371"/>
      <c r="H20" s="2371"/>
      <c r="I20" s="2371"/>
      <c r="J20" s="2371"/>
      <c r="K20" s="2371"/>
      <c r="L20" s="2373">
        <f>(L6+K6+J6)/3</f>
        <v>481.66666666666669</v>
      </c>
      <c r="M20" s="2373">
        <f>(M6+L6+K6+J6)/4</f>
        <v>479</v>
      </c>
    </row>
    <row r="21" spans="1:13" x14ac:dyDescent="0.35">
      <c r="A21" s="2372" t="s">
        <v>308</v>
      </c>
      <c r="L21" s="2373">
        <f>(L7+K7+J7)/3</f>
        <v>1661.6666666666667</v>
      </c>
      <c r="M21" s="2375">
        <f>(M7+L7+K7+J7)/4</f>
        <v>1635.75</v>
      </c>
    </row>
    <row r="22" spans="1:13" x14ac:dyDescent="0.35">
      <c r="A22" s="2376"/>
      <c r="M22" s="2375"/>
    </row>
    <row r="23" spans="1:13" x14ac:dyDescent="0.35">
      <c r="A23" s="2376"/>
      <c r="M23" s="2375"/>
    </row>
    <row r="24" spans="1:13" ht="13.5" customHeight="1" x14ac:dyDescent="0.35"/>
    <row r="25" spans="1:13" x14ac:dyDescent="0.35">
      <c r="A25" s="2100" t="s">
        <v>1200</v>
      </c>
    </row>
    <row r="26" spans="1:13" x14ac:dyDescent="0.35">
      <c r="A26" s="2102" t="s">
        <v>1111</v>
      </c>
      <c r="B26" s="2103" t="s">
        <v>1112</v>
      </c>
      <c r="C26" s="2103" t="s">
        <v>1113</v>
      </c>
      <c r="D26" s="2103" t="s">
        <v>1114</v>
      </c>
      <c r="E26" s="2103" t="s">
        <v>1115</v>
      </c>
      <c r="F26" s="2103" t="s">
        <v>1116</v>
      </c>
      <c r="G26" s="2103" t="s">
        <v>1117</v>
      </c>
      <c r="H26" s="2103" t="s">
        <v>1118</v>
      </c>
      <c r="I26" s="2103" t="s">
        <v>1119</v>
      </c>
      <c r="J26" s="2103" t="s">
        <v>1120</v>
      </c>
      <c r="K26" s="2103" t="s">
        <v>1121</v>
      </c>
      <c r="L26" s="2377" t="s">
        <v>1108</v>
      </c>
      <c r="M26" s="2378" t="s">
        <v>1176</v>
      </c>
    </row>
    <row r="27" spans="1:13" ht="13.15" x14ac:dyDescent="0.35">
      <c r="A27" s="2104" t="s">
        <v>1122</v>
      </c>
      <c r="B27" s="2105">
        <v>0.37230000000000002</v>
      </c>
      <c r="C27" s="2105">
        <v>0.37930000000000003</v>
      </c>
      <c r="D27" s="2105">
        <v>0.38190000000000002</v>
      </c>
      <c r="E27" s="2105">
        <v>0.37680000000000002</v>
      </c>
      <c r="F27" s="2105">
        <v>0.37780000000000002</v>
      </c>
      <c r="G27" s="2105">
        <v>0.37880000000000003</v>
      </c>
      <c r="H27" s="2105">
        <v>0.37990000000000002</v>
      </c>
      <c r="I27" s="2105">
        <v>0.37690000000000001</v>
      </c>
      <c r="J27" s="2105">
        <v>0.36330000000000001</v>
      </c>
      <c r="K27" s="2105">
        <v>0.36730000000000002</v>
      </c>
      <c r="L27" s="2105">
        <f t="shared" ref="L27:M29" si="7">L18/L$21</f>
        <v>0.37011033099297891</v>
      </c>
      <c r="M27" s="2105">
        <f t="shared" si="7"/>
        <v>0.37169494115849</v>
      </c>
    </row>
    <row r="28" spans="1:13" ht="13.15" x14ac:dyDescent="0.35">
      <c r="A28" s="2104" t="s">
        <v>1123</v>
      </c>
      <c r="B28" s="2105">
        <v>0.35120000000000001</v>
      </c>
      <c r="C28" s="2105">
        <v>0.35389999999999999</v>
      </c>
      <c r="D28" s="2105">
        <v>0.35110000000000002</v>
      </c>
      <c r="E28" s="2105">
        <v>0.35859999999999997</v>
      </c>
      <c r="F28" s="2105">
        <v>0.35489999999999999</v>
      </c>
      <c r="G28" s="2105">
        <v>0.3508</v>
      </c>
      <c r="H28" s="2105">
        <v>0.35510000000000003</v>
      </c>
      <c r="I28" s="2105">
        <v>0.3508</v>
      </c>
      <c r="J28" s="2105">
        <v>0.3528</v>
      </c>
      <c r="K28" s="2105">
        <v>0.34420000000000001</v>
      </c>
      <c r="L28" s="2105">
        <f t="shared" si="7"/>
        <v>0.34002006018054159</v>
      </c>
      <c r="M28" s="2105">
        <f t="shared" si="7"/>
        <v>0.33547302460644962</v>
      </c>
    </row>
    <row r="29" spans="1:13" ht="13.15" x14ac:dyDescent="0.35">
      <c r="A29" s="2104" t="s">
        <v>1124</v>
      </c>
      <c r="B29" s="2105">
        <v>0.27650000000000002</v>
      </c>
      <c r="C29" s="2105">
        <v>0.26679999999999998</v>
      </c>
      <c r="D29" s="2105">
        <v>0.26700000000000002</v>
      </c>
      <c r="E29" s="2105">
        <v>0.2646</v>
      </c>
      <c r="F29" s="2105">
        <v>0.26729999999999998</v>
      </c>
      <c r="G29" s="2105">
        <v>0.27039999999999997</v>
      </c>
      <c r="H29" s="2105">
        <v>0.26500000000000001</v>
      </c>
      <c r="I29" s="2105">
        <v>0.27229999999999999</v>
      </c>
      <c r="J29" s="2105">
        <v>0.28389999999999999</v>
      </c>
      <c r="K29" s="2105">
        <v>0.28849999999999998</v>
      </c>
      <c r="L29" s="2379">
        <f t="shared" si="7"/>
        <v>0.28986960882647944</v>
      </c>
      <c r="M29" s="2379">
        <f>M20/M$21</f>
        <v>0.29283203423506038</v>
      </c>
    </row>
    <row r="33" spans="1:15" ht="26.25" x14ac:dyDescent="0.4">
      <c r="A33" s="2387" t="s">
        <v>1201</v>
      </c>
      <c r="H33" s="2114" t="s">
        <v>1125</v>
      </c>
      <c r="I33" s="2114" t="s">
        <v>1049</v>
      </c>
      <c r="J33" s="2114" t="s">
        <v>1050</v>
      </c>
      <c r="K33" s="2114" t="s">
        <v>1126</v>
      </c>
      <c r="L33" s="2114" t="s">
        <v>1108</v>
      </c>
      <c r="M33" s="2192" t="s">
        <v>1176</v>
      </c>
      <c r="O33" s="2192" t="s">
        <v>1165</v>
      </c>
    </row>
    <row r="34" spans="1:15" ht="13.15" x14ac:dyDescent="0.35">
      <c r="A34" s="2381" t="s">
        <v>1163</v>
      </c>
      <c r="B34" s="2382"/>
      <c r="C34" s="2382"/>
      <c r="D34" s="2382"/>
      <c r="E34" s="2382"/>
      <c r="F34" s="2382"/>
      <c r="G34" s="2382"/>
      <c r="H34" s="2383"/>
      <c r="I34" s="2383"/>
      <c r="J34" s="2384">
        <v>630</v>
      </c>
      <c r="K34" s="2384">
        <v>631</v>
      </c>
      <c r="L34" s="2384">
        <v>606</v>
      </c>
      <c r="M34" s="2385">
        <v>594</v>
      </c>
      <c r="O34" s="2192"/>
    </row>
    <row r="35" spans="1:15" ht="13.15" x14ac:dyDescent="0.35">
      <c r="A35" s="2381" t="s">
        <v>1164</v>
      </c>
      <c r="B35" s="2382"/>
      <c r="C35" s="2382"/>
      <c r="D35" s="2382"/>
      <c r="E35" s="2382"/>
      <c r="F35" s="2382"/>
      <c r="G35" s="2382"/>
      <c r="H35" s="2383"/>
      <c r="I35" s="2383"/>
      <c r="J35" s="2384">
        <v>613</v>
      </c>
      <c r="K35" s="2384">
        <v>567</v>
      </c>
      <c r="L35" s="2384">
        <v>537</v>
      </c>
      <c r="M35" s="2385">
        <v>508</v>
      </c>
      <c r="O35" s="2192"/>
    </row>
    <row r="36" spans="1:15" ht="13.15" x14ac:dyDescent="0.35">
      <c r="A36" s="2381" t="s">
        <v>1196</v>
      </c>
      <c r="B36" s="2382"/>
      <c r="C36" s="2382"/>
      <c r="D36" s="2382"/>
      <c r="E36" s="2382"/>
      <c r="F36" s="2382"/>
      <c r="G36" s="2382"/>
      <c r="H36" s="2383"/>
      <c r="I36" s="2383"/>
      <c r="J36" s="2384">
        <v>490</v>
      </c>
      <c r="K36" s="2384">
        <v>496</v>
      </c>
      <c r="L36" s="2384">
        <v>471</v>
      </c>
      <c r="M36" s="2385">
        <v>474</v>
      </c>
      <c r="O36" s="2192"/>
    </row>
    <row r="37" spans="1:15" ht="13.15" x14ac:dyDescent="0.35">
      <c r="A37" s="2386" t="s">
        <v>1202</v>
      </c>
      <c r="B37" s="2382"/>
      <c r="C37" s="2382"/>
      <c r="D37" s="2382"/>
      <c r="E37" s="2382"/>
      <c r="F37" s="2382"/>
      <c r="G37" s="2382"/>
      <c r="H37" s="2383"/>
      <c r="I37" s="2383"/>
      <c r="J37" s="2384"/>
      <c r="K37" s="2384"/>
      <c r="L37" s="2384"/>
      <c r="M37" s="2385"/>
      <c r="O37" s="2192"/>
    </row>
    <row r="38" spans="1:15" ht="13.15" x14ac:dyDescent="0.35">
      <c r="A38" s="2381" t="s">
        <v>1163</v>
      </c>
      <c r="B38" s="2382"/>
      <c r="C38" s="2382"/>
      <c r="D38" s="2382"/>
      <c r="E38" s="2382"/>
      <c r="F38" s="2382"/>
      <c r="G38" s="2382"/>
      <c r="H38" s="2383"/>
      <c r="I38" s="2383"/>
      <c r="J38" s="2384">
        <v>5974429</v>
      </c>
      <c r="K38" s="2384">
        <v>5972577</v>
      </c>
      <c r="L38" s="2384">
        <v>6153864</v>
      </c>
      <c r="M38" s="2385">
        <v>6271178</v>
      </c>
      <c r="N38" s="2106">
        <f>M38/L38-1</f>
        <v>1.9063469715937753E-2</v>
      </c>
      <c r="O38" s="2192"/>
    </row>
    <row r="39" spans="1:15" ht="13.15" x14ac:dyDescent="0.35">
      <c r="A39" s="2381" t="s">
        <v>1164</v>
      </c>
      <c r="B39" s="2382"/>
      <c r="C39" s="2382"/>
      <c r="D39" s="2382"/>
      <c r="E39" s="2382"/>
      <c r="F39" s="2382"/>
      <c r="G39" s="2382"/>
      <c r="H39" s="2383"/>
      <c r="I39" s="2383"/>
      <c r="J39" s="2384">
        <v>5812958</v>
      </c>
      <c r="K39" s="2384">
        <v>5641950</v>
      </c>
      <c r="L39" s="2384">
        <v>5601343</v>
      </c>
      <c r="M39" s="2385">
        <v>5590819</v>
      </c>
      <c r="N39" s="2106">
        <f>M39/L39-1</f>
        <v>-1.878835129360934E-3</v>
      </c>
      <c r="O39" s="2192"/>
    </row>
    <row r="40" spans="1:15" ht="13.15" x14ac:dyDescent="0.35">
      <c r="A40" s="2381" t="s">
        <v>1196</v>
      </c>
      <c r="B40" s="2382"/>
      <c r="C40" s="2382"/>
      <c r="D40" s="2382"/>
      <c r="E40" s="2382"/>
      <c r="F40" s="2382"/>
      <c r="G40" s="2382"/>
      <c r="H40" s="2383"/>
      <c r="I40" s="2383"/>
      <c r="J40" s="2384">
        <v>4644667</v>
      </c>
      <c r="K40" s="2384">
        <v>4724353</v>
      </c>
      <c r="L40" s="2384">
        <v>4609054</v>
      </c>
      <c r="M40" s="2385">
        <v>4948375</v>
      </c>
      <c r="N40" s="2106">
        <f>M40/L40-1</f>
        <v>7.3620530373478044E-2</v>
      </c>
      <c r="O40" s="2192"/>
    </row>
    <row r="41" spans="1:15" ht="13.15" x14ac:dyDescent="0.4">
      <c r="A41" s="259"/>
      <c r="H41" s="2192"/>
      <c r="I41" s="2192"/>
      <c r="J41" s="2388">
        <f>SUM(J38:J40)</f>
        <v>16432054</v>
      </c>
      <c r="K41" s="2388">
        <f t="shared" ref="K41:L41" si="8">SUM(K38:K40)</f>
        <v>16338880</v>
      </c>
      <c r="L41" s="2388">
        <f t="shared" si="8"/>
        <v>16364261</v>
      </c>
      <c r="M41" s="2388">
        <f>SUM(M38:M40)</f>
        <v>16810372</v>
      </c>
      <c r="O41" s="2192"/>
    </row>
    <row r="42" spans="1:15" ht="13.15" x14ac:dyDescent="0.4">
      <c r="A42" s="259" t="s">
        <v>1204</v>
      </c>
      <c r="H42" s="2192"/>
      <c r="I42" s="2192"/>
      <c r="J42" s="2192"/>
      <c r="K42" s="2192"/>
      <c r="L42" s="2192"/>
      <c r="M42" s="2192"/>
      <c r="O42" s="2192"/>
    </row>
    <row r="43" spans="1:15" ht="13.15" x14ac:dyDescent="0.35">
      <c r="A43" s="2115" t="s">
        <v>1163</v>
      </c>
      <c r="H43" s="2192"/>
      <c r="I43" s="2192"/>
      <c r="J43" s="2192"/>
      <c r="K43" s="2389">
        <f t="shared" ref="K43:L45" si="9">(K$52-K$41)*K27</f>
        <v>5159453.9175000004</v>
      </c>
      <c r="L43" s="2389">
        <f t="shared" si="9"/>
        <v>5763710.7893681042</v>
      </c>
      <c r="M43" s="2389">
        <f>(M$52-M$41)*M27</f>
        <v>6108239.1514595756</v>
      </c>
      <c r="N43" s="2106">
        <f>M43/L43-1</f>
        <v>5.9775442363797504E-2</v>
      </c>
      <c r="O43" s="2192"/>
    </row>
    <row r="44" spans="1:15" ht="13.15" x14ac:dyDescent="0.35">
      <c r="A44" s="2115" t="s">
        <v>1164</v>
      </c>
      <c r="H44" s="2192"/>
      <c r="I44" s="2192"/>
      <c r="J44" s="2192"/>
      <c r="K44" s="2389">
        <f t="shared" si="9"/>
        <v>4834968.7949999999</v>
      </c>
      <c r="L44" s="2389">
        <f t="shared" si="9"/>
        <v>5295116.4162487462</v>
      </c>
      <c r="M44" s="2389">
        <f>(M$52-M$41)*M28</f>
        <v>5512987.2275714502</v>
      </c>
      <c r="N44" s="2106">
        <f>M44/L44-1</f>
        <v>4.1145613088720667E-2</v>
      </c>
      <c r="O44" s="2192"/>
    </row>
    <row r="45" spans="1:15" ht="13.15" x14ac:dyDescent="0.35">
      <c r="A45" s="2115" t="s">
        <v>1196</v>
      </c>
      <c r="H45" s="2192"/>
      <c r="I45" s="2192"/>
      <c r="J45" s="2192"/>
      <c r="K45" s="2389">
        <f t="shared" si="9"/>
        <v>4052552.2874999996</v>
      </c>
      <c r="L45" s="2389">
        <f t="shared" si="9"/>
        <v>4514125.7943831496</v>
      </c>
      <c r="M45" s="2389">
        <f>(M$52-M$41)*M29</f>
        <v>4812247.6209689742</v>
      </c>
      <c r="N45" s="2106">
        <f>M45/L45-1</f>
        <v>6.6041984686552757E-2</v>
      </c>
      <c r="O45" s="2192"/>
    </row>
    <row r="46" spans="1:15" ht="13.15" x14ac:dyDescent="0.4">
      <c r="A46" s="259"/>
      <c r="H46" s="2192"/>
      <c r="I46" s="2192"/>
      <c r="J46" s="2192"/>
      <c r="K46" s="2192"/>
      <c r="L46" s="2192"/>
      <c r="M46" s="2192"/>
      <c r="O46" s="2192"/>
    </row>
    <row r="47" spans="1:15" ht="13.15" x14ac:dyDescent="0.4">
      <c r="A47" s="2390" t="s">
        <v>1203</v>
      </c>
      <c r="B47" s="2391"/>
      <c r="C47" s="2391"/>
      <c r="D47" s="2391"/>
      <c r="E47" s="2391"/>
      <c r="F47" s="2391"/>
      <c r="G47" s="2391"/>
      <c r="H47" s="2392"/>
      <c r="I47" s="2392"/>
      <c r="J47" s="2392"/>
      <c r="K47" s="2392"/>
      <c r="L47" s="2392"/>
      <c r="M47" s="2392"/>
      <c r="N47" s="2391"/>
      <c r="O47" s="2192"/>
    </row>
    <row r="48" spans="1:15" ht="13.15" x14ac:dyDescent="0.35">
      <c r="A48" s="2393" t="s">
        <v>1163</v>
      </c>
      <c r="B48" s="2391"/>
      <c r="C48" s="2391"/>
      <c r="D48" s="2391"/>
      <c r="E48" s="2391"/>
      <c r="F48" s="2391"/>
      <c r="G48" s="2391"/>
      <c r="H48" s="2392"/>
      <c r="I48" s="2392"/>
      <c r="J48" s="2392"/>
      <c r="K48" s="2394">
        <f>K43+K38</f>
        <v>11132030.9175</v>
      </c>
      <c r="L48" s="2394">
        <f>L43+L38</f>
        <v>11917574.789368104</v>
      </c>
      <c r="M48" s="2394">
        <f>M43+M38</f>
        <v>12379417.151459575</v>
      </c>
      <c r="N48" s="2395">
        <f>M48/L48-1</f>
        <v>3.8753049194496292E-2</v>
      </c>
      <c r="O48" s="2192"/>
    </row>
    <row r="49" spans="1:15" ht="13.15" x14ac:dyDescent="0.35">
      <c r="A49" s="2393" t="s">
        <v>1164</v>
      </c>
      <c r="B49" s="2391"/>
      <c r="C49" s="2391"/>
      <c r="D49" s="2391"/>
      <c r="E49" s="2391"/>
      <c r="F49" s="2391"/>
      <c r="G49" s="2391"/>
      <c r="H49" s="2392"/>
      <c r="I49" s="2392"/>
      <c r="J49" s="2392"/>
      <c r="K49" s="2394">
        <f t="shared" ref="K49" si="10">K44+K39</f>
        <v>10476918.795</v>
      </c>
      <c r="L49" s="2394">
        <f t="shared" ref="L49:M50" si="11">L44+L39</f>
        <v>10896459.416248746</v>
      </c>
      <c r="M49" s="2394">
        <f t="shared" si="11"/>
        <v>11103806.22757145</v>
      </c>
      <c r="N49" s="2395">
        <f t="shared" ref="N49:N52" si="12">M49/L49-1</f>
        <v>1.9028824263183086E-2</v>
      </c>
      <c r="O49" s="2192"/>
    </row>
    <row r="50" spans="1:15" ht="13.15" x14ac:dyDescent="0.35">
      <c r="A50" s="2393" t="s">
        <v>1196</v>
      </c>
      <c r="B50" s="2391"/>
      <c r="C50" s="2391"/>
      <c r="D50" s="2391"/>
      <c r="E50" s="2391"/>
      <c r="F50" s="2391"/>
      <c r="G50" s="2391"/>
      <c r="H50" s="2392"/>
      <c r="I50" s="2392"/>
      <c r="J50" s="2392"/>
      <c r="K50" s="2394">
        <f t="shared" ref="K50" si="13">K45+K40</f>
        <v>8776905.2874999996</v>
      </c>
      <c r="L50" s="2394">
        <f t="shared" si="11"/>
        <v>9123179.7943831496</v>
      </c>
      <c r="M50" s="2394">
        <f>M45+M40</f>
        <v>9760622.6209689751</v>
      </c>
      <c r="N50" s="2395">
        <f t="shared" si="12"/>
        <v>6.9870685545217359E-2</v>
      </c>
      <c r="O50" s="2192"/>
    </row>
    <row r="51" spans="1:15" ht="13.15" x14ac:dyDescent="0.35">
      <c r="A51" s="2115"/>
      <c r="H51" s="2192"/>
      <c r="I51" s="2192"/>
      <c r="J51" s="2192"/>
      <c r="K51" s="2192"/>
      <c r="L51" s="2192"/>
      <c r="M51" s="2192"/>
      <c r="O51" s="2192"/>
    </row>
    <row r="52" spans="1:15" x14ac:dyDescent="0.35">
      <c r="A52" s="2115" t="s">
        <v>1127</v>
      </c>
      <c r="H52" s="2107">
        <v>28045347</v>
      </c>
      <c r="I52" s="2108">
        <v>28910709</v>
      </c>
      <c r="J52" s="2108">
        <v>29640869</v>
      </c>
      <c r="K52" s="2109">
        <v>30385855</v>
      </c>
      <c r="L52" s="2109">
        <v>31937214</v>
      </c>
      <c r="M52" s="2328">
        <f>'Model Assumptions'!G19</f>
        <v>33243846</v>
      </c>
      <c r="N52" s="2395">
        <f t="shared" si="12"/>
        <v>4.0912522927015527E-2</v>
      </c>
      <c r="O52" s="2106"/>
    </row>
    <row r="53" spans="1:15" x14ac:dyDescent="0.35">
      <c r="A53" s="2115" t="s">
        <v>1128</v>
      </c>
      <c r="H53" s="2110">
        <v>1076702</v>
      </c>
      <c r="I53" s="2111">
        <v>295751</v>
      </c>
      <c r="J53" s="2111">
        <v>290502</v>
      </c>
      <c r="K53" s="2112">
        <v>-498748</v>
      </c>
      <c r="L53" s="2113"/>
      <c r="M53" s="2329"/>
    </row>
    <row r="55" spans="1:15" x14ac:dyDescent="0.35">
      <c r="A55" s="256" t="s">
        <v>1131</v>
      </c>
      <c r="H55" s="2118">
        <f t="shared" ref="H55:M55" si="14">H52/H7</f>
        <v>15418.002748763056</v>
      </c>
      <c r="I55" s="2118">
        <f t="shared" si="14"/>
        <v>16435.877771461059</v>
      </c>
      <c r="J55" s="2118">
        <f t="shared" si="14"/>
        <v>17313.591705607476</v>
      </c>
      <c r="K55" s="2118">
        <f t="shared" si="14"/>
        <v>18108.376042908225</v>
      </c>
      <c r="L55" s="2118">
        <f t="shared" si="14"/>
        <v>20023.331661442007</v>
      </c>
      <c r="M55" s="2118">
        <f t="shared" si="14"/>
        <v>21337.513478818997</v>
      </c>
    </row>
    <row r="56" spans="1:15" x14ac:dyDescent="0.35">
      <c r="I56" s="2106">
        <f>I55/H55-1</f>
        <v>6.6018604308503148E-2</v>
      </c>
      <c r="J56" s="2106">
        <f t="shared" ref="J56:K56" si="15">J55/I55-1</f>
        <v>5.3402315735790129E-2</v>
      </c>
      <c r="K56" s="2106">
        <f t="shared" si="15"/>
        <v>4.5905225837302055E-2</v>
      </c>
      <c r="L56" s="2106">
        <f>L55/K55-1</f>
        <v>0.1057497157114613</v>
      </c>
      <c r="M56" s="2106">
        <f>M55/L55-1</f>
        <v>6.5632525076116499E-2</v>
      </c>
    </row>
    <row r="448" spans="53:53" x14ac:dyDescent="0.35">
      <c r="BA448" t="e">
        <f>'Masco Calculation'!A46T</f>
        <v>#NAME?</v>
      </c>
    </row>
  </sheetData>
  <conditionalFormatting sqref="C8:M8">
    <cfRule type="cellIs" dxfId="2" priority="3" operator="lessThan">
      <formula>0</formula>
    </cfRule>
  </conditionalFormatting>
  <conditionalFormatting sqref="C9:M16 C17:K20">
    <cfRule type="cellIs" dxfId="1" priority="1" operator="lessThan">
      <formula>0</formula>
    </cfRule>
    <cfRule type="cellIs" dxfId="0" priority="2" operator="greaterThan">
      <formula>9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>
    <tabColor rgb="FF00B050"/>
    <pageSetUpPr fitToPage="1"/>
  </sheetPr>
  <dimension ref="A1:Q572"/>
  <sheetViews>
    <sheetView workbookViewId="0">
      <selection activeCell="A469" sqref="A469"/>
    </sheetView>
  </sheetViews>
  <sheetFormatPr defaultRowHeight="12.75" x14ac:dyDescent="0.35"/>
  <cols>
    <col min="1" max="1" width="31.33203125" customWidth="1"/>
    <col min="2" max="2" width="6.6640625" customWidth="1"/>
    <col min="3" max="3" width="15.6640625" customWidth="1"/>
    <col min="4" max="4" width="14.46484375" style="711" customWidth="1"/>
    <col min="5" max="5" width="10.1328125" style="727" customWidth="1"/>
    <col min="6" max="6" width="12.46484375" style="727" customWidth="1"/>
    <col min="7" max="7" width="9.6640625" style="727" customWidth="1"/>
    <col min="8" max="8" width="11.46484375" style="979" customWidth="1"/>
    <col min="9" max="9" width="9.1328125" style="727" customWidth="1"/>
    <col min="10" max="10" width="10.46484375" style="727" customWidth="1"/>
    <col min="11" max="11" width="8.86328125" style="727" customWidth="1"/>
    <col min="12" max="12" width="10.33203125" style="727" customWidth="1"/>
    <col min="13" max="13" width="8.46484375" style="727" customWidth="1"/>
    <col min="14" max="15" width="10.86328125" style="727" customWidth="1"/>
  </cols>
  <sheetData>
    <row r="1" spans="1:15" ht="13.5" thickBot="1" x14ac:dyDescent="0.45">
      <c r="D1" s="1580"/>
      <c r="E1" s="717"/>
      <c r="F1" s="717"/>
      <c r="G1" s="717"/>
      <c r="H1" s="2044"/>
      <c r="I1" s="717"/>
      <c r="J1" s="717"/>
      <c r="K1" s="717"/>
      <c r="L1" s="717"/>
      <c r="M1" s="717"/>
      <c r="N1" s="717"/>
      <c r="O1" s="725"/>
    </row>
    <row r="2" spans="1:15" ht="13.15" hidden="1" thickBot="1" x14ac:dyDescent="0.4">
      <c r="E2" s="725"/>
      <c r="F2" s="725"/>
      <c r="G2" s="725"/>
      <c r="H2" s="2045"/>
      <c r="I2" s="725"/>
      <c r="J2" s="725"/>
      <c r="K2" s="725"/>
      <c r="L2" s="725"/>
      <c r="M2" s="725"/>
      <c r="N2" s="725"/>
      <c r="O2" s="725"/>
    </row>
    <row r="3" spans="1:15" ht="13.15" hidden="1" thickBot="1" x14ac:dyDescent="0.4">
      <c r="E3" s="725"/>
      <c r="F3" s="725"/>
      <c r="G3" s="725"/>
      <c r="H3" s="2045"/>
      <c r="I3" s="725"/>
      <c r="J3" s="725"/>
      <c r="K3" s="725"/>
      <c r="L3" s="725"/>
      <c r="M3" s="725"/>
      <c r="N3" s="725"/>
      <c r="O3" s="725"/>
    </row>
    <row r="4" spans="1:15" ht="13.15" hidden="1" thickBot="1" x14ac:dyDescent="0.4">
      <c r="E4" s="725"/>
      <c r="F4" s="725"/>
      <c r="G4" s="725"/>
      <c r="H4" s="2045"/>
      <c r="I4" s="725"/>
      <c r="J4" s="725"/>
      <c r="K4" s="725"/>
      <c r="L4" s="725"/>
      <c r="M4" s="725"/>
      <c r="N4" s="725"/>
      <c r="O4" s="725"/>
    </row>
    <row r="5" spans="1:15" ht="13.15" hidden="1" thickBot="1" x14ac:dyDescent="0.4">
      <c r="E5" s="725"/>
      <c r="F5" s="725"/>
      <c r="G5" s="725"/>
      <c r="H5" s="2045"/>
      <c r="I5" s="725"/>
      <c r="J5" s="725"/>
      <c r="K5" s="725"/>
      <c r="L5" s="725"/>
      <c r="M5" s="725"/>
      <c r="N5" s="725"/>
      <c r="O5" s="725"/>
    </row>
    <row r="6" spans="1:15" ht="13.15" hidden="1" thickBot="1" x14ac:dyDescent="0.4">
      <c r="E6" s="735"/>
      <c r="F6" s="735"/>
      <c r="G6" s="735"/>
      <c r="H6" s="2046"/>
      <c r="I6" s="735"/>
      <c r="J6" s="735"/>
      <c r="K6" s="735"/>
      <c r="L6" s="735"/>
      <c r="M6" s="735"/>
      <c r="N6" s="735"/>
      <c r="O6" s="725"/>
    </row>
    <row r="7" spans="1:15" x14ac:dyDescent="0.35">
      <c r="D7" s="736"/>
      <c r="E7" s="741"/>
      <c r="F7" s="741"/>
      <c r="G7" s="741"/>
      <c r="H7" s="741"/>
      <c r="I7" s="1653"/>
      <c r="J7" s="741"/>
      <c r="K7" s="741"/>
      <c r="L7" s="741"/>
      <c r="M7" s="741"/>
      <c r="N7" s="1758"/>
      <c r="O7" s="725"/>
    </row>
    <row r="8" spans="1:15" ht="15.4" thickBot="1" x14ac:dyDescent="0.45">
      <c r="D8" s="744"/>
      <c r="E8" s="748"/>
      <c r="F8" s="1700"/>
      <c r="G8" s="1700" t="s">
        <v>1061</v>
      </c>
      <c r="H8" s="748"/>
      <c r="I8" s="1654"/>
      <c r="J8" s="1700" t="s">
        <v>1062</v>
      </c>
      <c r="K8" s="1700"/>
      <c r="L8" s="1700"/>
      <c r="M8" s="1700"/>
      <c r="N8" s="1759"/>
      <c r="O8" s="725"/>
    </row>
    <row r="9" spans="1:15" x14ac:dyDescent="0.35">
      <c r="A9" s="1962"/>
      <c r="B9" s="1962"/>
      <c r="C9" s="1962"/>
      <c r="D9" s="752"/>
      <c r="E9" s="1408"/>
      <c r="F9" s="1819"/>
      <c r="G9" s="1819"/>
      <c r="H9" s="1820"/>
      <c r="I9" s="1821"/>
      <c r="J9" s="2502"/>
      <c r="K9" s="1820"/>
      <c r="L9" s="1820"/>
      <c r="M9" s="1820"/>
      <c r="N9" s="2504"/>
      <c r="O9" s="725"/>
    </row>
    <row r="10" spans="1:15" ht="13.15" x14ac:dyDescent="0.4">
      <c r="A10" s="1963" t="s">
        <v>1265</v>
      </c>
      <c r="B10" s="1963" t="s">
        <v>1073</v>
      </c>
      <c r="C10" s="1963"/>
      <c r="D10" s="761"/>
      <c r="E10" s="1408" t="s">
        <v>1063</v>
      </c>
      <c r="F10" s="1823" t="s">
        <v>1264</v>
      </c>
      <c r="G10" s="1823" t="s">
        <v>1059</v>
      </c>
      <c r="H10" s="1824" t="s">
        <v>1060</v>
      </c>
      <c r="I10" s="1825" t="s">
        <v>1262</v>
      </c>
      <c r="J10" s="2503" t="s">
        <v>1059</v>
      </c>
      <c r="K10" s="1824" t="s">
        <v>1261</v>
      </c>
      <c r="L10" s="1824" t="s">
        <v>1059</v>
      </c>
      <c r="M10" s="1824" t="s">
        <v>1263</v>
      </c>
      <c r="N10" s="2505" t="s">
        <v>1059</v>
      </c>
      <c r="O10" s="725"/>
    </row>
    <row r="11" spans="1:15" ht="13.15" hidden="1" x14ac:dyDescent="0.4">
      <c r="A11" s="1963"/>
      <c r="B11" s="1963"/>
      <c r="C11" s="1963"/>
      <c r="D11" s="1451" t="str">
        <f>BUDGET!A11</f>
        <v>OPERATING  BUDGET</v>
      </c>
      <c r="E11" s="1409"/>
      <c r="F11" s="1828"/>
      <c r="G11" s="1828"/>
      <c r="H11" s="1829"/>
      <c r="I11" s="1830"/>
      <c r="J11" s="1828"/>
      <c r="K11" s="1829"/>
      <c r="L11" s="1829"/>
      <c r="M11" s="1829"/>
      <c r="N11" s="1831"/>
      <c r="O11" s="2456"/>
    </row>
    <row r="12" spans="1:15" hidden="1" x14ac:dyDescent="0.35">
      <c r="A12" s="459" t="s">
        <v>434</v>
      </c>
      <c r="B12" s="459">
        <f>BUDGET!AY12</f>
        <v>0</v>
      </c>
      <c r="C12" s="459"/>
      <c r="D12" s="771" t="str">
        <f>BUDGET!A12</f>
        <v>GENERAL GOVERNMENT</v>
      </c>
      <c r="E12" s="776"/>
      <c r="F12" s="2197"/>
      <c r="G12" s="776"/>
      <c r="I12" s="1655"/>
      <c r="J12" s="776"/>
      <c r="K12" s="979"/>
      <c r="L12" s="979"/>
      <c r="M12" s="979"/>
      <c r="N12" s="1760"/>
      <c r="O12" s="979"/>
    </row>
    <row r="13" spans="1:15" hidden="1" x14ac:dyDescent="0.35">
      <c r="A13" t="s">
        <v>434</v>
      </c>
      <c r="B13" s="459">
        <f>BUDGET!AY13</f>
        <v>0</v>
      </c>
      <c r="C13" s="459"/>
      <c r="D13" s="779" t="str">
        <f>BUDGET!A13</f>
        <v xml:space="preserve"> MODERATOR</v>
      </c>
      <c r="E13" s="776"/>
      <c r="F13" s="2197"/>
      <c r="G13" s="776"/>
      <c r="I13" s="1655"/>
      <c r="J13" s="776"/>
      <c r="K13" s="979"/>
      <c r="L13" s="979"/>
      <c r="M13" s="979"/>
      <c r="N13" s="1760"/>
      <c r="O13" s="979"/>
    </row>
    <row r="14" spans="1:15" hidden="1" x14ac:dyDescent="0.35">
      <c r="A14" t="s">
        <v>434</v>
      </c>
      <c r="B14" s="459">
        <f>BUDGET!AY14</f>
        <v>0</v>
      </c>
      <c r="C14" s="459"/>
      <c r="D14" s="771" t="str">
        <f>BUDGET!A14</f>
        <v xml:space="preserve">    SALARY</v>
      </c>
      <c r="E14" s="788">
        <v>50</v>
      </c>
      <c r="F14" s="2198" t="str">
        <f>BUDGET!AX14</f>
        <v/>
      </c>
      <c r="G14" s="788"/>
      <c r="H14" s="841"/>
      <c r="I14" s="1656"/>
      <c r="J14" s="788"/>
      <c r="K14" s="841"/>
      <c r="L14" s="841"/>
      <c r="M14" s="841"/>
      <c r="N14" s="1761"/>
      <c r="O14" s="841"/>
    </row>
    <row r="15" spans="1:15" ht="13.15" hidden="1" x14ac:dyDescent="0.4">
      <c r="A15" t="s">
        <v>434</v>
      </c>
      <c r="B15" s="459">
        <f>BUDGET!AY15</f>
        <v>0</v>
      </c>
      <c r="C15" s="459"/>
      <c r="D15" s="790" t="str">
        <f>BUDGET!A15</f>
        <v xml:space="preserve">    TOTAL</v>
      </c>
      <c r="E15" s="800">
        <v>50</v>
      </c>
      <c r="F15" s="2199" t="str">
        <f>BUDGET!AX15</f>
        <v/>
      </c>
      <c r="G15" s="2439" t="s">
        <v>1232</v>
      </c>
      <c r="H15" s="2058">
        <v>45363</v>
      </c>
      <c r="I15" s="1657"/>
      <c r="J15" s="800"/>
      <c r="K15" s="1621"/>
      <c r="L15" s="1621"/>
      <c r="M15" s="1621"/>
      <c r="N15" s="1762"/>
      <c r="O15" s="1127"/>
    </row>
    <row r="16" spans="1:15" hidden="1" x14ac:dyDescent="0.35">
      <c r="A16" s="459" t="s">
        <v>294</v>
      </c>
      <c r="B16" s="459"/>
      <c r="C16" s="459"/>
      <c r="D16" s="779" t="str">
        <f>BUDGET!A16</f>
        <v>SELECTMEN</v>
      </c>
      <c r="E16" s="776"/>
      <c r="F16" s="2197" t="str">
        <f>BUDGET!AX16</f>
        <v/>
      </c>
      <c r="G16" s="776"/>
      <c r="I16" s="1655"/>
      <c r="J16" s="776"/>
      <c r="K16" s="979"/>
      <c r="L16" s="979"/>
      <c r="M16" s="979"/>
      <c r="N16" s="1760"/>
      <c r="O16" s="979"/>
    </row>
    <row r="17" spans="1:15" hidden="1" x14ac:dyDescent="0.35">
      <c r="A17" t="s">
        <v>294</v>
      </c>
      <c r="B17" s="459"/>
      <c r="C17" s="459"/>
      <c r="D17" s="779" t="str">
        <f>BUDGET!A17</f>
        <v xml:space="preserve">    SALARIES</v>
      </c>
      <c r="E17" s="810">
        <v>238778</v>
      </c>
      <c r="F17" s="2200"/>
      <c r="G17" s="810"/>
      <c r="H17" s="1110"/>
      <c r="I17" s="1658"/>
      <c r="J17" s="810"/>
      <c r="K17" s="1410"/>
      <c r="L17" s="1410"/>
      <c r="M17" s="1410"/>
      <c r="N17" s="1763"/>
      <c r="O17" s="1410"/>
    </row>
    <row r="18" spans="1:15" ht="13.15" x14ac:dyDescent="0.4">
      <c r="A18" t="s">
        <v>294</v>
      </c>
      <c r="B18" s="459">
        <v>1</v>
      </c>
      <c r="C18" s="459"/>
      <c r="D18" s="779" t="str">
        <f>BUDGET!A18</f>
        <v xml:space="preserve">    WAGES</v>
      </c>
      <c r="E18" s="810">
        <v>78572</v>
      </c>
      <c r="F18" s="2200">
        <f>IF(_xlfn.NUMBERVALUE(J18)=0,0,I18)+IF(_xlfn.NUMBERVALUE(L18)=0,0,K18)+IF(_xlfn.NUMBERVALUE(N18)=0,0,M18)</f>
        <v>1250</v>
      </c>
      <c r="G18" s="2446" t="s">
        <v>1232</v>
      </c>
      <c r="H18" s="2442">
        <v>45363</v>
      </c>
      <c r="I18" s="1957">
        <v>1250</v>
      </c>
      <c r="J18" s="2476">
        <v>45363</v>
      </c>
      <c r="K18" s="2479"/>
      <c r="L18" s="2479"/>
      <c r="M18" s="2479"/>
      <c r="N18" s="1763"/>
      <c r="O18" s="725"/>
    </row>
    <row r="19" spans="1:15" hidden="1" x14ac:dyDescent="0.35">
      <c r="A19" t="s">
        <v>294</v>
      </c>
      <c r="B19" s="459"/>
      <c r="C19" s="459"/>
      <c r="D19" s="779" t="str">
        <f>BUDGET!A19</f>
        <v xml:space="preserve">   OTHER</v>
      </c>
      <c r="E19" s="810">
        <v>13890</v>
      </c>
      <c r="F19" s="2200" t="str">
        <f>BUDGET!AX19</f>
        <v/>
      </c>
      <c r="G19" s="810"/>
      <c r="H19" s="1110"/>
      <c r="I19" s="1658"/>
      <c r="J19" s="810"/>
      <c r="K19" s="1410"/>
      <c r="L19" s="1410"/>
      <c r="M19" s="1410"/>
      <c r="N19" s="1763"/>
      <c r="O19" s="1410"/>
    </row>
    <row r="20" spans="1:15" ht="13.15" hidden="1" x14ac:dyDescent="0.4">
      <c r="A20" t="s">
        <v>294</v>
      </c>
      <c r="B20" s="459"/>
      <c r="C20" s="459"/>
      <c r="D20" s="771" t="str">
        <f>BUDGET!A20</f>
        <v xml:space="preserve">   TOTAL</v>
      </c>
      <c r="E20" s="785">
        <v>331240</v>
      </c>
      <c r="F20" s="2201"/>
      <c r="G20" s="2439" t="s">
        <v>1232</v>
      </c>
      <c r="H20" s="2058">
        <v>45363</v>
      </c>
      <c r="I20" s="1659"/>
      <c r="J20" s="785"/>
      <c r="K20" s="820"/>
      <c r="L20" s="820"/>
      <c r="M20" s="820"/>
      <c r="N20" s="1764"/>
      <c r="O20" s="820"/>
    </row>
    <row r="21" spans="1:15" hidden="1" x14ac:dyDescent="0.35">
      <c r="B21" s="459">
        <f>BUDGET!AY21</f>
        <v>0</v>
      </c>
      <c r="C21" s="459"/>
      <c r="D21" s="821"/>
      <c r="E21" s="822"/>
      <c r="F21" s="2202" t="str">
        <f>BUDGET!AX21</f>
        <v/>
      </c>
      <c r="G21" s="822"/>
      <c r="H21" s="1160"/>
      <c r="I21" s="1660"/>
      <c r="J21" s="822"/>
      <c r="K21" s="1160"/>
      <c r="L21" s="1160"/>
      <c r="M21" s="1160"/>
      <c r="N21" s="1765"/>
      <c r="O21" s="1110"/>
    </row>
    <row r="22" spans="1:15" hidden="1" x14ac:dyDescent="0.35">
      <c r="A22" s="459" t="s">
        <v>298</v>
      </c>
      <c r="B22" s="459">
        <f>BUDGET!AY22</f>
        <v>0</v>
      </c>
      <c r="C22" s="459"/>
      <c r="D22" s="779" t="str">
        <f>BUDGET!A22</f>
        <v>SELECTMEN'S SPECIAL</v>
      </c>
      <c r="E22" s="825"/>
      <c r="F22" s="2197" t="str">
        <f>BUDGET!AX22</f>
        <v/>
      </c>
      <c r="G22" s="825"/>
      <c r="H22" s="1110"/>
      <c r="I22" s="1661"/>
      <c r="J22" s="825"/>
      <c r="K22" s="1110"/>
      <c r="L22" s="1110"/>
      <c r="M22" s="1110"/>
      <c r="N22" s="1766"/>
      <c r="O22" s="1110"/>
    </row>
    <row r="23" spans="1:15" hidden="1" x14ac:dyDescent="0.35">
      <c r="A23" t="s">
        <v>298</v>
      </c>
      <c r="B23" s="459">
        <f>BUDGET!AY23</f>
        <v>0</v>
      </c>
      <c r="C23" s="459"/>
      <c r="D23" s="779" t="str">
        <f>BUDGET!A23</f>
        <v xml:space="preserve">   SERVICES</v>
      </c>
      <c r="E23" s="788"/>
      <c r="F23" s="2198" t="str">
        <f>BUDGET!AX23</f>
        <v/>
      </c>
      <c r="G23" s="788"/>
      <c r="H23" s="841"/>
      <c r="I23" s="1656"/>
      <c r="J23" s="788"/>
      <c r="K23" s="841"/>
      <c r="L23" s="841"/>
      <c r="M23" s="841"/>
      <c r="N23" s="1761"/>
      <c r="O23" s="841"/>
    </row>
    <row r="24" spans="1:15" x14ac:dyDescent="0.35">
      <c r="A24" t="s">
        <v>298</v>
      </c>
      <c r="B24" s="459">
        <f>BUDGET!AY24</f>
        <v>1</v>
      </c>
      <c r="C24" s="459"/>
      <c r="D24" s="779" t="str">
        <f>BUDGET!A24</f>
        <v xml:space="preserve">   OTHER</v>
      </c>
      <c r="E24" s="810">
        <v>77300</v>
      </c>
      <c r="F24" s="2200">
        <f>IF(_xlfn.NUMBERVALUE(J24)=0,0,I24)+IF(_xlfn.NUMBERVALUE(L24)=0,0,K24)+IF(_xlfn.NUMBERVALUE(N24)=0,0,M24)</f>
        <v>5000</v>
      </c>
      <c r="G24" s="810"/>
      <c r="H24" s="1110"/>
      <c r="I24" s="1957">
        <v>5000</v>
      </c>
      <c r="J24" s="2522">
        <v>45376</v>
      </c>
      <c r="K24" s="2479"/>
      <c r="L24" s="2479"/>
      <c r="M24" s="2479"/>
      <c r="N24" s="1763"/>
      <c r="O24" s="725"/>
    </row>
    <row r="25" spans="1:15" ht="13.15" hidden="1" x14ac:dyDescent="0.4">
      <c r="A25" t="s">
        <v>298</v>
      </c>
      <c r="B25" s="459">
        <f>BUDGET!AY25</f>
        <v>0</v>
      </c>
      <c r="C25" s="459"/>
      <c r="D25" s="771" t="str">
        <f>BUDGET!A25</f>
        <v xml:space="preserve">   TOTAL </v>
      </c>
      <c r="E25" s="785">
        <v>77300</v>
      </c>
      <c r="F25" s="2201" t="str">
        <f>BUDGET!AX25</f>
        <v/>
      </c>
      <c r="G25" s="2439" t="s">
        <v>1232</v>
      </c>
      <c r="H25" s="2058">
        <v>45363</v>
      </c>
      <c r="I25" s="1659"/>
      <c r="J25" s="785"/>
      <c r="K25" s="820"/>
      <c r="L25" s="820"/>
      <c r="M25" s="820"/>
      <c r="N25" s="1764"/>
      <c r="O25" s="820"/>
    </row>
    <row r="26" spans="1:15" hidden="1" x14ac:dyDescent="0.35">
      <c r="B26" s="459">
        <f>BUDGET!AY26</f>
        <v>0</v>
      </c>
      <c r="C26" s="459"/>
      <c r="D26" s="821"/>
      <c r="E26" s="822"/>
      <c r="F26" s="2202" t="str">
        <f>BUDGET!AX26</f>
        <v/>
      </c>
      <c r="G26" s="822"/>
      <c r="H26" s="1160"/>
      <c r="I26" s="1660"/>
      <c r="J26" s="822"/>
      <c r="K26" s="1160"/>
      <c r="L26" s="1160"/>
      <c r="M26" s="1160"/>
      <c r="N26" s="1765"/>
      <c r="O26" s="1110"/>
    </row>
    <row r="27" spans="1:15" hidden="1" x14ac:dyDescent="0.35">
      <c r="A27" s="459" t="s">
        <v>549</v>
      </c>
      <c r="B27" s="459">
        <f>BUDGET!AY27</f>
        <v>0</v>
      </c>
      <c r="C27" s="459" t="str">
        <f>BUDGET!BC27</f>
        <v>x</v>
      </c>
      <c r="D27" s="779" t="str">
        <f>BUDGET!A27</f>
        <v>PARKING CLERK</v>
      </c>
      <c r="E27" s="1427"/>
      <c r="F27" s="2203" t="str">
        <f>BUDGET!AX27</f>
        <v/>
      </c>
      <c r="G27" s="1427"/>
      <c r="H27" s="1622"/>
      <c r="I27" s="1662"/>
      <c r="J27" s="1427"/>
      <c r="K27" s="1622"/>
      <c r="L27" s="1622"/>
      <c r="M27" s="1622"/>
      <c r="N27" s="1767"/>
      <c r="O27" s="1622"/>
    </row>
    <row r="28" spans="1:15" hidden="1" x14ac:dyDescent="0.35">
      <c r="A28" t="s">
        <v>549</v>
      </c>
      <c r="B28" s="459">
        <f>BUDGET!AY28</f>
        <v>0</v>
      </c>
      <c r="C28" s="459" t="str">
        <f>BUDGET!BC28</f>
        <v>x</v>
      </c>
      <c r="D28" s="779" t="str">
        <f>BUDGET!A28</f>
        <v xml:space="preserve">   OTHER</v>
      </c>
      <c r="E28" s="1030"/>
      <c r="F28" s="2204" t="str">
        <f>BUDGET!AX28</f>
        <v/>
      </c>
      <c r="G28" s="1030"/>
      <c r="H28" s="1420"/>
      <c r="I28" s="1663"/>
      <c r="J28" s="1030"/>
      <c r="K28" s="1420"/>
      <c r="L28" s="1420"/>
      <c r="M28" s="1420"/>
      <c r="N28" s="1768"/>
      <c r="O28" s="1420"/>
    </row>
    <row r="29" spans="1:15" hidden="1" x14ac:dyDescent="0.35">
      <c r="A29" t="s">
        <v>549</v>
      </c>
      <c r="B29" s="459">
        <f>BUDGET!AY29</f>
        <v>0</v>
      </c>
      <c r="C29" s="459" t="str">
        <f>BUDGET!BC29</f>
        <v>x</v>
      </c>
      <c r="D29" s="771" t="str">
        <f>BUDGET!A29</f>
        <v xml:space="preserve">   TOTAL</v>
      </c>
      <c r="E29" s="1452"/>
      <c r="F29" s="2205" t="str">
        <f>BUDGET!AX29</f>
        <v/>
      </c>
      <c r="G29" s="1452"/>
      <c r="H29" s="2047"/>
      <c r="I29" s="1664"/>
      <c r="J29" s="1452"/>
      <c r="K29" s="1623"/>
      <c r="L29" s="1623"/>
      <c r="M29" s="1623"/>
      <c r="N29" s="1769"/>
      <c r="O29" s="1623"/>
    </row>
    <row r="30" spans="1:15" hidden="1" x14ac:dyDescent="0.35">
      <c r="B30" s="459">
        <f>BUDGET!AY30</f>
        <v>0</v>
      </c>
      <c r="C30" s="459" t="str">
        <f>BUDGET!BC30</f>
        <v>x</v>
      </c>
      <c r="D30" s="821">
        <f>BUDGET!A30</f>
        <v>0</v>
      </c>
      <c r="E30" s="1034"/>
      <c r="F30" s="2206" t="str">
        <f>BUDGET!AX30</f>
        <v/>
      </c>
      <c r="G30" s="1034"/>
      <c r="H30" s="1624"/>
      <c r="I30" s="1665"/>
      <c r="J30" s="1034"/>
      <c r="K30" s="1624"/>
      <c r="L30" s="1624"/>
      <c r="M30" s="1624"/>
      <c r="N30" s="1770"/>
      <c r="O30" s="1622"/>
    </row>
    <row r="31" spans="1:15" hidden="1" x14ac:dyDescent="0.35">
      <c r="A31" s="459" t="s">
        <v>550</v>
      </c>
      <c r="B31" s="459">
        <f>BUDGET!AY31</f>
        <v>0</v>
      </c>
      <c r="C31" s="459"/>
      <c r="D31" s="779" t="str">
        <f>BUDGET!A31</f>
        <v>FINANCE COMMITTEE</v>
      </c>
      <c r="E31" s="825"/>
      <c r="F31" s="2197" t="str">
        <f>BUDGET!AX31</f>
        <v/>
      </c>
      <c r="G31" s="825"/>
      <c r="H31" s="1110"/>
      <c r="I31" s="1661"/>
      <c r="J31" s="825"/>
      <c r="K31" s="1110"/>
      <c r="L31" s="1110"/>
      <c r="M31" s="1110"/>
      <c r="N31" s="1766"/>
      <c r="O31" s="1110"/>
    </row>
    <row r="32" spans="1:15" hidden="1" x14ac:dyDescent="0.35">
      <c r="A32" t="s">
        <v>550</v>
      </c>
      <c r="B32" s="459">
        <f>BUDGET!AY32</f>
        <v>0</v>
      </c>
      <c r="C32" s="459"/>
      <c r="D32" s="779" t="str">
        <f>BUDGET!A32</f>
        <v xml:space="preserve">   WAGES</v>
      </c>
      <c r="E32" s="810">
        <v>1687</v>
      </c>
      <c r="F32" s="2200"/>
      <c r="G32" s="810"/>
      <c r="H32" s="1110"/>
      <c r="I32" s="1658"/>
      <c r="J32" s="810"/>
      <c r="K32" s="1410"/>
      <c r="L32" s="1410"/>
      <c r="M32" s="1410"/>
      <c r="N32" s="1763"/>
      <c r="O32" s="1410"/>
    </row>
    <row r="33" spans="1:15" hidden="1" x14ac:dyDescent="0.35">
      <c r="A33" t="s">
        <v>550</v>
      </c>
      <c r="B33" s="459">
        <f>BUDGET!AY33</f>
        <v>0</v>
      </c>
      <c r="C33" s="459"/>
      <c r="D33" s="779" t="str">
        <f>BUDGET!A33</f>
        <v xml:space="preserve">   OTHER</v>
      </c>
      <c r="E33" s="810">
        <v>350</v>
      </c>
      <c r="F33" s="2200" t="str">
        <f>BUDGET!AX33</f>
        <v/>
      </c>
      <c r="G33" s="810"/>
      <c r="H33" s="1110"/>
      <c r="I33" s="1658"/>
      <c r="J33" s="810"/>
      <c r="K33" s="1410"/>
      <c r="L33" s="1410"/>
      <c r="M33" s="1410"/>
      <c r="N33" s="1763"/>
      <c r="O33" s="1410"/>
    </row>
    <row r="34" spans="1:15" hidden="1" x14ac:dyDescent="0.35">
      <c r="A34" t="s">
        <v>550</v>
      </c>
      <c r="B34" s="459">
        <f>BUDGET!AY34</f>
        <v>0</v>
      </c>
      <c r="C34" s="459"/>
      <c r="D34" s="779" t="str">
        <f>BUDGET!A34</f>
        <v>RESERVE</v>
      </c>
      <c r="E34" s="810">
        <v>100000</v>
      </c>
      <c r="F34" s="2200" t="str">
        <f>BUDGET!AX34</f>
        <v/>
      </c>
      <c r="G34" s="810"/>
      <c r="H34" s="1110"/>
      <c r="I34" s="1658"/>
      <c r="J34" s="810"/>
      <c r="K34" s="1410"/>
      <c r="L34" s="1410"/>
      <c r="M34" s="1410"/>
      <c r="N34" s="1763"/>
      <c r="O34" s="1410"/>
    </row>
    <row r="35" spans="1:15" ht="13.15" hidden="1" x14ac:dyDescent="0.4">
      <c r="A35" t="s">
        <v>550</v>
      </c>
      <c r="B35" s="459">
        <f>BUDGET!AY35</f>
        <v>0</v>
      </c>
      <c r="C35" s="459"/>
      <c r="D35" s="842" t="str">
        <f>BUDGET!A35</f>
        <v xml:space="preserve">   TOTAL</v>
      </c>
      <c r="E35" s="785">
        <v>102037</v>
      </c>
      <c r="F35" s="2201"/>
      <c r="G35" s="2439" t="s">
        <v>1232</v>
      </c>
      <c r="H35" s="2058">
        <v>45363</v>
      </c>
      <c r="I35" s="1659"/>
      <c r="J35" s="785"/>
      <c r="K35" s="820"/>
      <c r="L35" s="820"/>
      <c r="M35" s="820"/>
      <c r="N35" s="1764"/>
      <c r="O35" s="820"/>
    </row>
    <row r="36" spans="1:15" hidden="1" x14ac:dyDescent="0.35">
      <c r="B36" s="459">
        <f>BUDGET!AY36</f>
        <v>0</v>
      </c>
      <c r="C36" s="459"/>
      <c r="D36" s="821"/>
      <c r="E36" s="822"/>
      <c r="F36" s="2202" t="str">
        <f>BUDGET!AX36</f>
        <v/>
      </c>
      <c r="G36" s="822"/>
      <c r="H36" s="1160"/>
      <c r="I36" s="1660"/>
      <c r="J36" s="822"/>
      <c r="K36" s="1160"/>
      <c r="L36" s="1160"/>
      <c r="M36" s="1160"/>
      <c r="N36" s="1765"/>
      <c r="O36" s="1110"/>
    </row>
    <row r="37" spans="1:15" hidden="1" x14ac:dyDescent="0.35">
      <c r="A37" s="459" t="s">
        <v>683</v>
      </c>
      <c r="B37" s="459">
        <f>BUDGET!AY37</f>
        <v>0</v>
      </c>
      <c r="C37" s="459"/>
      <c r="D37" s="779" t="str">
        <f>BUDGET!A37</f>
        <v>TOWN WEBSITE/CABLE ADVISORY</v>
      </c>
      <c r="E37" s="825"/>
      <c r="F37" s="2197" t="str">
        <f>BUDGET!AX37</f>
        <v/>
      </c>
      <c r="G37" s="825"/>
      <c r="H37" s="1110"/>
      <c r="I37" s="1661"/>
      <c r="J37" s="825"/>
      <c r="K37" s="1110"/>
      <c r="L37" s="1110"/>
      <c r="M37" s="1110"/>
      <c r="N37" s="1766"/>
      <c r="O37" s="1110"/>
    </row>
    <row r="38" spans="1:15" hidden="1" x14ac:dyDescent="0.35">
      <c r="A38" t="s">
        <v>683</v>
      </c>
      <c r="B38" s="459">
        <f>BUDGET!AY38</f>
        <v>0</v>
      </c>
      <c r="C38" s="459"/>
      <c r="D38" s="779" t="str">
        <f>BUDGET!A38</f>
        <v xml:space="preserve">   WAGES</v>
      </c>
      <c r="E38" s="810">
        <v>5251</v>
      </c>
      <c r="F38" s="2200"/>
      <c r="G38" s="810"/>
      <c r="H38" s="1110"/>
      <c r="I38" s="1658"/>
      <c r="J38" s="810"/>
      <c r="K38" s="1410"/>
      <c r="L38" s="1410"/>
      <c r="M38" s="1410"/>
      <c r="N38" s="1763"/>
      <c r="O38" s="1410"/>
    </row>
    <row r="39" spans="1:15" ht="13.15" x14ac:dyDescent="0.4">
      <c r="A39" t="s">
        <v>683</v>
      </c>
      <c r="B39" s="459">
        <f>BUDGET!AY39</f>
        <v>1</v>
      </c>
      <c r="C39" s="459"/>
      <c r="D39" s="779" t="str">
        <f>BUDGET!A39</f>
        <v xml:space="preserve">   OTHER</v>
      </c>
      <c r="E39" s="788">
        <v>50225</v>
      </c>
      <c r="F39" s="2200">
        <f>IF(_xlfn.NUMBERVALUE(J39)=0,0,I39)+IF(_xlfn.NUMBERVALUE(L39)=0,0,K39)+IF(_xlfn.NUMBERVALUE(N39)=0,0,M39)</f>
        <v>1773</v>
      </c>
      <c r="G39" s="2446" t="s">
        <v>1232</v>
      </c>
      <c r="H39" s="2196">
        <v>45363</v>
      </c>
      <c r="I39" s="1958">
        <v>1600</v>
      </c>
      <c r="J39" s="2477">
        <v>45363</v>
      </c>
      <c r="K39" s="2480">
        <v>173</v>
      </c>
      <c r="L39" s="2477">
        <v>45363</v>
      </c>
      <c r="M39" s="2480"/>
      <c r="N39" s="2243"/>
      <c r="O39" s="725"/>
    </row>
    <row r="40" spans="1:15" ht="13.15" hidden="1" x14ac:dyDescent="0.4">
      <c r="A40" t="s">
        <v>683</v>
      </c>
      <c r="B40" s="459">
        <f>BUDGET!AY40</f>
        <v>0</v>
      </c>
      <c r="C40" s="459"/>
      <c r="D40" s="842" t="str">
        <f>BUDGET!A40</f>
        <v xml:space="preserve">   TOTAL</v>
      </c>
      <c r="E40" s="785">
        <v>55476</v>
      </c>
      <c r="F40" s="2201"/>
      <c r="G40" s="2439" t="s">
        <v>1232</v>
      </c>
      <c r="H40" s="2058">
        <v>45363</v>
      </c>
      <c r="I40" s="1659"/>
      <c r="J40" s="785"/>
      <c r="K40" s="820"/>
      <c r="L40" s="820"/>
      <c r="M40" s="820"/>
      <c r="N40" s="1764"/>
      <c r="O40" s="820"/>
    </row>
    <row r="41" spans="1:15" hidden="1" x14ac:dyDescent="0.35">
      <c r="B41" s="459">
        <f>BUDGET!AY41</f>
        <v>0</v>
      </c>
      <c r="C41" s="459"/>
      <c r="D41" s="821"/>
      <c r="E41" s="822"/>
      <c r="F41" s="2202" t="str">
        <f>BUDGET!AX41</f>
        <v/>
      </c>
      <c r="G41" s="822"/>
      <c r="H41" s="1160"/>
      <c r="I41" s="1660"/>
      <c r="J41" s="822"/>
      <c r="K41" s="1160"/>
      <c r="L41" s="1160"/>
      <c r="M41" s="1160"/>
      <c r="N41" s="1765"/>
      <c r="O41" s="1110"/>
    </row>
    <row r="42" spans="1:15" hidden="1" x14ac:dyDescent="0.35">
      <c r="A42" s="459" t="s">
        <v>684</v>
      </c>
      <c r="B42" s="459">
        <f>BUDGET!AY42</f>
        <v>0</v>
      </c>
      <c r="C42" s="459" t="str">
        <f>BUDGET!BC42</f>
        <v>x</v>
      </c>
      <c r="D42" s="779" t="str">
        <f>BUDGET!A42</f>
        <v xml:space="preserve">CABLE ADVISORY </v>
      </c>
      <c r="E42" s="825"/>
      <c r="F42" s="2197" t="str">
        <f>BUDGET!AX42</f>
        <v/>
      </c>
      <c r="G42" s="825"/>
      <c r="H42" s="1110"/>
      <c r="I42" s="1661"/>
      <c r="J42" s="825"/>
      <c r="K42" s="1110"/>
      <c r="L42" s="1110"/>
      <c r="M42" s="1110"/>
      <c r="N42" s="1766"/>
      <c r="O42" s="1110"/>
    </row>
    <row r="43" spans="1:15" hidden="1" x14ac:dyDescent="0.35">
      <c r="A43" t="s">
        <v>684</v>
      </c>
      <c r="B43" s="459">
        <f>BUDGET!AY43</f>
        <v>0</v>
      </c>
      <c r="C43" s="459" t="str">
        <f>BUDGET!BC43</f>
        <v>x</v>
      </c>
      <c r="D43" s="779" t="str">
        <f>BUDGET!A43</f>
        <v xml:space="preserve">    WAGES</v>
      </c>
      <c r="E43" s="788"/>
      <c r="F43" s="2198" t="str">
        <f>BUDGET!AX43</f>
        <v/>
      </c>
      <c r="G43" s="788"/>
      <c r="H43" s="841"/>
      <c r="I43" s="1656"/>
      <c r="J43" s="788"/>
      <c r="K43" s="841"/>
      <c r="L43" s="841"/>
      <c r="M43" s="841"/>
      <c r="N43" s="1761"/>
      <c r="O43" s="841"/>
    </row>
    <row r="44" spans="1:15" hidden="1" x14ac:dyDescent="0.35">
      <c r="A44" t="s">
        <v>684</v>
      </c>
      <c r="B44" s="459">
        <f>BUDGET!AY44</f>
        <v>0</v>
      </c>
      <c r="C44" s="459" t="str">
        <f>BUDGET!BC44</f>
        <v>x</v>
      </c>
      <c r="D44" s="779" t="str">
        <f>BUDGET!A44</f>
        <v xml:space="preserve">    OTHER</v>
      </c>
      <c r="E44" s="788"/>
      <c r="F44" s="2198" t="str">
        <f>BUDGET!AX44</f>
        <v/>
      </c>
      <c r="G44" s="788"/>
      <c r="H44" s="841"/>
      <c r="I44" s="1656"/>
      <c r="J44" s="788"/>
      <c r="K44" s="841"/>
      <c r="L44" s="841"/>
      <c r="M44" s="841"/>
      <c r="N44" s="1761"/>
      <c r="O44" s="841"/>
    </row>
    <row r="45" spans="1:15" hidden="1" x14ac:dyDescent="0.35">
      <c r="A45" t="s">
        <v>684</v>
      </c>
      <c r="B45" s="459">
        <f>BUDGET!AY45</f>
        <v>0</v>
      </c>
      <c r="C45" s="459" t="str">
        <f>BUDGET!BC45</f>
        <v>x</v>
      </c>
      <c r="D45" s="849" t="str">
        <f>BUDGET!A45</f>
        <v xml:space="preserve">    TOTAL</v>
      </c>
      <c r="E45" s="785"/>
      <c r="F45" s="2201" t="str">
        <f>BUDGET!AX45</f>
        <v/>
      </c>
      <c r="G45" s="785"/>
      <c r="H45" s="820"/>
      <c r="I45" s="1659"/>
      <c r="J45" s="785"/>
      <c r="K45" s="820"/>
      <c r="L45" s="820"/>
      <c r="M45" s="820"/>
      <c r="N45" s="1764"/>
      <c r="O45" s="820"/>
    </row>
    <row r="46" spans="1:15" hidden="1" x14ac:dyDescent="0.35">
      <c r="B46" s="459">
        <f>BUDGET!AY46</f>
        <v>0</v>
      </c>
      <c r="C46" s="459" t="str">
        <f>BUDGET!BC46</f>
        <v>x</v>
      </c>
      <c r="D46" s="821">
        <f>BUDGET!A46</f>
        <v>0</v>
      </c>
      <c r="E46" s="822"/>
      <c r="F46" s="2202" t="str">
        <f>BUDGET!AX46</f>
        <v/>
      </c>
      <c r="G46" s="822"/>
      <c r="H46" s="1160"/>
      <c r="I46" s="1660"/>
      <c r="J46" s="822"/>
      <c r="K46" s="1160"/>
      <c r="L46" s="1160"/>
      <c r="M46" s="1160"/>
      <c r="N46" s="1765"/>
      <c r="O46" s="1110"/>
    </row>
    <row r="47" spans="1:15" hidden="1" x14ac:dyDescent="0.35">
      <c r="A47" s="459" t="s">
        <v>559</v>
      </c>
      <c r="B47" s="459">
        <f>BUDGET!AY47</f>
        <v>0</v>
      </c>
      <c r="C47" s="459"/>
      <c r="D47" s="779" t="str">
        <f>BUDGET!A47</f>
        <v>ACCOUNTANT</v>
      </c>
      <c r="E47" s="825"/>
      <c r="F47" s="2197" t="str">
        <f>BUDGET!AX47</f>
        <v/>
      </c>
      <c r="G47" s="825"/>
      <c r="H47" s="1110"/>
      <c r="I47" s="1661"/>
      <c r="J47" s="825"/>
      <c r="K47" s="1110"/>
      <c r="L47" s="1110"/>
      <c r="M47" s="1110"/>
      <c r="N47" s="1766"/>
      <c r="O47" s="1110"/>
    </row>
    <row r="48" spans="1:15" hidden="1" x14ac:dyDescent="0.35">
      <c r="A48" t="s">
        <v>559</v>
      </c>
      <c r="B48" s="459">
        <f>BUDGET!AY48</f>
        <v>0</v>
      </c>
      <c r="C48" s="459"/>
      <c r="D48" s="779" t="str">
        <f>BUDGET!A48</f>
        <v xml:space="preserve">   SALARIES</v>
      </c>
      <c r="E48" s="810">
        <v>118308</v>
      </c>
      <c r="F48" s="2200"/>
      <c r="G48" s="810"/>
      <c r="H48" s="1110"/>
      <c r="I48" s="1658"/>
      <c r="J48" s="810"/>
      <c r="K48" s="1410"/>
      <c r="L48" s="1410"/>
      <c r="M48" s="1410"/>
      <c r="N48" s="1763"/>
      <c r="O48" s="1410"/>
    </row>
    <row r="49" spans="1:17" hidden="1" x14ac:dyDescent="0.35">
      <c r="A49" t="s">
        <v>559</v>
      </c>
      <c r="B49" s="459">
        <f>BUDGET!AY49</f>
        <v>0</v>
      </c>
      <c r="C49" s="459"/>
      <c r="D49" s="779" t="str">
        <f>BUDGET!A49</f>
        <v xml:space="preserve">   WAGES</v>
      </c>
      <c r="E49" s="810">
        <v>66972</v>
      </c>
      <c r="F49" s="2200"/>
      <c r="G49" s="810"/>
      <c r="H49" s="1110"/>
      <c r="I49" s="1658"/>
      <c r="J49" s="810"/>
      <c r="K49" s="1410"/>
      <c r="L49" s="1410"/>
      <c r="M49" s="1410"/>
      <c r="N49" s="1763"/>
      <c r="O49" s="1410"/>
    </row>
    <row r="50" spans="1:17" ht="13.15" x14ac:dyDescent="0.4">
      <c r="A50" t="s">
        <v>559</v>
      </c>
      <c r="B50" s="459">
        <f>BUDGET!AY50</f>
        <v>1</v>
      </c>
      <c r="C50" s="459"/>
      <c r="D50" s="779" t="str">
        <f>BUDGET!A50</f>
        <v xml:space="preserve">   OTHER</v>
      </c>
      <c r="E50" s="810">
        <v>37026</v>
      </c>
      <c r="F50" s="2200">
        <f>IF(_xlfn.NUMBERVALUE(J50)=0,0,I50)+IF(_xlfn.NUMBERVALUE(L50)=0,0,K50)+IF(_xlfn.NUMBERVALUE(N50)=0,0,M50)</f>
        <v>1000</v>
      </c>
      <c r="G50" s="2446" t="s">
        <v>1232</v>
      </c>
      <c r="H50" s="2196">
        <v>45363</v>
      </c>
      <c r="I50" s="1957">
        <v>1000</v>
      </c>
      <c r="J50" s="2477">
        <v>45363</v>
      </c>
      <c r="K50" s="2479"/>
      <c r="L50" s="2479"/>
      <c r="M50" s="2479"/>
      <c r="N50" s="1763"/>
      <c r="O50" s="725"/>
    </row>
    <row r="51" spans="1:17" ht="13.15" hidden="1" x14ac:dyDescent="0.4">
      <c r="A51" t="s">
        <v>559</v>
      </c>
      <c r="B51" s="459">
        <f>BUDGET!AY51</f>
        <v>0</v>
      </c>
      <c r="C51" s="459"/>
      <c r="D51" s="842" t="str">
        <f>BUDGET!A51</f>
        <v xml:space="preserve">   TOTAL </v>
      </c>
      <c r="E51" s="785">
        <v>222306</v>
      </c>
      <c r="F51" s="2200"/>
      <c r="G51" s="2439" t="s">
        <v>1232</v>
      </c>
      <c r="H51" s="2058">
        <v>45363</v>
      </c>
      <c r="I51" s="1659"/>
      <c r="J51" s="785"/>
      <c r="K51" s="820"/>
      <c r="L51" s="820"/>
      <c r="M51" s="820"/>
      <c r="N51" s="1764"/>
      <c r="O51" s="820"/>
      <c r="Q51" s="459">
        <f>E51-211998</f>
        <v>10308</v>
      </c>
    </row>
    <row r="52" spans="1:17" hidden="1" x14ac:dyDescent="0.35">
      <c r="B52" s="459">
        <f>BUDGET!AY52</f>
        <v>0</v>
      </c>
      <c r="C52" s="459"/>
      <c r="D52" s="821"/>
      <c r="E52" s="822"/>
      <c r="F52" s="2202" t="str">
        <f>BUDGET!AX52</f>
        <v/>
      </c>
      <c r="G52" s="822"/>
      <c r="H52" s="1160"/>
      <c r="I52" s="1660"/>
      <c r="J52" s="822"/>
      <c r="K52" s="1160"/>
      <c r="L52" s="1160"/>
      <c r="M52" s="1160"/>
      <c r="N52" s="1765"/>
      <c r="O52" s="1110"/>
    </row>
    <row r="53" spans="1:17" hidden="1" x14ac:dyDescent="0.35">
      <c r="A53" s="459" t="s">
        <v>690</v>
      </c>
      <c r="B53" s="459">
        <f>BUDGET!AY53</f>
        <v>0</v>
      </c>
      <c r="C53" s="459"/>
      <c r="D53" s="779" t="str">
        <f>BUDGET!A53</f>
        <v>ASSESSORS</v>
      </c>
      <c r="E53" s="825"/>
      <c r="F53" s="2197" t="str">
        <f>BUDGET!AX53</f>
        <v/>
      </c>
      <c r="G53" s="825"/>
      <c r="H53" s="1110"/>
      <c r="I53" s="1661"/>
      <c r="J53" s="825"/>
      <c r="K53" s="1110"/>
      <c r="L53" s="1110"/>
      <c r="M53" s="1110"/>
      <c r="N53" s="1766"/>
      <c r="O53" s="1110"/>
    </row>
    <row r="54" spans="1:17" hidden="1" x14ac:dyDescent="0.35">
      <c r="A54" t="s">
        <v>690</v>
      </c>
      <c r="B54" s="459">
        <f>BUDGET!AY54</f>
        <v>0</v>
      </c>
      <c r="C54" s="459"/>
      <c r="D54" s="779" t="str">
        <f>BUDGET!A54</f>
        <v xml:space="preserve">   SALARIES </v>
      </c>
      <c r="E54" s="810">
        <v>105220</v>
      </c>
      <c r="F54" s="2200"/>
      <c r="G54" s="810"/>
      <c r="H54" s="1110"/>
      <c r="I54" s="1658"/>
      <c r="J54" s="810"/>
      <c r="K54" s="1410"/>
      <c r="L54" s="1410"/>
      <c r="M54" s="1410"/>
      <c r="N54" s="1763"/>
      <c r="O54" s="1410"/>
    </row>
    <row r="55" spans="1:17" hidden="1" x14ac:dyDescent="0.35">
      <c r="A55" t="s">
        <v>690</v>
      </c>
      <c r="B55" s="459">
        <f>BUDGET!AY55</f>
        <v>0</v>
      </c>
      <c r="C55" s="459"/>
      <c r="D55" s="779" t="str">
        <f>BUDGET!A55</f>
        <v xml:space="preserve">   WAGES </v>
      </c>
      <c r="E55" s="810">
        <v>53425</v>
      </c>
      <c r="F55" s="2200"/>
      <c r="G55" s="810"/>
      <c r="H55" s="1110"/>
      <c r="I55" s="1658"/>
      <c r="J55" s="810"/>
      <c r="K55" s="1410"/>
      <c r="L55" s="1410"/>
      <c r="M55" s="1410"/>
      <c r="N55" s="1763"/>
      <c r="O55" s="1410"/>
    </row>
    <row r="56" spans="1:17" x14ac:dyDescent="0.35">
      <c r="A56" t="s">
        <v>690</v>
      </c>
      <c r="B56" s="459">
        <f>BUDGET!AY56</f>
        <v>1</v>
      </c>
      <c r="C56" s="459"/>
      <c r="D56" s="779" t="str">
        <f>BUDGET!A56</f>
        <v xml:space="preserve">   OTHER</v>
      </c>
      <c r="E56" s="810">
        <v>57645</v>
      </c>
      <c r="F56" s="2200">
        <f>IF(_xlfn.NUMBERVALUE(J56)=0,0,I56)+IF(_xlfn.NUMBERVALUE(L56)=0,0,K56)+IF(_xlfn.NUMBERVALUE(N56)=0,0,M56)</f>
        <v>5100</v>
      </c>
      <c r="G56" s="810"/>
      <c r="H56" s="2443"/>
      <c r="I56" s="1958">
        <v>5100</v>
      </c>
      <c r="J56" s="2510">
        <v>45376</v>
      </c>
      <c r="K56" s="2480"/>
      <c r="L56" s="2480"/>
      <c r="M56" s="2480"/>
      <c r="N56" s="2243"/>
      <c r="O56" s="725"/>
    </row>
    <row r="57" spans="1:17" ht="13.15" hidden="1" x14ac:dyDescent="0.4">
      <c r="A57" t="s">
        <v>690</v>
      </c>
      <c r="B57" s="459">
        <f>BUDGET!AY57</f>
        <v>0</v>
      </c>
      <c r="C57" s="459"/>
      <c r="D57" s="856" t="str">
        <f>BUDGET!A57</f>
        <v xml:space="preserve">   TOTAL</v>
      </c>
      <c r="E57" s="785">
        <v>216290</v>
      </c>
      <c r="F57" s="2200"/>
      <c r="G57" s="2439" t="s">
        <v>1232</v>
      </c>
      <c r="H57" s="2058">
        <v>45363</v>
      </c>
      <c r="I57" s="1659"/>
      <c r="J57" s="785"/>
      <c r="K57" s="820"/>
      <c r="L57" s="820"/>
      <c r="M57" s="820"/>
      <c r="N57" s="1764"/>
      <c r="O57" s="820"/>
    </row>
    <row r="58" spans="1:17" hidden="1" x14ac:dyDescent="0.35">
      <c r="B58" s="459">
        <f>BUDGET!AY58</f>
        <v>0</v>
      </c>
      <c r="C58" s="459"/>
      <c r="D58" s="790"/>
      <c r="E58" s="800"/>
      <c r="F58" s="2199" t="str">
        <f>BUDGET!AX58</f>
        <v/>
      </c>
      <c r="G58" s="800"/>
      <c r="H58" s="1621"/>
      <c r="I58" s="1657"/>
      <c r="J58" s="800"/>
      <c r="K58" s="1621"/>
      <c r="L58" s="1621"/>
      <c r="M58" s="1621"/>
      <c r="N58" s="1762"/>
      <c r="O58" s="1127"/>
    </row>
    <row r="59" spans="1:17" hidden="1" x14ac:dyDescent="0.35">
      <c r="A59" s="459" t="s">
        <v>719</v>
      </c>
      <c r="B59" s="459">
        <f>BUDGET!AY59</f>
        <v>0</v>
      </c>
      <c r="C59" s="459"/>
      <c r="D59" s="779" t="str">
        <f>BUDGET!A59</f>
        <v>TREASURER/COLLECTOR</v>
      </c>
      <c r="E59" s="827"/>
      <c r="F59" s="2207" t="str">
        <f>BUDGET!AX59</f>
        <v/>
      </c>
      <c r="G59" s="827"/>
      <c r="H59" s="1127"/>
      <c r="I59" s="1666"/>
      <c r="J59" s="827"/>
      <c r="K59" s="1127"/>
      <c r="L59" s="1127"/>
      <c r="M59" s="1127"/>
      <c r="N59" s="1771"/>
      <c r="O59" s="1127"/>
    </row>
    <row r="60" spans="1:17" hidden="1" x14ac:dyDescent="0.35">
      <c r="A60" t="s">
        <v>719</v>
      </c>
      <c r="B60" s="459">
        <f>BUDGET!AY60</f>
        <v>0</v>
      </c>
      <c r="C60" s="459"/>
      <c r="D60" s="779" t="str">
        <f>BUDGET!A60</f>
        <v xml:space="preserve">   SALARIES</v>
      </c>
      <c r="E60" s="810">
        <v>105566</v>
      </c>
      <c r="F60" s="2200"/>
      <c r="G60" s="810"/>
      <c r="H60" s="1110"/>
      <c r="I60" s="1658"/>
      <c r="J60" s="810"/>
      <c r="K60" s="1410"/>
      <c r="L60" s="1410"/>
      <c r="M60" s="1410"/>
      <c r="N60" s="1763"/>
      <c r="O60" s="1410"/>
    </row>
    <row r="61" spans="1:17" hidden="1" x14ac:dyDescent="0.35">
      <c r="A61" t="s">
        <v>719</v>
      </c>
      <c r="B61" s="459">
        <f>BUDGET!AY61</f>
        <v>0</v>
      </c>
      <c r="C61" s="459"/>
      <c r="D61" s="779" t="str">
        <f>BUDGET!A61</f>
        <v xml:space="preserve">   WAGES</v>
      </c>
      <c r="E61" s="810">
        <v>112933</v>
      </c>
      <c r="F61" s="2200"/>
      <c r="G61" s="810"/>
      <c r="H61" s="1110"/>
      <c r="I61" s="1658"/>
      <c r="J61" s="810"/>
      <c r="K61" s="1410"/>
      <c r="L61" s="1410"/>
      <c r="M61" s="1410"/>
      <c r="N61" s="1763"/>
      <c r="O61" s="1410"/>
    </row>
    <row r="62" spans="1:17" hidden="1" x14ac:dyDescent="0.35">
      <c r="A62" t="s">
        <v>719</v>
      </c>
      <c r="B62" s="459">
        <f>BUDGET!AY62</f>
        <v>0</v>
      </c>
      <c r="C62" s="459"/>
      <c r="D62" s="779" t="str">
        <f>BUDGET!A62</f>
        <v xml:space="preserve">   OTHER</v>
      </c>
      <c r="E62" s="810">
        <v>45627</v>
      </c>
      <c r="F62" s="2200" t="str">
        <f>BUDGET!AX62</f>
        <v/>
      </c>
      <c r="G62" s="810"/>
      <c r="H62" s="1110"/>
      <c r="I62" s="1658"/>
      <c r="J62" s="810"/>
      <c r="K62" s="1410"/>
      <c r="L62" s="1410"/>
      <c r="M62" s="1410"/>
      <c r="N62" s="1763"/>
      <c r="O62" s="1410"/>
    </row>
    <row r="63" spans="1:17" hidden="1" x14ac:dyDescent="0.35">
      <c r="A63" t="s">
        <v>719</v>
      </c>
      <c r="B63" s="459">
        <f>BUDGET!AY63</f>
        <v>0</v>
      </c>
      <c r="C63" s="459"/>
      <c r="D63" s="771" t="str">
        <f>BUDGET!A63</f>
        <v xml:space="preserve">  GASB-45</v>
      </c>
      <c r="E63" s="810"/>
      <c r="F63" s="2200"/>
      <c r="G63" s="810"/>
      <c r="H63" s="2444"/>
      <c r="I63" s="1658"/>
      <c r="J63" s="810"/>
      <c r="K63" s="1410"/>
      <c r="L63" s="1410"/>
      <c r="M63" s="1410"/>
      <c r="N63" s="1763"/>
      <c r="O63" s="1410"/>
    </row>
    <row r="64" spans="1:17" ht="13.15" hidden="1" x14ac:dyDescent="0.4">
      <c r="A64" t="s">
        <v>719</v>
      </c>
      <c r="B64" s="459">
        <f>BUDGET!AY64</f>
        <v>0</v>
      </c>
      <c r="C64" s="459"/>
      <c r="D64" s="842" t="str">
        <f>BUDGET!A64</f>
        <v xml:space="preserve"> TOTAL-GASB-45</v>
      </c>
      <c r="E64" s="785">
        <v>272626</v>
      </c>
      <c r="F64" s="2200"/>
      <c r="G64" s="785"/>
      <c r="H64" s="2196">
        <v>45363</v>
      </c>
      <c r="I64" s="1659"/>
      <c r="J64" s="785"/>
      <c r="K64" s="820"/>
      <c r="L64" s="820"/>
      <c r="M64" s="820"/>
      <c r="N64" s="1764"/>
      <c r="O64" s="820"/>
    </row>
    <row r="65" spans="1:15" hidden="1" x14ac:dyDescent="0.35">
      <c r="B65" s="459">
        <f>BUDGET!AY65</f>
        <v>0</v>
      </c>
      <c r="C65" s="459"/>
      <c r="D65" s="866">
        <f>BUDGET!A65</f>
        <v>0</v>
      </c>
      <c r="E65" s="822"/>
      <c r="F65" s="2202" t="str">
        <f>BUDGET!AX65</f>
        <v/>
      </c>
      <c r="G65" s="822"/>
      <c r="H65" s="1160"/>
      <c r="I65" s="1660"/>
      <c r="J65" s="822"/>
      <c r="K65" s="1160"/>
      <c r="L65" s="1160"/>
      <c r="M65" s="1160"/>
      <c r="N65" s="1765"/>
      <c r="O65" s="1110"/>
    </row>
    <row r="66" spans="1:15" hidden="1" x14ac:dyDescent="0.35">
      <c r="A66" s="459" t="s">
        <v>759</v>
      </c>
      <c r="B66" s="459">
        <f>BUDGET!AY66</f>
        <v>0</v>
      </c>
      <c r="C66" s="459"/>
      <c r="D66" s="779" t="str">
        <f>BUDGET!A66</f>
        <v>TOWN HALL</v>
      </c>
      <c r="E66" s="825"/>
      <c r="F66" s="2197" t="str">
        <f>BUDGET!AX66</f>
        <v/>
      </c>
      <c r="G66" s="825"/>
      <c r="H66" s="1110"/>
      <c r="I66" s="1661"/>
      <c r="J66" s="825"/>
      <c r="K66" s="1110"/>
      <c r="L66" s="1110"/>
      <c r="M66" s="1110"/>
      <c r="N66" s="1766"/>
      <c r="O66" s="1110"/>
    </row>
    <row r="67" spans="1:15" hidden="1" x14ac:dyDescent="0.35">
      <c r="A67" t="s">
        <v>759</v>
      </c>
      <c r="B67" s="459">
        <f>BUDGET!AY67</f>
        <v>0</v>
      </c>
      <c r="C67" s="459"/>
      <c r="D67" s="779" t="str">
        <f>BUDGET!A67</f>
        <v xml:space="preserve">   WAGES</v>
      </c>
      <c r="E67" s="788">
        <v>24012</v>
      </c>
      <c r="F67" s="2198" t="str">
        <f>BUDGET!AX67</f>
        <v/>
      </c>
      <c r="G67" s="788"/>
      <c r="H67" s="841"/>
      <c r="I67" s="1959"/>
      <c r="J67" s="788"/>
      <c r="K67" s="841"/>
      <c r="L67" s="841"/>
      <c r="M67" s="841"/>
      <c r="N67" s="1761"/>
      <c r="O67" s="841"/>
    </row>
    <row r="68" spans="1:15" ht="13.15" x14ac:dyDescent="0.4">
      <c r="A68" t="s">
        <v>759</v>
      </c>
      <c r="B68" s="459">
        <f>BUDGET!AY68</f>
        <v>1</v>
      </c>
      <c r="C68" s="459"/>
      <c r="D68" s="779" t="str">
        <f>BUDGET!A68</f>
        <v xml:space="preserve">   OTHER</v>
      </c>
      <c r="E68" s="810">
        <v>245274</v>
      </c>
      <c r="F68" s="2200">
        <f>IF(_xlfn.NUMBERVALUE(J68)=0,0,I68)+IF(_xlfn.NUMBERVALUE(L68)=0,0,K68)+IF(_xlfn.NUMBERVALUE(N68)=0,0,M68)</f>
        <v>12289</v>
      </c>
      <c r="G68" s="2447" t="s">
        <v>1232</v>
      </c>
      <c r="H68" s="2196">
        <v>45363</v>
      </c>
      <c r="I68" s="1958">
        <v>1628</v>
      </c>
      <c r="J68" s="2478">
        <v>45363</v>
      </c>
      <c r="K68" s="2480">
        <v>3661</v>
      </c>
      <c r="L68" s="2481">
        <v>45363</v>
      </c>
      <c r="M68" s="2480">
        <v>7000</v>
      </c>
      <c r="N68" s="2511">
        <v>45376</v>
      </c>
      <c r="O68" s="725"/>
    </row>
    <row r="69" spans="1:15" ht="13.15" hidden="1" x14ac:dyDescent="0.4">
      <c r="A69" t="s">
        <v>759</v>
      </c>
      <c r="B69" s="459">
        <f>BUDGET!AY69</f>
        <v>0</v>
      </c>
      <c r="C69" s="459"/>
      <c r="D69" s="842" t="str">
        <f>BUDGET!A69</f>
        <v xml:space="preserve">   TOTAL </v>
      </c>
      <c r="E69" s="819">
        <v>269286</v>
      </c>
      <c r="F69" s="2198"/>
      <c r="G69" s="2439" t="s">
        <v>1232</v>
      </c>
      <c r="H69" s="2058">
        <v>45363</v>
      </c>
      <c r="I69" s="1958"/>
      <c r="J69" s="819"/>
      <c r="K69" s="1057"/>
      <c r="L69" s="1057"/>
      <c r="M69" s="1057"/>
      <c r="N69" s="1772"/>
      <c r="O69" s="820"/>
    </row>
    <row r="70" spans="1:15" hidden="1" x14ac:dyDescent="0.35">
      <c r="B70" s="459">
        <f>BUDGET!AY70</f>
        <v>0</v>
      </c>
      <c r="C70" s="459"/>
      <c r="D70" s="790"/>
      <c r="E70" s="800"/>
      <c r="F70" s="2199" t="str">
        <f>BUDGET!AX70</f>
        <v/>
      </c>
      <c r="G70" s="800"/>
      <c r="H70" s="1621"/>
      <c r="I70" s="1657"/>
      <c r="J70" s="800"/>
      <c r="K70" s="1621"/>
      <c r="L70" s="1621"/>
      <c r="M70" s="1621"/>
      <c r="N70" s="1762"/>
      <c r="O70" s="1127"/>
    </row>
    <row r="71" spans="1:15" hidden="1" x14ac:dyDescent="0.35">
      <c r="A71" s="459" t="s">
        <v>624</v>
      </c>
      <c r="B71" s="459">
        <f>BUDGET!AY71</f>
        <v>0</v>
      </c>
      <c r="C71" s="459"/>
      <c r="D71" s="779" t="str">
        <f>BUDGET!A71</f>
        <v>SCHOOL STREET BUILDING</v>
      </c>
      <c r="E71" s="827"/>
      <c r="F71" s="2207" t="str">
        <f>BUDGET!AX71</f>
        <v/>
      </c>
      <c r="G71" s="827"/>
      <c r="H71" s="1127"/>
      <c r="I71" s="1666"/>
      <c r="J71" s="827"/>
      <c r="K71" s="1127"/>
      <c r="L71" s="1127"/>
      <c r="M71" s="1127"/>
      <c r="N71" s="1771"/>
      <c r="O71" s="1127"/>
    </row>
    <row r="72" spans="1:15" hidden="1" x14ac:dyDescent="0.35">
      <c r="A72" t="s">
        <v>624</v>
      </c>
      <c r="B72" s="459">
        <f>BUDGET!AY72</f>
        <v>0</v>
      </c>
      <c r="C72" s="459"/>
      <c r="D72" s="779" t="str">
        <f>BUDGET!A72</f>
        <v xml:space="preserve">   OTHER</v>
      </c>
      <c r="E72" s="810">
        <v>688</v>
      </c>
      <c r="F72" s="2200" t="str">
        <f>BUDGET!AX72</f>
        <v/>
      </c>
      <c r="G72" s="810"/>
      <c r="H72" s="1110"/>
      <c r="I72" s="1658"/>
      <c r="J72" s="897"/>
      <c r="K72" s="1625"/>
      <c r="L72" s="1625"/>
      <c r="M72" s="1625"/>
      <c r="N72" s="2057"/>
      <c r="O72" s="2458"/>
    </row>
    <row r="73" spans="1:15" ht="13.15" hidden="1" x14ac:dyDescent="0.4">
      <c r="A73" t="s">
        <v>624</v>
      </c>
      <c r="B73" s="459">
        <f>BUDGET!AY73</f>
        <v>0</v>
      </c>
      <c r="C73" s="459"/>
      <c r="D73" s="842" t="str">
        <f>BUDGET!A73</f>
        <v xml:space="preserve">  TOTAL</v>
      </c>
      <c r="E73" s="785">
        <v>688</v>
      </c>
      <c r="F73" s="2201"/>
      <c r="G73" s="2439" t="s">
        <v>1232</v>
      </c>
      <c r="H73" s="2058">
        <v>45363</v>
      </c>
      <c r="I73" s="1659"/>
      <c r="J73" s="785"/>
      <c r="K73" s="820"/>
      <c r="L73" s="820"/>
      <c r="M73" s="820"/>
      <c r="N73" s="1764"/>
      <c r="O73" s="820"/>
    </row>
    <row r="74" spans="1:15" hidden="1" x14ac:dyDescent="0.35">
      <c r="B74" s="459">
        <f>BUDGET!AY74</f>
        <v>0</v>
      </c>
      <c r="C74" s="459"/>
      <c r="D74" s="821"/>
      <c r="E74" s="822"/>
      <c r="F74" s="2202" t="str">
        <f>BUDGET!AX74</f>
        <v/>
      </c>
      <c r="G74" s="822"/>
      <c r="H74" s="1160"/>
      <c r="I74" s="1660"/>
      <c r="J74" s="822"/>
      <c r="K74" s="1160"/>
      <c r="L74" s="1160"/>
      <c r="M74" s="1160"/>
      <c r="N74" s="1765"/>
      <c r="O74" s="1110"/>
    </row>
    <row r="75" spans="1:15" hidden="1" x14ac:dyDescent="0.35">
      <c r="A75" s="459" t="s">
        <v>662</v>
      </c>
      <c r="B75" s="459">
        <f>BUDGET!AY75</f>
        <v>0</v>
      </c>
      <c r="C75" s="459" t="str">
        <f>BUDGET!BC75</f>
        <v>x</v>
      </c>
      <c r="D75" s="779" t="str">
        <f>BUDGET!A75</f>
        <v>PERSONNEL BOARD</v>
      </c>
      <c r="E75" s="825"/>
      <c r="F75" s="2197" t="str">
        <f>BUDGET!AX75</f>
        <v/>
      </c>
      <c r="G75" s="825"/>
      <c r="H75" s="1110"/>
      <c r="I75" s="1661"/>
      <c r="J75" s="825"/>
      <c r="K75" s="1110"/>
      <c r="L75" s="1110"/>
      <c r="M75" s="1110"/>
      <c r="N75" s="1766"/>
      <c r="O75" s="1110"/>
    </row>
    <row r="76" spans="1:15" hidden="1" x14ac:dyDescent="0.35">
      <c r="A76" t="s">
        <v>662</v>
      </c>
      <c r="B76" s="459">
        <f>BUDGET!AY76</f>
        <v>0</v>
      </c>
      <c r="C76" s="459" t="str">
        <f>BUDGET!BC76</f>
        <v>x</v>
      </c>
      <c r="D76" s="779" t="str">
        <f>BUDGET!A76</f>
        <v xml:space="preserve">   WAGES</v>
      </c>
      <c r="E76" s="788"/>
      <c r="F76" s="2198" t="str">
        <f>BUDGET!AX76</f>
        <v/>
      </c>
      <c r="G76" s="788"/>
      <c r="H76" s="841"/>
      <c r="I76" s="1656"/>
      <c r="J76" s="788"/>
      <c r="K76" s="841"/>
      <c r="L76" s="841"/>
      <c r="M76" s="841"/>
      <c r="N76" s="1761"/>
      <c r="O76" s="841"/>
    </row>
    <row r="77" spans="1:15" hidden="1" x14ac:dyDescent="0.35">
      <c r="A77" t="s">
        <v>662</v>
      </c>
      <c r="B77" s="459">
        <f>BUDGET!AY77</f>
        <v>0</v>
      </c>
      <c r="C77" s="459" t="str">
        <f>BUDGET!BC77</f>
        <v>x</v>
      </c>
      <c r="D77" s="779" t="str">
        <f>BUDGET!A77</f>
        <v xml:space="preserve">   OTHER</v>
      </c>
      <c r="E77" s="785"/>
      <c r="F77" s="2201" t="str">
        <f>BUDGET!AX77</f>
        <v/>
      </c>
      <c r="G77" s="785"/>
      <c r="H77" s="820"/>
      <c r="I77" s="1659"/>
      <c r="J77" s="785"/>
      <c r="K77" s="820"/>
      <c r="L77" s="820"/>
      <c r="M77" s="820"/>
      <c r="N77" s="1764"/>
      <c r="O77" s="820"/>
    </row>
    <row r="78" spans="1:15" hidden="1" x14ac:dyDescent="0.35">
      <c r="A78" t="s">
        <v>662</v>
      </c>
      <c r="B78" s="459">
        <f>BUDGET!AY78</f>
        <v>0</v>
      </c>
      <c r="C78" s="459" t="str">
        <f>BUDGET!BC78</f>
        <v>x</v>
      </c>
      <c r="D78" s="842" t="str">
        <f>BUDGET!A78</f>
        <v xml:space="preserve">   TOTAL</v>
      </c>
      <c r="E78" s="785"/>
      <c r="F78" s="2201" t="str">
        <f>BUDGET!AX78</f>
        <v/>
      </c>
      <c r="G78" s="785"/>
      <c r="H78" s="820"/>
      <c r="I78" s="1659"/>
      <c r="J78" s="785"/>
      <c r="K78" s="820"/>
      <c r="L78" s="820"/>
      <c r="M78" s="820"/>
      <c r="N78" s="1764"/>
      <c r="O78" s="820"/>
    </row>
    <row r="79" spans="1:15" hidden="1" x14ac:dyDescent="0.35">
      <c r="B79" s="459">
        <f>BUDGET!AY79</f>
        <v>0</v>
      </c>
      <c r="C79" s="459" t="str">
        <f>BUDGET!BC79</f>
        <v>x</v>
      </c>
      <c r="D79" s="883">
        <f>BUDGET!A79</f>
        <v>0</v>
      </c>
      <c r="E79" s="822"/>
      <c r="F79" s="2202" t="str">
        <f>BUDGET!AX79</f>
        <v/>
      </c>
      <c r="G79" s="822"/>
      <c r="H79" s="1160"/>
      <c r="I79" s="1660"/>
      <c r="J79" s="822"/>
      <c r="K79" s="1160"/>
      <c r="L79" s="1160"/>
      <c r="M79" s="1160"/>
      <c r="N79" s="1765"/>
      <c r="O79" s="1110"/>
    </row>
    <row r="80" spans="1:15" hidden="1" x14ac:dyDescent="0.35">
      <c r="A80" s="459" t="s">
        <v>663</v>
      </c>
      <c r="B80" s="459">
        <f>BUDGET!AY80</f>
        <v>0</v>
      </c>
      <c r="C80" s="459"/>
      <c r="D80" s="779" t="str">
        <f>BUDGET!A80</f>
        <v>TOWN CLERK</v>
      </c>
      <c r="E80" s="825"/>
      <c r="F80" s="2197" t="str">
        <f>BUDGET!AX80</f>
        <v/>
      </c>
      <c r="G80" s="825"/>
      <c r="H80" s="1110"/>
      <c r="I80" s="1661"/>
      <c r="J80" s="825"/>
      <c r="K80" s="1110"/>
      <c r="L80" s="1110"/>
      <c r="M80" s="1110"/>
      <c r="N80" s="1766"/>
      <c r="O80" s="1110"/>
    </row>
    <row r="81" spans="1:15" hidden="1" x14ac:dyDescent="0.35">
      <c r="A81" t="s">
        <v>663</v>
      </c>
      <c r="B81" s="459">
        <f>BUDGET!AY81</f>
        <v>0</v>
      </c>
      <c r="C81" s="459"/>
      <c r="D81" s="779" t="str">
        <f>BUDGET!A81</f>
        <v xml:space="preserve">   SALARIES</v>
      </c>
      <c r="E81" s="810">
        <v>86070</v>
      </c>
      <c r="F81" s="2200"/>
      <c r="G81" s="810"/>
      <c r="H81" s="1110"/>
      <c r="I81" s="1658"/>
      <c r="J81" s="810"/>
      <c r="K81" s="1410"/>
      <c r="L81" s="1410"/>
      <c r="M81" s="1410"/>
      <c r="N81" s="1763"/>
      <c r="O81" s="1410"/>
    </row>
    <row r="82" spans="1:15" hidden="1" x14ac:dyDescent="0.35">
      <c r="A82" t="s">
        <v>663</v>
      </c>
      <c r="B82" s="459">
        <f>BUDGET!AY82</f>
        <v>0</v>
      </c>
      <c r="C82" s="2240"/>
      <c r="D82" s="779" t="str">
        <f>BUDGET!A82</f>
        <v xml:space="preserve">   WAGES</v>
      </c>
      <c r="E82" s="810">
        <v>45555</v>
      </c>
      <c r="F82" s="2200"/>
      <c r="G82" s="810"/>
      <c r="H82" s="2242"/>
      <c r="I82" s="1656" t="str">
        <f>IF(B82="yes",F82,"")</f>
        <v/>
      </c>
      <c r="J82" s="788"/>
      <c r="K82" s="841"/>
      <c r="L82" s="841"/>
      <c r="M82" s="841"/>
      <c r="N82" s="2243"/>
      <c r="O82" s="2457"/>
    </row>
    <row r="83" spans="1:15" hidden="1" x14ac:dyDescent="0.35">
      <c r="A83" t="s">
        <v>663</v>
      </c>
      <c r="B83" s="459">
        <f>BUDGET!AY83</f>
        <v>0</v>
      </c>
      <c r="C83" s="459"/>
      <c r="D83" s="779" t="str">
        <f>BUDGET!A83</f>
        <v xml:space="preserve">   OTHER</v>
      </c>
      <c r="E83" s="810">
        <v>24482</v>
      </c>
      <c r="F83" s="2200"/>
      <c r="G83" s="810"/>
      <c r="H83" s="1110"/>
      <c r="I83" s="1961"/>
      <c r="J83" s="1956"/>
      <c r="K83" s="2455"/>
      <c r="L83" s="2455"/>
      <c r="M83" s="2455"/>
      <c r="N83" s="2057"/>
      <c r="O83" s="2458"/>
    </row>
    <row r="84" spans="1:15" ht="13.15" hidden="1" x14ac:dyDescent="0.4">
      <c r="A84" t="s">
        <v>663</v>
      </c>
      <c r="B84" s="459">
        <f>BUDGET!AY84</f>
        <v>0</v>
      </c>
      <c r="C84" s="459"/>
      <c r="D84" s="842" t="str">
        <f>BUDGET!A84</f>
        <v xml:space="preserve">   TOTAL</v>
      </c>
      <c r="E84" s="785">
        <v>156107</v>
      </c>
      <c r="F84" s="2200"/>
      <c r="G84" s="2439" t="s">
        <v>1232</v>
      </c>
      <c r="H84" s="2058">
        <v>45363</v>
      </c>
      <c r="I84" s="1659"/>
      <c r="J84" s="785"/>
      <c r="K84" s="820"/>
      <c r="L84" s="820"/>
      <c r="M84" s="820"/>
      <c r="N84" s="1764"/>
      <c r="O84" s="820"/>
    </row>
    <row r="85" spans="1:15" hidden="1" x14ac:dyDescent="0.35">
      <c r="B85" s="459">
        <f>BUDGET!AY85</f>
        <v>0</v>
      </c>
      <c r="C85" s="459"/>
      <c r="D85" s="821"/>
      <c r="E85" s="822"/>
      <c r="F85" s="2202" t="str">
        <f>BUDGET!AX85</f>
        <v/>
      </c>
      <c r="G85" s="822"/>
      <c r="H85" s="1160"/>
      <c r="I85" s="1660"/>
      <c r="J85" s="822"/>
      <c r="K85" s="1160"/>
      <c r="L85" s="1160"/>
      <c r="M85" s="1160"/>
      <c r="N85" s="1765"/>
      <c r="O85" s="1110"/>
    </row>
    <row r="86" spans="1:15" hidden="1" x14ac:dyDescent="0.35">
      <c r="A86" s="459" t="s">
        <v>676</v>
      </c>
      <c r="B86" s="459">
        <f>BUDGET!AY86</f>
        <v>0</v>
      </c>
      <c r="C86" s="459" t="str">
        <f>BUDGET!BC86</f>
        <v>x</v>
      </c>
      <c r="D86" s="779" t="str">
        <f>BUDGET!A86</f>
        <v>TRUST FUND CLERK</v>
      </c>
      <c r="E86" s="825"/>
      <c r="F86" s="2197" t="str">
        <f>BUDGET!AX86</f>
        <v/>
      </c>
      <c r="G86" s="825"/>
      <c r="H86" s="1110"/>
      <c r="I86" s="1661"/>
      <c r="J86" s="825"/>
      <c r="K86" s="1110"/>
      <c r="L86" s="1110"/>
      <c r="M86" s="1110"/>
      <c r="N86" s="1766"/>
      <c r="O86" s="1110"/>
    </row>
    <row r="87" spans="1:15" hidden="1" x14ac:dyDescent="0.35">
      <c r="A87" t="s">
        <v>676</v>
      </c>
      <c r="B87" s="459">
        <f>BUDGET!AY87</f>
        <v>0</v>
      </c>
      <c r="C87" s="459" t="str">
        <f>BUDGET!BC87</f>
        <v>x</v>
      </c>
      <c r="D87" s="779" t="str">
        <f>BUDGET!A87</f>
        <v xml:space="preserve">   SALARY</v>
      </c>
      <c r="E87" s="788"/>
      <c r="F87" s="2198" t="str">
        <f>BUDGET!AX87</f>
        <v/>
      </c>
      <c r="G87" s="788"/>
      <c r="H87" s="841"/>
      <c r="I87" s="1656"/>
      <c r="J87" s="788"/>
      <c r="K87" s="841"/>
      <c r="L87" s="841"/>
      <c r="M87" s="841"/>
      <c r="N87" s="1761"/>
      <c r="O87" s="841"/>
    </row>
    <row r="88" spans="1:15" hidden="1" x14ac:dyDescent="0.35">
      <c r="A88" t="s">
        <v>676</v>
      </c>
      <c r="B88" s="459">
        <f>BUDGET!AY88</f>
        <v>0</v>
      </c>
      <c r="C88" s="459" t="str">
        <f>BUDGET!BC88</f>
        <v>x</v>
      </c>
      <c r="D88" s="779" t="str">
        <f>BUDGET!A88</f>
        <v xml:space="preserve">   WAGES</v>
      </c>
      <c r="E88" s="788"/>
      <c r="F88" s="2198" t="str">
        <f>BUDGET!AX88</f>
        <v/>
      </c>
      <c r="G88" s="788"/>
      <c r="H88" s="841"/>
      <c r="I88" s="1656"/>
      <c r="J88" s="788"/>
      <c r="K88" s="841"/>
      <c r="L88" s="841"/>
      <c r="M88" s="841"/>
      <c r="N88" s="1761"/>
      <c r="O88" s="841"/>
    </row>
    <row r="89" spans="1:15" hidden="1" x14ac:dyDescent="0.35">
      <c r="A89" t="s">
        <v>676</v>
      </c>
      <c r="B89" s="459">
        <f>BUDGET!AY89</f>
        <v>0</v>
      </c>
      <c r="C89" s="459" t="str">
        <f>BUDGET!BC89</f>
        <v>x</v>
      </c>
      <c r="D89" s="779" t="str">
        <f>BUDGET!A89</f>
        <v xml:space="preserve">   OTHER</v>
      </c>
      <c r="E89" s="810"/>
      <c r="F89" s="2200" t="str">
        <f>BUDGET!AX89</f>
        <v/>
      </c>
      <c r="G89" s="810"/>
      <c r="H89" s="1110"/>
      <c r="I89" s="1658"/>
      <c r="J89" s="810"/>
      <c r="K89" s="1410"/>
      <c r="L89" s="1410"/>
      <c r="M89" s="1410"/>
      <c r="N89" s="1763"/>
      <c r="O89" s="1410"/>
    </row>
    <row r="90" spans="1:15" hidden="1" x14ac:dyDescent="0.35">
      <c r="A90" t="s">
        <v>676</v>
      </c>
      <c r="B90" s="459">
        <f>BUDGET!AY90</f>
        <v>0</v>
      </c>
      <c r="C90" s="459" t="str">
        <f>BUDGET!BC90</f>
        <v>x</v>
      </c>
      <c r="D90" s="842" t="str">
        <f>BUDGET!A90</f>
        <v xml:space="preserve">   TOTAL</v>
      </c>
      <c r="E90" s="785"/>
      <c r="F90" s="2201" t="str">
        <f>BUDGET!AX90</f>
        <v/>
      </c>
      <c r="G90" s="785"/>
      <c r="H90" s="820"/>
      <c r="I90" s="1659"/>
      <c r="J90" s="785"/>
      <c r="K90" s="820"/>
      <c r="L90" s="820"/>
      <c r="M90" s="820"/>
      <c r="N90" s="1764"/>
      <c r="O90" s="820"/>
    </row>
    <row r="91" spans="1:15" hidden="1" x14ac:dyDescent="0.35">
      <c r="B91" s="459">
        <f>BUDGET!AY91</f>
        <v>0</v>
      </c>
      <c r="C91" s="459" t="str">
        <f>BUDGET!BC91</f>
        <v>x</v>
      </c>
      <c r="D91" s="821">
        <f>BUDGET!A91</f>
        <v>0</v>
      </c>
      <c r="E91" s="822"/>
      <c r="F91" s="2202" t="str">
        <f>BUDGET!AX91</f>
        <v/>
      </c>
      <c r="G91" s="822"/>
      <c r="H91" s="1160"/>
      <c r="I91" s="1660"/>
      <c r="J91" s="822"/>
      <c r="K91" s="1160"/>
      <c r="L91" s="1160"/>
      <c r="M91" s="1160"/>
      <c r="N91" s="1765"/>
      <c r="O91" s="1110"/>
    </row>
    <row r="92" spans="1:15" hidden="1" x14ac:dyDescent="0.35">
      <c r="A92" s="459" t="s">
        <v>424</v>
      </c>
      <c r="B92" s="459">
        <f>BUDGET!AY92</f>
        <v>0</v>
      </c>
      <c r="C92" s="459"/>
      <c r="D92" s="779" t="str">
        <f>BUDGET!A92</f>
        <v>CONSERVATION COMMISSION</v>
      </c>
      <c r="E92" s="825"/>
      <c r="F92" s="2197" t="str">
        <f>BUDGET!AX92</f>
        <v/>
      </c>
      <c r="G92" s="825"/>
      <c r="H92" s="1110"/>
      <c r="I92" s="1661"/>
      <c r="J92" s="825"/>
      <c r="K92" s="1110"/>
      <c r="L92" s="1110"/>
      <c r="M92" s="1110"/>
      <c r="N92" s="1766"/>
      <c r="O92" s="1110"/>
    </row>
    <row r="93" spans="1:15" hidden="1" x14ac:dyDescent="0.35">
      <c r="A93" t="s">
        <v>424</v>
      </c>
      <c r="B93" s="459">
        <f>BUDGET!AY93</f>
        <v>0</v>
      </c>
      <c r="C93" s="459"/>
      <c r="D93" s="1436" t="str">
        <f>BUDGET!A93</f>
        <v xml:space="preserve">   SALARIES</v>
      </c>
      <c r="E93" s="810">
        <v>77585</v>
      </c>
      <c r="F93" s="2200"/>
      <c r="G93" s="810"/>
      <c r="H93" s="1110"/>
      <c r="I93" s="1658"/>
      <c r="J93" s="810"/>
      <c r="K93" s="1410"/>
      <c r="L93" s="1410"/>
      <c r="M93" s="1410"/>
      <c r="N93" s="1763"/>
      <c r="O93" s="1410"/>
    </row>
    <row r="94" spans="1:15" hidden="1" x14ac:dyDescent="0.35">
      <c r="A94" t="s">
        <v>424</v>
      </c>
      <c r="B94" s="459">
        <f>BUDGET!AY94</f>
        <v>0</v>
      </c>
      <c r="C94" s="459"/>
      <c r="D94" s="779" t="str">
        <f>BUDGET!A94</f>
        <v xml:space="preserve">   WAGES</v>
      </c>
      <c r="E94" s="810">
        <v>27036</v>
      </c>
      <c r="F94" s="2200"/>
      <c r="G94" s="810"/>
      <c r="H94" s="1110"/>
      <c r="I94" s="1658"/>
      <c r="J94" s="810"/>
      <c r="K94" s="1410"/>
      <c r="L94" s="1410"/>
      <c r="M94" s="1410"/>
      <c r="N94" s="1763"/>
      <c r="O94" s="1410"/>
    </row>
    <row r="95" spans="1:15" hidden="1" x14ac:dyDescent="0.35">
      <c r="A95" t="s">
        <v>424</v>
      </c>
      <c r="B95" s="459">
        <f>BUDGET!AY95</f>
        <v>0</v>
      </c>
      <c r="C95" s="459"/>
      <c r="D95" s="779" t="str">
        <f>BUDGET!A95</f>
        <v xml:space="preserve">   OTHER</v>
      </c>
      <c r="E95" s="788"/>
      <c r="F95" s="2198" t="str">
        <f>BUDGET!AX95</f>
        <v/>
      </c>
      <c r="G95" s="788"/>
      <c r="H95" s="841"/>
      <c r="I95" s="1656"/>
      <c r="J95" s="788"/>
      <c r="K95" s="841"/>
      <c r="L95" s="841"/>
      <c r="M95" s="841"/>
      <c r="N95" s="1761"/>
      <c r="O95" s="841"/>
    </row>
    <row r="96" spans="1:15" ht="13.15" hidden="1" x14ac:dyDescent="0.4">
      <c r="A96" t="s">
        <v>424</v>
      </c>
      <c r="B96" s="459">
        <f>BUDGET!AY96</f>
        <v>0</v>
      </c>
      <c r="C96" s="459"/>
      <c r="D96" s="842" t="str">
        <f>BUDGET!A96</f>
        <v xml:space="preserve">   TOTAL</v>
      </c>
      <c r="E96" s="785">
        <v>104621</v>
      </c>
      <c r="F96" s="2200"/>
      <c r="G96" s="2439" t="s">
        <v>1232</v>
      </c>
      <c r="H96" s="2058">
        <v>45363</v>
      </c>
      <c r="I96" s="1659"/>
      <c r="J96" s="785"/>
      <c r="K96" s="820"/>
      <c r="L96" s="820"/>
      <c r="M96" s="820"/>
      <c r="N96" s="1764"/>
      <c r="O96" s="820"/>
    </row>
    <row r="97" spans="1:15" hidden="1" x14ac:dyDescent="0.35">
      <c r="B97" s="459">
        <f>BUDGET!AY97</f>
        <v>0</v>
      </c>
      <c r="C97" s="459"/>
      <c r="D97" s="821"/>
      <c r="E97" s="822"/>
      <c r="F97" s="2202" t="str">
        <f>BUDGET!AX97</f>
        <v/>
      </c>
      <c r="G97" s="822"/>
      <c r="H97" s="1160"/>
      <c r="I97" s="1660"/>
      <c r="J97" s="822"/>
      <c r="K97" s="1160"/>
      <c r="L97" s="1160"/>
      <c r="M97" s="1160"/>
      <c r="N97" s="1765"/>
      <c r="O97" s="1110"/>
    </row>
    <row r="98" spans="1:15" hidden="1" x14ac:dyDescent="0.35">
      <c r="A98" s="459" t="s">
        <v>544</v>
      </c>
      <c r="B98" s="459">
        <f>BUDGET!AY98</f>
        <v>0</v>
      </c>
      <c r="C98" s="459" t="str">
        <f>BUDGET!BC98</f>
        <v>x</v>
      </c>
      <c r="D98" s="779" t="str">
        <f>BUDGET!A98</f>
        <v>OPEN SPACE COMMITTEE</v>
      </c>
      <c r="E98" s="825"/>
      <c r="F98" s="2197" t="str">
        <f>BUDGET!AX98</f>
        <v/>
      </c>
      <c r="G98" s="825"/>
      <c r="H98" s="1110"/>
      <c r="I98" s="1661"/>
      <c r="J98" s="825"/>
      <c r="K98" s="1110"/>
      <c r="L98" s="1110"/>
      <c r="M98" s="1110"/>
      <c r="N98" s="1766"/>
      <c r="O98" s="1110"/>
    </row>
    <row r="99" spans="1:15" hidden="1" x14ac:dyDescent="0.35">
      <c r="A99" t="s">
        <v>544</v>
      </c>
      <c r="B99" s="459">
        <f>BUDGET!AY99</f>
        <v>0</v>
      </c>
      <c r="C99" s="459" t="str">
        <f>BUDGET!BC99</f>
        <v>x</v>
      </c>
      <c r="D99" s="779" t="str">
        <f>BUDGET!A99</f>
        <v xml:space="preserve">   OTHER </v>
      </c>
      <c r="E99" s="788"/>
      <c r="F99" s="2198" t="str">
        <f>BUDGET!AX99</f>
        <v/>
      </c>
      <c r="G99" s="788"/>
      <c r="H99" s="841"/>
      <c r="I99" s="1656"/>
      <c r="J99" s="788"/>
      <c r="K99" s="841"/>
      <c r="L99" s="841"/>
      <c r="M99" s="841"/>
      <c r="N99" s="1761"/>
      <c r="O99" s="841"/>
    </row>
    <row r="100" spans="1:15" hidden="1" x14ac:dyDescent="0.35">
      <c r="A100" t="s">
        <v>544</v>
      </c>
      <c r="B100" s="459">
        <f>BUDGET!AY100</f>
        <v>0</v>
      </c>
      <c r="C100" s="459" t="str">
        <f>BUDGET!BC100</f>
        <v>x</v>
      </c>
      <c r="D100" s="842" t="str">
        <f>BUDGET!A100</f>
        <v xml:space="preserve">   TOTAL</v>
      </c>
      <c r="E100" s="785"/>
      <c r="F100" s="2201" t="str">
        <f>BUDGET!AX100</f>
        <v/>
      </c>
      <c r="G100" s="785"/>
      <c r="H100" s="820"/>
      <c r="I100" s="1659"/>
      <c r="J100" s="785"/>
      <c r="K100" s="820"/>
      <c r="L100" s="820"/>
      <c r="M100" s="820"/>
      <c r="N100" s="1764"/>
      <c r="O100" s="820"/>
    </row>
    <row r="101" spans="1:15" hidden="1" x14ac:dyDescent="0.35">
      <c r="B101" s="459">
        <f>BUDGET!AY101</f>
        <v>0</v>
      </c>
      <c r="C101" s="459" t="str">
        <f>BUDGET!BC101</f>
        <v>x</v>
      </c>
      <c r="D101" s="821">
        <f>BUDGET!A101</f>
        <v>0</v>
      </c>
      <c r="E101" s="822"/>
      <c r="F101" s="2202" t="str">
        <f>BUDGET!AX101</f>
        <v/>
      </c>
      <c r="G101" s="822"/>
      <c r="H101" s="1160"/>
      <c r="I101" s="1660"/>
      <c r="J101" s="822"/>
      <c r="K101" s="1160"/>
      <c r="L101" s="1160"/>
      <c r="M101" s="1160"/>
      <c r="N101" s="1765"/>
      <c r="O101" s="1110"/>
    </row>
    <row r="102" spans="1:15" hidden="1" x14ac:dyDescent="0.35">
      <c r="A102" s="459" t="s">
        <v>740</v>
      </c>
      <c r="B102" s="459">
        <f>BUDGET!AY102</f>
        <v>0</v>
      </c>
      <c r="C102" s="459"/>
      <c r="D102" s="779" t="str">
        <f>BUDGET!A102</f>
        <v>PLANNING BOARD</v>
      </c>
      <c r="E102" s="825"/>
      <c r="F102" s="2197" t="str">
        <f>BUDGET!AX102</f>
        <v/>
      </c>
      <c r="G102" s="825"/>
      <c r="H102" s="1110"/>
      <c r="I102" s="1661"/>
      <c r="J102" s="825"/>
      <c r="K102" s="1110"/>
      <c r="L102" s="1110"/>
      <c r="M102" s="1110"/>
      <c r="N102" s="1766"/>
      <c r="O102" s="1110"/>
    </row>
    <row r="103" spans="1:15" hidden="1" x14ac:dyDescent="0.35">
      <c r="A103" t="s">
        <v>740</v>
      </c>
      <c r="B103" s="459">
        <f>BUDGET!AY103</f>
        <v>0</v>
      </c>
      <c r="C103" s="459"/>
      <c r="D103" s="779" t="str">
        <f>BUDGET!A103</f>
        <v xml:space="preserve">   SALARIES</v>
      </c>
      <c r="E103" s="788">
        <v>5</v>
      </c>
      <c r="F103" s="2198" t="str">
        <f>BUDGET!AX103</f>
        <v/>
      </c>
      <c r="G103" s="788"/>
      <c r="H103" s="841"/>
      <c r="I103" s="1656"/>
      <c r="J103" s="788"/>
      <c r="K103" s="841"/>
      <c r="L103" s="841"/>
      <c r="M103" s="841"/>
      <c r="N103" s="1761"/>
      <c r="O103" s="841"/>
    </row>
    <row r="104" spans="1:15" ht="13.15" x14ac:dyDescent="0.4">
      <c r="A104" t="s">
        <v>740</v>
      </c>
      <c r="B104" s="459">
        <f>BUDGET!AY104</f>
        <v>1</v>
      </c>
      <c r="C104" s="459"/>
      <c r="D104" s="779" t="str">
        <f>BUDGET!A104</f>
        <v xml:space="preserve">   WAGES</v>
      </c>
      <c r="E104" s="897">
        <v>2903</v>
      </c>
      <c r="F104" s="2200">
        <f>IF(_xlfn.NUMBERVALUE(J104)=0,0,I104)+IF(_xlfn.NUMBERVALUE(L104)=0,0,K104)+IF(_xlfn.NUMBERVALUE(N104)=0,0,M104)</f>
        <v>7315</v>
      </c>
      <c r="G104" s="2446" t="s">
        <v>1232</v>
      </c>
      <c r="H104" s="2196">
        <v>45363</v>
      </c>
      <c r="I104" s="1958">
        <v>7315</v>
      </c>
      <c r="J104" s="2478">
        <v>45363</v>
      </c>
      <c r="K104" s="2480"/>
      <c r="L104" s="2480"/>
      <c r="M104" s="2480"/>
      <c r="N104" s="2243"/>
      <c r="O104" s="725"/>
    </row>
    <row r="105" spans="1:15" hidden="1" x14ac:dyDescent="0.35">
      <c r="A105" t="s">
        <v>740</v>
      </c>
      <c r="B105" s="459">
        <f>BUDGET!AY105</f>
        <v>0</v>
      </c>
      <c r="C105" s="459"/>
      <c r="D105" s="779" t="str">
        <f>BUDGET!A105</f>
        <v xml:space="preserve">   OTHER</v>
      </c>
      <c r="E105" s="810">
        <v>1750</v>
      </c>
      <c r="F105" s="2200" t="str">
        <f>BUDGET!AX105</f>
        <v/>
      </c>
      <c r="G105" s="810"/>
      <c r="H105" s="1110"/>
      <c r="I105" s="1658"/>
      <c r="J105" s="810"/>
      <c r="K105" s="1410"/>
      <c r="L105" s="1410"/>
      <c r="M105" s="1410"/>
      <c r="N105" s="1763"/>
      <c r="O105" s="1410"/>
    </row>
    <row r="106" spans="1:15" ht="13.15" hidden="1" x14ac:dyDescent="0.4">
      <c r="A106" t="s">
        <v>740</v>
      </c>
      <c r="B106" s="459">
        <f>BUDGET!AY106</f>
        <v>0</v>
      </c>
      <c r="C106" s="459"/>
      <c r="D106" s="842" t="str">
        <f>BUDGET!A106</f>
        <v xml:space="preserve">   TOTAL</v>
      </c>
      <c r="E106" s="785">
        <v>4658</v>
      </c>
      <c r="F106" s="2200"/>
      <c r="G106" s="2439" t="s">
        <v>1232</v>
      </c>
      <c r="H106" s="2058">
        <v>45363</v>
      </c>
      <c r="I106" s="1659"/>
      <c r="J106" s="785"/>
      <c r="K106" s="820"/>
      <c r="L106" s="820"/>
      <c r="M106" s="820"/>
      <c r="N106" s="1764"/>
      <c r="O106" s="820"/>
    </row>
    <row r="107" spans="1:15" hidden="1" x14ac:dyDescent="0.35">
      <c r="B107" s="459">
        <f>BUDGET!AY107</f>
        <v>0</v>
      </c>
      <c r="C107" s="459"/>
      <c r="D107" s="821"/>
      <c r="E107" s="822"/>
      <c r="F107" s="2202" t="str">
        <f>BUDGET!AX107</f>
        <v/>
      </c>
      <c r="G107" s="822"/>
      <c r="H107" s="1160"/>
      <c r="I107" s="1660"/>
      <c r="J107" s="822"/>
      <c r="K107" s="1160"/>
      <c r="L107" s="1160"/>
      <c r="M107" s="1160"/>
      <c r="N107" s="1765"/>
      <c r="O107" s="1110"/>
    </row>
    <row r="108" spans="1:15" hidden="1" x14ac:dyDescent="0.35">
      <c r="A108" s="459" t="s">
        <v>723</v>
      </c>
      <c r="B108" s="459">
        <f>BUDGET!AY108</f>
        <v>0</v>
      </c>
      <c r="C108" s="459"/>
      <c r="D108" s="779" t="str">
        <f>BUDGET!A108</f>
        <v>ZONING BOARD OF APPEALS</v>
      </c>
      <c r="E108" s="825"/>
      <c r="F108" s="2208" t="str">
        <f>BUDGET!AX108</f>
        <v/>
      </c>
      <c r="G108" s="1809"/>
      <c r="H108" s="1810"/>
      <c r="I108" s="1811"/>
      <c r="J108" s="1809"/>
      <c r="K108" s="1810"/>
      <c r="L108" s="1810"/>
      <c r="M108" s="1810"/>
      <c r="N108" s="1812"/>
      <c r="O108" s="1110"/>
    </row>
    <row r="109" spans="1:15" hidden="1" x14ac:dyDescent="0.35">
      <c r="A109" t="s">
        <v>723</v>
      </c>
      <c r="B109" s="459">
        <f>BUDGET!AY109</f>
        <v>0</v>
      </c>
      <c r="C109" s="459"/>
      <c r="D109" s="779" t="str">
        <f>BUDGET!A109</f>
        <v xml:space="preserve">   SALARIES</v>
      </c>
      <c r="E109" s="825"/>
      <c r="F109" s="2197" t="str">
        <f>BUDGET!AX109</f>
        <v/>
      </c>
      <c r="G109" s="825"/>
      <c r="H109" s="1110"/>
      <c r="I109" s="1661"/>
      <c r="J109" s="825"/>
      <c r="K109" s="1110"/>
      <c r="L109" s="1110"/>
      <c r="M109" s="1110"/>
      <c r="N109" s="1766"/>
      <c r="O109" s="1110"/>
    </row>
    <row r="110" spans="1:15" ht="13.15" hidden="1" x14ac:dyDescent="0.4">
      <c r="A110" t="s">
        <v>723</v>
      </c>
      <c r="B110" s="459">
        <f>BUDGET!AY110</f>
        <v>0</v>
      </c>
      <c r="C110" s="459"/>
      <c r="D110" s="779" t="str">
        <f>BUDGET!A110</f>
        <v xml:space="preserve">   WAGES</v>
      </c>
      <c r="E110" s="825">
        <v>11585</v>
      </c>
      <c r="F110" s="2197"/>
      <c r="G110" s="2446"/>
      <c r="H110" s="2196"/>
      <c r="I110" s="1656" t="str">
        <f>IF(B110="yes",F110,"")</f>
        <v/>
      </c>
      <c r="J110" s="788"/>
      <c r="K110" s="841"/>
      <c r="L110" s="841"/>
      <c r="M110" s="841"/>
      <c r="N110" s="2243"/>
      <c r="O110" s="2457"/>
    </row>
    <row r="111" spans="1:15" hidden="1" x14ac:dyDescent="0.35">
      <c r="A111" t="s">
        <v>723</v>
      </c>
      <c r="B111" s="459">
        <f>BUDGET!AY111</f>
        <v>0</v>
      </c>
      <c r="C111" s="459"/>
      <c r="D111" s="779" t="str">
        <f>BUDGET!A111</f>
        <v xml:space="preserve">   OTHER</v>
      </c>
      <c r="E111" s="810">
        <v>750</v>
      </c>
      <c r="F111" s="2200" t="str">
        <f>BUDGET!AX111</f>
        <v/>
      </c>
      <c r="G111" s="810"/>
      <c r="H111" s="1110"/>
      <c r="I111" s="1658"/>
      <c r="J111" s="810"/>
      <c r="K111" s="1410"/>
      <c r="L111" s="1410"/>
      <c r="M111" s="1410"/>
      <c r="N111" s="1763"/>
      <c r="O111" s="1410"/>
    </row>
    <row r="112" spans="1:15" ht="13.15" hidden="1" x14ac:dyDescent="0.4">
      <c r="A112" t="s">
        <v>723</v>
      </c>
      <c r="B112" s="459">
        <f>BUDGET!AY112</f>
        <v>0</v>
      </c>
      <c r="C112" s="459"/>
      <c r="D112" s="842" t="str">
        <f>BUDGET!A112</f>
        <v xml:space="preserve">   TOTAL</v>
      </c>
      <c r="E112" s="785">
        <v>12335</v>
      </c>
      <c r="F112" s="2200"/>
      <c r="G112" s="2439" t="s">
        <v>1232</v>
      </c>
      <c r="H112" s="2058">
        <v>45363</v>
      </c>
      <c r="I112" s="1659"/>
      <c r="J112" s="785"/>
      <c r="K112" s="820"/>
      <c r="L112" s="820"/>
      <c r="M112" s="820"/>
      <c r="N112" s="1764"/>
      <c r="O112" s="820"/>
    </row>
    <row r="113" spans="1:15" hidden="1" x14ac:dyDescent="0.35">
      <c r="B113" s="459">
        <f>BUDGET!AY113</f>
        <v>0</v>
      </c>
      <c r="C113" s="459"/>
      <c r="D113" s="821"/>
      <c r="E113" s="822"/>
      <c r="F113" s="2202" t="str">
        <f>BUDGET!AX113</f>
        <v/>
      </c>
      <c r="G113" s="822"/>
      <c r="H113" s="1160"/>
      <c r="I113" s="1660"/>
      <c r="J113" s="822"/>
      <c r="K113" s="1160"/>
      <c r="L113" s="1160"/>
      <c r="M113" s="1160"/>
      <c r="N113" s="1765"/>
      <c r="O113" s="1110"/>
    </row>
    <row r="114" spans="1:15" hidden="1" x14ac:dyDescent="0.35">
      <c r="A114" s="459" t="s">
        <v>103</v>
      </c>
      <c r="B114" s="459">
        <f>BUDGET!AY114</f>
        <v>0</v>
      </c>
      <c r="C114" s="459"/>
      <c r="D114" s="771" t="str">
        <f>BUDGET!A114</f>
        <v>GENERAL GOV'T:  SUB-TOTAL</v>
      </c>
      <c r="E114" s="827"/>
      <c r="F114" s="2207" t="str">
        <f>BUDGET!AX114</f>
        <v/>
      </c>
      <c r="G114" s="827"/>
      <c r="H114" s="1127"/>
      <c r="I114" s="1666"/>
      <c r="J114" s="827"/>
      <c r="K114" s="1127"/>
      <c r="L114" s="1127"/>
      <c r="M114" s="1127"/>
      <c r="N114" s="1771"/>
      <c r="O114" s="1127"/>
    </row>
    <row r="115" spans="1:15" hidden="1" x14ac:dyDescent="0.35">
      <c r="A115" t="s">
        <v>103</v>
      </c>
      <c r="B115" s="459">
        <f>BUDGET!AY115</f>
        <v>0</v>
      </c>
      <c r="C115" s="459"/>
      <c r="D115" s="842" t="str">
        <f>BUDGET!A115</f>
        <v xml:space="preserve">   SALARIES</v>
      </c>
      <c r="E115" s="888">
        <v>731582</v>
      </c>
      <c r="F115" s="2200"/>
      <c r="G115" s="888"/>
      <c r="H115" s="820"/>
      <c r="I115" s="1668"/>
      <c r="J115" s="888"/>
      <c r="K115" s="1626"/>
      <c r="L115" s="1626"/>
      <c r="M115" s="1626"/>
      <c r="N115" s="1774"/>
      <c r="O115" s="1626"/>
    </row>
    <row r="116" spans="1:15" hidden="1" x14ac:dyDescent="0.35">
      <c r="A116" t="s">
        <v>103</v>
      </c>
      <c r="B116" s="459">
        <f>BUDGET!AY116</f>
        <v>0</v>
      </c>
      <c r="C116" s="459"/>
      <c r="D116" s="842" t="str">
        <f>BUDGET!A116</f>
        <v xml:space="preserve">   WAGES </v>
      </c>
      <c r="E116" s="888">
        <v>429931</v>
      </c>
      <c r="F116" s="2200"/>
      <c r="G116" s="888"/>
      <c r="H116" s="820"/>
      <c r="I116" s="1668"/>
      <c r="J116" s="888"/>
      <c r="K116" s="1626"/>
      <c r="L116" s="1626"/>
      <c r="M116" s="1626"/>
      <c r="N116" s="1774"/>
      <c r="O116" s="1626"/>
    </row>
    <row r="117" spans="1:15" hidden="1" x14ac:dyDescent="0.35">
      <c r="A117" t="s">
        <v>103</v>
      </c>
      <c r="B117" s="459">
        <f>BUDGET!AY117</f>
        <v>0</v>
      </c>
      <c r="C117" s="459"/>
      <c r="D117" s="842" t="str">
        <f>BUDGET!A117</f>
        <v xml:space="preserve">   OTHER</v>
      </c>
      <c r="E117" s="888">
        <v>563507</v>
      </c>
      <c r="F117" s="2200"/>
      <c r="G117" s="888"/>
      <c r="H117" s="820"/>
      <c r="I117" s="1668"/>
      <c r="J117" s="888"/>
      <c r="K117" s="1626"/>
      <c r="L117" s="1626"/>
      <c r="M117" s="1626"/>
      <c r="N117" s="1774"/>
      <c r="O117" s="1626"/>
    </row>
    <row r="118" spans="1:15" hidden="1" x14ac:dyDescent="0.35">
      <c r="B118" s="459">
        <f>BUDGET!AY118</f>
        <v>0</v>
      </c>
      <c r="C118" s="459"/>
      <c r="D118" s="842" t="str">
        <f>BUDGET!A118</f>
        <v>RESERVE FUNDS</v>
      </c>
      <c r="E118" s="888">
        <v>100000</v>
      </c>
      <c r="F118" s="2209" t="str">
        <f>BUDGET!AX118</f>
        <v/>
      </c>
      <c r="G118" s="888"/>
      <c r="H118" s="820"/>
      <c r="I118" s="1668"/>
      <c r="J118" s="888"/>
      <c r="K118" s="1626"/>
      <c r="L118" s="1626"/>
      <c r="M118" s="1626"/>
      <c r="N118" s="1774"/>
      <c r="O118" s="1626"/>
    </row>
    <row r="119" spans="1:15" hidden="1" x14ac:dyDescent="0.35">
      <c r="B119" s="459">
        <f>BUDGET!AY119</f>
        <v>0</v>
      </c>
      <c r="C119" s="459"/>
      <c r="D119" s="842" t="str">
        <f>BUDGET!A119</f>
        <v xml:space="preserve">   GASB-45</v>
      </c>
      <c r="E119" s="888">
        <v>8500</v>
      </c>
      <c r="F119" s="2209" t="str">
        <f>BUDGET!AX119</f>
        <v/>
      </c>
      <c r="G119" s="888"/>
      <c r="H119" s="820"/>
      <c r="I119" s="1668"/>
      <c r="J119" s="888"/>
      <c r="K119" s="1626"/>
      <c r="L119" s="1626"/>
      <c r="M119" s="1626"/>
      <c r="N119" s="1774"/>
      <c r="O119" s="1626"/>
    </row>
    <row r="120" spans="1:15" ht="13.15" hidden="1" thickBot="1" x14ac:dyDescent="0.4">
      <c r="B120" s="459">
        <f>BUDGET!AY120</f>
        <v>0</v>
      </c>
      <c r="C120" s="459"/>
      <c r="D120" s="902" t="str">
        <f>BUDGET!A120</f>
        <v>GENERAL GOVERN. :  SUB-TOTAL</v>
      </c>
      <c r="E120" s="909">
        <v>1825020</v>
      </c>
      <c r="F120" s="2210"/>
      <c r="G120" s="909"/>
      <c r="H120" s="1646"/>
      <c r="I120" s="1669"/>
      <c r="J120" s="909"/>
      <c r="K120" s="1627"/>
      <c r="L120" s="1627"/>
      <c r="M120" s="1627"/>
      <c r="N120" s="1775"/>
      <c r="O120" s="2459"/>
    </row>
    <row r="121" spans="1:15" hidden="1" x14ac:dyDescent="0.35">
      <c r="B121" s="459">
        <f>BUDGET!AY121</f>
        <v>0</v>
      </c>
      <c r="C121" s="459"/>
      <c r="D121" s="771" t="str">
        <f>BUDGET!A121</f>
        <v>PUBLIC SAFETY</v>
      </c>
      <c r="E121" s="825"/>
      <c r="F121" s="2197"/>
      <c r="G121" s="825"/>
      <c r="H121" s="1110"/>
      <c r="I121" s="1661"/>
      <c r="J121" s="825"/>
      <c r="K121" s="1110"/>
      <c r="L121" s="1110"/>
      <c r="M121" s="1110"/>
      <c r="N121" s="1766"/>
      <c r="O121" s="1110"/>
    </row>
    <row r="122" spans="1:15" hidden="1" x14ac:dyDescent="0.35">
      <c r="A122" s="459" t="s">
        <v>727</v>
      </c>
      <c r="B122" s="459">
        <f>BUDGET!AY122</f>
        <v>0</v>
      </c>
      <c r="C122" s="459"/>
      <c r="D122" s="779" t="str">
        <f>BUDGET!A122</f>
        <v>POLICE DEPARTMENT</v>
      </c>
      <c r="E122" s="825"/>
      <c r="F122" s="2197"/>
      <c r="G122" s="825"/>
      <c r="H122" s="1110"/>
      <c r="I122" s="1661"/>
      <c r="J122" s="825"/>
      <c r="K122" s="1110"/>
      <c r="L122" s="1110"/>
      <c r="M122" s="1110"/>
      <c r="N122" s="1766"/>
      <c r="O122" s="1110"/>
    </row>
    <row r="123" spans="1:15" hidden="1" x14ac:dyDescent="0.35">
      <c r="A123" t="s">
        <v>727</v>
      </c>
      <c r="B123" s="459">
        <f>BUDGET!AY123</f>
        <v>0</v>
      </c>
      <c r="C123" s="459"/>
      <c r="D123" s="779" t="str">
        <f>BUDGET!A123</f>
        <v xml:space="preserve">   SALARIES </v>
      </c>
      <c r="E123" s="810">
        <v>273430</v>
      </c>
      <c r="F123" s="2197"/>
      <c r="G123" s="825"/>
      <c r="H123" s="2059"/>
      <c r="I123" s="1658"/>
      <c r="J123" s="810"/>
      <c r="K123" s="1410"/>
      <c r="L123" s="1410"/>
      <c r="M123" s="1410"/>
      <c r="N123" s="1763"/>
      <c r="O123" s="1410"/>
    </row>
    <row r="124" spans="1:15" hidden="1" x14ac:dyDescent="0.35">
      <c r="A124" t="s">
        <v>727</v>
      </c>
      <c r="B124" s="459">
        <f>BUDGET!AY124</f>
        <v>0</v>
      </c>
      <c r="C124" s="459"/>
      <c r="D124" s="779" t="str">
        <f>BUDGET!A124</f>
        <v xml:space="preserve">   WAGES</v>
      </c>
      <c r="E124" s="810">
        <v>1298175</v>
      </c>
      <c r="F124" s="2197"/>
      <c r="G124" s="825"/>
      <c r="H124" s="2241"/>
      <c r="I124" s="1656" t="str">
        <f>IF(B124="yes",F124,"")</f>
        <v/>
      </c>
      <c r="J124" s="788"/>
      <c r="K124" s="841"/>
      <c r="L124" s="841"/>
      <c r="M124" s="841"/>
      <c r="N124" s="2243"/>
      <c r="O124" s="2457"/>
    </row>
    <row r="125" spans="1:15" hidden="1" x14ac:dyDescent="0.35">
      <c r="A125" t="s">
        <v>727</v>
      </c>
      <c r="B125" s="459">
        <f>BUDGET!AY125</f>
        <v>0</v>
      </c>
      <c r="C125" s="459"/>
      <c r="D125" s="779" t="str">
        <f>BUDGET!A125</f>
        <v xml:space="preserve">   CAPITAL (LEASES)</v>
      </c>
      <c r="E125" s="810"/>
      <c r="F125" s="2197"/>
      <c r="G125" s="810"/>
      <c r="H125" s="1110"/>
      <c r="I125" s="1658"/>
      <c r="J125" s="810"/>
      <c r="K125" s="1410"/>
      <c r="L125" s="1410"/>
      <c r="M125" s="1410"/>
      <c r="N125" s="1763"/>
      <c r="O125" s="1410"/>
    </row>
    <row r="126" spans="1:15" ht="13.15" x14ac:dyDescent="0.4">
      <c r="A126" t="s">
        <v>727</v>
      </c>
      <c r="B126" s="459">
        <v>1</v>
      </c>
      <c r="C126" s="459"/>
      <c r="D126" s="779" t="str">
        <f>BUDGET!A126</f>
        <v xml:space="preserve">   OTHER</v>
      </c>
      <c r="E126" s="810">
        <v>135654</v>
      </c>
      <c r="F126" s="2200">
        <f>IF(_xlfn.NUMBERVALUE(J126)=0,0,I126)+IF(_xlfn.NUMBERVALUE(L126)=0,0,K126)+IF(_xlfn.NUMBERVALUE(N126)=0,0,M126)</f>
        <v>11000</v>
      </c>
      <c r="G126" s="2441" t="s">
        <v>1232</v>
      </c>
      <c r="H126" s="2196">
        <v>45363</v>
      </c>
      <c r="I126" s="1958">
        <v>5000</v>
      </c>
      <c r="J126" s="2478">
        <v>45363</v>
      </c>
      <c r="K126" s="2480">
        <v>6000</v>
      </c>
      <c r="L126" s="2510">
        <v>45376</v>
      </c>
      <c r="M126" s="2480"/>
      <c r="N126" s="2243"/>
      <c r="O126" s="725"/>
    </row>
    <row r="127" spans="1:15" ht="13.15" hidden="1" x14ac:dyDescent="0.4">
      <c r="A127" t="s">
        <v>727</v>
      </c>
      <c r="B127" s="459">
        <f>BUDGET!AY127</f>
        <v>0</v>
      </c>
      <c r="C127" s="459"/>
      <c r="D127" s="842" t="str">
        <f>BUDGET!A127</f>
        <v xml:space="preserve">   TOTAL</v>
      </c>
      <c r="E127" s="785">
        <v>1707259</v>
      </c>
      <c r="F127" s="2201">
        <f>BUDGET!AX127</f>
        <v>0</v>
      </c>
      <c r="G127" s="2439" t="s">
        <v>1232</v>
      </c>
      <c r="H127" s="2058">
        <v>45363</v>
      </c>
      <c r="I127" s="1659"/>
      <c r="J127" s="785"/>
      <c r="K127" s="820"/>
      <c r="L127" s="820"/>
      <c r="M127" s="820"/>
      <c r="N127" s="1764"/>
      <c r="O127" s="820"/>
    </row>
    <row r="128" spans="1:15" hidden="1" x14ac:dyDescent="0.35">
      <c r="B128" s="459">
        <f>BUDGET!AY128</f>
        <v>0</v>
      </c>
      <c r="C128" s="459"/>
      <c r="D128" s="821"/>
      <c r="E128" s="800"/>
      <c r="F128" s="2199">
        <f>BUDGET!AX128</f>
        <v>0</v>
      </c>
      <c r="G128" s="800"/>
      <c r="H128" s="1621"/>
      <c r="I128" s="1657"/>
      <c r="J128" s="800"/>
      <c r="K128" s="1621"/>
      <c r="L128" s="1621"/>
      <c r="M128" s="1621"/>
      <c r="N128" s="1762"/>
      <c r="O128" s="1127"/>
    </row>
    <row r="129" spans="1:15" hidden="1" x14ac:dyDescent="0.35">
      <c r="A129" s="459" t="s">
        <v>825</v>
      </c>
      <c r="B129" s="459">
        <f>BUDGET!AY129</f>
        <v>0</v>
      </c>
      <c r="C129" s="459"/>
      <c r="D129" s="779" t="str">
        <f>BUDGET!A129</f>
        <v>FIRE DEPARTMENT</v>
      </c>
      <c r="E129" s="825"/>
      <c r="F129" s="2197">
        <f>BUDGET!AX129</f>
        <v>0</v>
      </c>
      <c r="G129" s="825"/>
      <c r="H129" s="1110"/>
      <c r="I129" s="1661"/>
      <c r="J129" s="825"/>
      <c r="K129" s="1110"/>
      <c r="L129" s="1110"/>
      <c r="M129" s="1110"/>
      <c r="N129" s="1766"/>
      <c r="O129" s="1110"/>
    </row>
    <row r="130" spans="1:15" hidden="1" x14ac:dyDescent="0.35">
      <c r="A130" t="s">
        <v>825</v>
      </c>
      <c r="B130" s="459">
        <f>BUDGET!AY130</f>
        <v>0</v>
      </c>
      <c r="C130" s="459"/>
      <c r="D130" s="779" t="str">
        <f>BUDGET!A130</f>
        <v xml:space="preserve">   SALARIES</v>
      </c>
      <c r="E130" s="810">
        <v>146720</v>
      </c>
      <c r="F130" s="2200">
        <f>BUDGET!AX130</f>
        <v>0</v>
      </c>
      <c r="G130" s="810"/>
      <c r="H130" s="1110"/>
      <c r="I130" s="1658"/>
      <c r="J130" s="810"/>
      <c r="K130" s="1410"/>
      <c r="L130" s="1410"/>
      <c r="M130" s="1410"/>
      <c r="N130" s="1763"/>
      <c r="O130" s="1410"/>
    </row>
    <row r="131" spans="1:15" ht="13.15" x14ac:dyDescent="0.4">
      <c r="A131" t="s">
        <v>825</v>
      </c>
      <c r="B131" s="459">
        <f>BUDGET!AY131</f>
        <v>1</v>
      </c>
      <c r="C131" s="459"/>
      <c r="D131" s="779" t="str">
        <f>BUDGET!A131</f>
        <v xml:space="preserve">   WAGES</v>
      </c>
      <c r="E131" s="810">
        <v>940501</v>
      </c>
      <c r="F131" s="2200">
        <f>IF(_xlfn.NUMBERVALUE(J131)=0,0,I131)+IF(_xlfn.NUMBERVALUE(L131)=0,0,K131)+IF(_xlfn.NUMBERVALUE(N131)=0,0,M131)</f>
        <v>15025</v>
      </c>
      <c r="G131" s="810"/>
      <c r="H131" s="2196"/>
      <c r="I131" s="1957">
        <v>24000</v>
      </c>
      <c r="J131" s="2510">
        <v>45376</v>
      </c>
      <c r="K131" s="2520">
        <f>-8975</f>
        <v>-8975</v>
      </c>
      <c r="L131" s="2523">
        <v>45376</v>
      </c>
      <c r="M131" s="2482"/>
      <c r="N131" s="2057"/>
      <c r="O131" s="725"/>
    </row>
    <row r="132" spans="1:15" hidden="1" x14ac:dyDescent="0.35">
      <c r="A132" t="s">
        <v>825</v>
      </c>
      <c r="B132" s="459">
        <f>BUDGET!AY132</f>
        <v>0</v>
      </c>
      <c r="C132" s="459" t="s">
        <v>1241</v>
      </c>
      <c r="D132" s="779" t="str">
        <f>BUDGET!A132</f>
        <v xml:space="preserve">   OTHER</v>
      </c>
      <c r="E132" s="810">
        <v>170518</v>
      </c>
      <c r="F132" s="2200">
        <f>BUDGET!AX132</f>
        <v>0</v>
      </c>
      <c r="G132" s="810"/>
      <c r="H132" s="2241"/>
      <c r="I132" s="1656" t="str">
        <f>IF(B132="yes",F132,"")</f>
        <v/>
      </c>
      <c r="J132" s="788"/>
      <c r="K132" s="841"/>
      <c r="L132" s="841"/>
      <c r="M132" s="841"/>
      <c r="N132" s="2243"/>
      <c r="O132" s="2457"/>
    </row>
    <row r="133" spans="1:15" ht="13.15" hidden="1" x14ac:dyDescent="0.4">
      <c r="A133" t="s">
        <v>825</v>
      </c>
      <c r="B133" s="459">
        <f>BUDGET!AY133</f>
        <v>0</v>
      </c>
      <c r="C133" s="459"/>
      <c r="D133" s="842" t="str">
        <f>BUDGET!A133</f>
        <v xml:space="preserve">   TOTAL</v>
      </c>
      <c r="E133" s="785">
        <v>1257739</v>
      </c>
      <c r="F133" s="2201">
        <f>BUDGET!AX133</f>
        <v>0</v>
      </c>
      <c r="G133" s="2439" t="s">
        <v>1232</v>
      </c>
      <c r="H133" s="2058">
        <v>45363</v>
      </c>
      <c r="I133" s="1659"/>
      <c r="J133" s="785"/>
      <c r="K133" s="820"/>
      <c r="L133" s="820"/>
      <c r="M133" s="820"/>
      <c r="N133" s="1764"/>
      <c r="O133" s="820"/>
    </row>
    <row r="134" spans="1:15" hidden="1" x14ac:dyDescent="0.35">
      <c r="B134" s="459">
        <f>BUDGET!AY134</f>
        <v>0</v>
      </c>
      <c r="C134" s="459"/>
      <c r="D134" s="821"/>
      <c r="E134" s="921"/>
      <c r="F134" s="2211">
        <f>BUDGET!AX134</f>
        <v>0</v>
      </c>
      <c r="G134" s="921"/>
      <c r="H134" s="1628"/>
      <c r="I134" s="1657"/>
      <c r="J134" s="921"/>
      <c r="K134" s="1628"/>
      <c r="L134" s="1628"/>
      <c r="M134" s="1628"/>
      <c r="N134" s="1776"/>
      <c r="O134" s="1127"/>
    </row>
    <row r="135" spans="1:15" hidden="1" x14ac:dyDescent="0.35">
      <c r="A135" s="459" t="s">
        <v>826</v>
      </c>
      <c r="B135" s="459">
        <f>BUDGET!AY135</f>
        <v>0</v>
      </c>
      <c r="C135" s="459" t="str">
        <f>BUDGET!BC135</f>
        <v>x</v>
      </c>
      <c r="D135" s="779" t="str">
        <f>BUDGET!A135</f>
        <v>AMBULANCE SERVICE</v>
      </c>
      <c r="E135" s="825"/>
      <c r="F135" s="2197">
        <f>BUDGET!AX135</f>
        <v>0</v>
      </c>
      <c r="G135" s="825"/>
      <c r="H135" s="1110"/>
      <c r="I135" s="1661"/>
      <c r="J135" s="825"/>
      <c r="K135" s="1110"/>
      <c r="L135" s="1110"/>
      <c r="M135" s="1110"/>
      <c r="N135" s="1766"/>
      <c r="O135" s="1110"/>
    </row>
    <row r="136" spans="1:15" hidden="1" x14ac:dyDescent="0.35">
      <c r="A136" t="s">
        <v>826</v>
      </c>
      <c r="B136" s="459">
        <f>BUDGET!AY136</f>
        <v>0</v>
      </c>
      <c r="C136" s="459" t="str">
        <f>BUDGET!BC136</f>
        <v>x</v>
      </c>
      <c r="D136" s="779" t="str">
        <f>BUDGET!A136</f>
        <v xml:space="preserve">   OTHER </v>
      </c>
      <c r="E136" s="788"/>
      <c r="F136" s="2198">
        <f>BUDGET!AX136</f>
        <v>0</v>
      </c>
      <c r="G136" s="788"/>
      <c r="H136" s="841"/>
      <c r="I136" s="1656"/>
      <c r="J136" s="788"/>
      <c r="K136" s="841"/>
      <c r="L136" s="841"/>
      <c r="M136" s="841"/>
      <c r="N136" s="1761"/>
      <c r="O136" s="841"/>
    </row>
    <row r="137" spans="1:15" hidden="1" x14ac:dyDescent="0.35">
      <c r="A137" t="s">
        <v>826</v>
      </c>
      <c r="B137" s="459">
        <f>BUDGET!AY137</f>
        <v>0</v>
      </c>
      <c r="C137" s="459" t="str">
        <f>BUDGET!BC137</f>
        <v>x</v>
      </c>
      <c r="D137" s="771" t="str">
        <f>BUDGET!A137</f>
        <v xml:space="preserve">   TOTAL</v>
      </c>
      <c r="E137" s="827"/>
      <c r="F137" s="2207">
        <f>BUDGET!AX137</f>
        <v>0</v>
      </c>
      <c r="G137" s="827"/>
      <c r="H137" s="1127"/>
      <c r="I137" s="1666"/>
      <c r="J137" s="827"/>
      <c r="K137" s="1127"/>
      <c r="L137" s="1127"/>
      <c r="M137" s="1127"/>
      <c r="N137" s="1771"/>
      <c r="O137" s="1127"/>
    </row>
    <row r="138" spans="1:15" hidden="1" x14ac:dyDescent="0.35">
      <c r="B138" s="459">
        <f>BUDGET!AY138</f>
        <v>0</v>
      </c>
      <c r="C138" s="459" t="str">
        <f>BUDGET!BC138</f>
        <v>x</v>
      </c>
      <c r="D138" s="821">
        <f>BUDGET!A138</f>
        <v>0</v>
      </c>
      <c r="E138" s="823"/>
      <c r="F138" s="2212">
        <f>BUDGET!AX138</f>
        <v>0</v>
      </c>
      <c r="G138" s="823"/>
      <c r="H138" s="1629"/>
      <c r="I138" s="1660"/>
      <c r="J138" s="823"/>
      <c r="K138" s="1629"/>
      <c r="L138" s="1629"/>
      <c r="M138" s="1629"/>
      <c r="N138" s="1777"/>
      <c r="O138" s="1110"/>
    </row>
    <row r="139" spans="1:15" hidden="1" x14ac:dyDescent="0.35">
      <c r="A139" s="459" t="s">
        <v>598</v>
      </c>
      <c r="B139" s="459">
        <f>BUDGET!AY139</f>
        <v>0</v>
      </c>
      <c r="C139" s="459"/>
      <c r="D139" s="779" t="str">
        <f>BUDGET!A139</f>
        <v>INSPECTIONAL SERVICES</v>
      </c>
      <c r="E139" s="825"/>
      <c r="F139" s="2197">
        <v>0</v>
      </c>
      <c r="G139" s="825"/>
      <c r="H139" s="1110"/>
      <c r="I139" s="1661"/>
      <c r="J139" s="825"/>
      <c r="K139" s="1110"/>
      <c r="L139" s="1110"/>
      <c r="M139" s="1110"/>
      <c r="N139" s="1766"/>
      <c r="O139" s="1110"/>
    </row>
    <row r="140" spans="1:15" ht="13.15" x14ac:dyDescent="0.4">
      <c r="A140" t="s">
        <v>598</v>
      </c>
      <c r="B140" s="459">
        <f>BUDGET!AY140</f>
        <v>1</v>
      </c>
      <c r="C140" s="459"/>
      <c r="D140" s="779" t="str">
        <f>BUDGET!A140</f>
        <v xml:space="preserve">    SALARIES</v>
      </c>
      <c r="E140" s="810">
        <v>114615</v>
      </c>
      <c r="F140" s="2200">
        <f>IF(_xlfn.NUMBERVALUE(J140)=0,0,I140)+IF(_xlfn.NUMBERVALUE(L140)=0,0,K140)+IF(_xlfn.NUMBERVALUE(N140)=0,0,M140)</f>
        <v>0</v>
      </c>
      <c r="G140" s="2451"/>
      <c r="H140" s="2196"/>
      <c r="I140" s="1957">
        <v>8112</v>
      </c>
      <c r="J140" s="2510"/>
      <c r="K140" s="2482"/>
      <c r="L140" s="2482"/>
      <c r="M140" s="2482"/>
      <c r="N140" s="2057"/>
      <c r="O140" s="725"/>
    </row>
    <row r="141" spans="1:15" hidden="1" x14ac:dyDescent="0.35">
      <c r="A141" t="s">
        <v>598</v>
      </c>
      <c r="B141" s="459">
        <f>BUDGET!AY141</f>
        <v>0</v>
      </c>
      <c r="C141" s="459"/>
      <c r="D141" s="779" t="str">
        <f>BUDGET!A141</f>
        <v xml:space="preserve">   WAGES</v>
      </c>
      <c r="E141" s="810">
        <v>43880</v>
      </c>
      <c r="F141" s="2200"/>
      <c r="G141" s="810"/>
      <c r="H141" s="2241"/>
      <c r="I141" s="1656" t="str">
        <f t="shared" ref="I141:I142" si="0">IF(B141="yes",F141,"")</f>
        <v/>
      </c>
      <c r="J141" s="788"/>
      <c r="K141" s="841"/>
      <c r="L141" s="841"/>
      <c r="M141" s="841"/>
      <c r="N141" s="2243"/>
      <c r="O141" s="2457"/>
    </row>
    <row r="142" spans="1:15" hidden="1" x14ac:dyDescent="0.35">
      <c r="A142" t="s">
        <v>598</v>
      </c>
      <c r="B142" s="459">
        <f>BUDGET!AY142</f>
        <v>0</v>
      </c>
      <c r="C142" s="459"/>
      <c r="D142" s="779" t="str">
        <f>BUDGET!A142</f>
        <v xml:space="preserve">   OTHER</v>
      </c>
      <c r="E142" s="1424">
        <v>15465</v>
      </c>
      <c r="F142" s="2200">
        <f>BUDGET!AX142</f>
        <v>0</v>
      </c>
      <c r="G142" s="810"/>
      <c r="H142" s="2241"/>
      <c r="I142" s="1656" t="str">
        <f t="shared" si="0"/>
        <v/>
      </c>
      <c r="J142" s="788"/>
      <c r="K142" s="841"/>
      <c r="L142" s="841"/>
      <c r="M142" s="841"/>
      <c r="N142" s="2243"/>
      <c r="O142" s="2457"/>
    </row>
    <row r="143" spans="1:15" ht="13.15" hidden="1" x14ac:dyDescent="0.4">
      <c r="A143" t="s">
        <v>598</v>
      </c>
      <c r="B143" s="459">
        <f>BUDGET!AY143</f>
        <v>0</v>
      </c>
      <c r="C143" s="459"/>
      <c r="D143" s="842" t="str">
        <f>BUDGET!A143</f>
        <v xml:space="preserve">   TOTAL</v>
      </c>
      <c r="E143" s="785">
        <v>173960</v>
      </c>
      <c r="F143" s="2201">
        <f>BUDGET!AX143</f>
        <v>0</v>
      </c>
      <c r="G143" s="2439" t="s">
        <v>1232</v>
      </c>
      <c r="H143" s="2058">
        <v>45363</v>
      </c>
      <c r="I143" s="1659"/>
      <c r="J143" s="785"/>
      <c r="K143" s="820"/>
      <c r="L143" s="820"/>
      <c r="M143" s="820"/>
      <c r="N143" s="1764"/>
      <c r="O143" s="820"/>
    </row>
    <row r="144" spans="1:15" hidden="1" x14ac:dyDescent="0.35">
      <c r="B144" s="459">
        <f>BUDGET!AY144</f>
        <v>0</v>
      </c>
      <c r="C144" s="459"/>
      <c r="D144" s="821"/>
      <c r="E144" s="942"/>
      <c r="F144" s="2213">
        <f>BUDGET!AX144</f>
        <v>0</v>
      </c>
      <c r="G144" s="942"/>
      <c r="H144" s="939"/>
      <c r="I144" s="1670"/>
      <c r="J144" s="942"/>
      <c r="K144" s="939"/>
      <c r="L144" s="939"/>
      <c r="M144" s="939"/>
      <c r="N144" s="1778"/>
      <c r="O144" s="820"/>
    </row>
    <row r="145" spans="1:15" hidden="1" x14ac:dyDescent="0.35">
      <c r="A145" s="459" t="s">
        <v>498</v>
      </c>
      <c r="B145" s="459">
        <f>BUDGET!AY145</f>
        <v>0</v>
      </c>
      <c r="C145" s="459"/>
      <c r="D145" s="779" t="str">
        <f>BUDGET!A145</f>
        <v>TREE DEPARTMENT</v>
      </c>
      <c r="E145" s="785"/>
      <c r="F145" s="2201">
        <f>BUDGET!AX145</f>
        <v>0</v>
      </c>
      <c r="G145" s="785"/>
      <c r="H145" s="820"/>
      <c r="I145" s="1659"/>
      <c r="J145" s="785"/>
      <c r="K145" s="820"/>
      <c r="L145" s="820"/>
      <c r="M145" s="820"/>
      <c r="N145" s="1764"/>
      <c r="O145" s="820"/>
    </row>
    <row r="146" spans="1:15" hidden="1" x14ac:dyDescent="0.35">
      <c r="A146" t="s">
        <v>498</v>
      </c>
      <c r="B146" s="459">
        <f>BUDGET!AY146</f>
        <v>0</v>
      </c>
      <c r="C146" s="459"/>
      <c r="D146" s="779" t="str">
        <f>BUDGET!A146</f>
        <v xml:space="preserve">   SALARIES</v>
      </c>
      <c r="E146" s="810">
        <v>5000</v>
      </c>
      <c r="F146" s="2200">
        <f>BUDGET!AX146</f>
        <v>0</v>
      </c>
      <c r="G146" s="810"/>
      <c r="H146" s="1110"/>
      <c r="I146" s="1658"/>
      <c r="J146" s="810"/>
      <c r="K146" s="1410"/>
      <c r="L146" s="1410"/>
      <c r="M146" s="1410"/>
      <c r="N146" s="1763"/>
      <c r="O146" s="1410"/>
    </row>
    <row r="147" spans="1:15" hidden="1" x14ac:dyDescent="0.35">
      <c r="A147" t="s">
        <v>498</v>
      </c>
      <c r="B147" s="459">
        <f>BUDGET!AY147</f>
        <v>0</v>
      </c>
      <c r="C147" s="459"/>
      <c r="D147" s="779" t="str">
        <f>BUDGET!A147</f>
        <v xml:space="preserve">   WAGES</v>
      </c>
      <c r="E147" s="810">
        <v>3530</v>
      </c>
      <c r="F147" s="2200">
        <f>BUDGET!AX147</f>
        <v>0</v>
      </c>
      <c r="G147" s="810"/>
      <c r="H147" s="1110"/>
      <c r="I147" s="1658"/>
      <c r="J147" s="810"/>
      <c r="K147" s="1410"/>
      <c r="L147" s="1410"/>
      <c r="M147" s="1410"/>
      <c r="N147" s="1763"/>
      <c r="O147" s="1410"/>
    </row>
    <row r="148" spans="1:15" hidden="1" x14ac:dyDescent="0.35">
      <c r="A148" t="s">
        <v>498</v>
      </c>
      <c r="B148" s="459">
        <f>BUDGET!AY148</f>
        <v>0</v>
      </c>
      <c r="C148" s="459"/>
      <c r="D148" s="779" t="str">
        <f>BUDGET!A148</f>
        <v xml:space="preserve">   OTHER</v>
      </c>
      <c r="E148" s="810">
        <v>8260</v>
      </c>
      <c r="F148" s="2200">
        <f>BUDGET!AX148</f>
        <v>0</v>
      </c>
      <c r="G148" s="810"/>
      <c r="H148" s="1110"/>
      <c r="I148" s="1658"/>
      <c r="J148" s="810"/>
      <c r="K148" s="1410"/>
      <c r="L148" s="1410"/>
      <c r="M148" s="1410"/>
      <c r="N148" s="1763"/>
      <c r="O148" s="1410"/>
    </row>
    <row r="149" spans="1:15" ht="13.15" hidden="1" x14ac:dyDescent="0.4">
      <c r="A149" t="s">
        <v>498</v>
      </c>
      <c r="B149" s="459">
        <f>BUDGET!AY149</f>
        <v>0</v>
      </c>
      <c r="C149" s="459"/>
      <c r="D149" s="842" t="str">
        <f>BUDGET!A149</f>
        <v xml:space="preserve">   TOTAL</v>
      </c>
      <c r="E149" s="785">
        <v>16790</v>
      </c>
      <c r="F149" s="2201">
        <f>BUDGET!AX149</f>
        <v>0</v>
      </c>
      <c r="G149" s="2439" t="s">
        <v>1232</v>
      </c>
      <c r="H149" s="2058">
        <v>45363</v>
      </c>
      <c r="I149" s="1659"/>
      <c r="J149" s="785"/>
      <c r="K149" s="820"/>
      <c r="L149" s="820"/>
      <c r="M149" s="820"/>
      <c r="N149" s="1764"/>
      <c r="O149" s="820"/>
    </row>
    <row r="150" spans="1:15" hidden="1" x14ac:dyDescent="0.35">
      <c r="B150" s="459">
        <f>BUDGET!AY150</f>
        <v>0</v>
      </c>
      <c r="C150" s="459"/>
      <c r="D150" s="821"/>
      <c r="E150" s="822"/>
      <c r="F150" s="2202">
        <f>BUDGET!AX150</f>
        <v>0</v>
      </c>
      <c r="G150" s="822"/>
      <c r="H150" s="1160"/>
      <c r="I150" s="1660"/>
      <c r="J150" s="822"/>
      <c r="K150" s="1160"/>
      <c r="L150" s="1160"/>
      <c r="M150" s="1160"/>
      <c r="N150" s="1765"/>
      <c r="O150" s="1110"/>
    </row>
    <row r="151" spans="1:15" hidden="1" x14ac:dyDescent="0.35">
      <c r="A151" s="459" t="s">
        <v>599</v>
      </c>
      <c r="B151" s="459">
        <f>BUDGET!AY151</f>
        <v>0</v>
      </c>
      <c r="C151" s="459"/>
      <c r="D151" s="779" t="str">
        <f>BUDGET!A151</f>
        <v>SEALER WEIGHTS &amp; MEASURE:</v>
      </c>
      <c r="E151" s="825"/>
      <c r="F151" s="2197">
        <f>BUDGET!AX151</f>
        <v>0</v>
      </c>
      <c r="G151" s="825"/>
      <c r="H151" s="1110"/>
      <c r="I151" s="1661"/>
      <c r="J151" s="825"/>
      <c r="K151" s="1110"/>
      <c r="L151" s="1110"/>
      <c r="M151" s="1110"/>
      <c r="N151" s="1766"/>
      <c r="O151" s="1110"/>
    </row>
    <row r="152" spans="1:15" hidden="1" x14ac:dyDescent="0.35">
      <c r="A152" t="s">
        <v>599</v>
      </c>
      <c r="B152" s="459">
        <f>BUDGET!AY152</f>
        <v>0</v>
      </c>
      <c r="C152" s="459"/>
      <c r="D152" s="779" t="str">
        <f>BUDGET!A152</f>
        <v xml:space="preserve">   SALARY</v>
      </c>
      <c r="E152" s="810">
        <v>1726</v>
      </c>
      <c r="F152" s="2200">
        <f>BUDGET!AX152</f>
        <v>0</v>
      </c>
      <c r="G152" s="810"/>
      <c r="H152" s="1110"/>
      <c r="I152" s="1658"/>
      <c r="J152" s="810"/>
      <c r="K152" s="1410"/>
      <c r="L152" s="1410"/>
      <c r="M152" s="1410"/>
      <c r="N152" s="1763"/>
      <c r="O152" s="1410"/>
    </row>
    <row r="153" spans="1:15" hidden="1" x14ac:dyDescent="0.35">
      <c r="A153" t="s">
        <v>599</v>
      </c>
      <c r="B153" s="459">
        <f>BUDGET!AY153</f>
        <v>0</v>
      </c>
      <c r="C153" s="459"/>
      <c r="D153" s="779" t="str">
        <f>BUDGET!A153</f>
        <v xml:space="preserve">   OTHER</v>
      </c>
      <c r="E153" s="788"/>
      <c r="F153" s="2198">
        <f>BUDGET!AX153</f>
        <v>0</v>
      </c>
      <c r="G153" s="788"/>
      <c r="H153" s="841"/>
      <c r="I153" s="1656"/>
      <c r="J153" s="788"/>
      <c r="K153" s="841"/>
      <c r="L153" s="841"/>
      <c r="M153" s="841"/>
      <c r="N153" s="1761"/>
      <c r="O153" s="841"/>
    </row>
    <row r="154" spans="1:15" ht="13.15" hidden="1" x14ac:dyDescent="0.4">
      <c r="A154" t="s">
        <v>599</v>
      </c>
      <c r="B154" s="459">
        <f>BUDGET!AY154</f>
        <v>0</v>
      </c>
      <c r="C154" s="459"/>
      <c r="D154" s="948" t="str">
        <f>BUDGET!A154</f>
        <v xml:space="preserve">   TOTAL</v>
      </c>
      <c r="E154" s="1101">
        <v>1726</v>
      </c>
      <c r="F154" s="2214">
        <f>BUDGET!AX154</f>
        <v>0</v>
      </c>
      <c r="G154" s="2439" t="s">
        <v>1232</v>
      </c>
      <c r="H154" s="2058">
        <v>45363</v>
      </c>
      <c r="I154" s="1671"/>
      <c r="J154" s="1101"/>
      <c r="K154" s="1630"/>
      <c r="L154" s="1630"/>
      <c r="M154" s="1630"/>
      <c r="N154" s="1779"/>
      <c r="O154" s="1630"/>
    </row>
    <row r="155" spans="1:15" hidden="1" x14ac:dyDescent="0.35">
      <c r="B155" s="459">
        <f>BUDGET!AY155</f>
        <v>0</v>
      </c>
      <c r="C155" s="459"/>
      <c r="D155" s="821"/>
      <c r="E155" s="823"/>
      <c r="F155" s="2212">
        <f>BUDGET!AX155</f>
        <v>0</v>
      </c>
      <c r="G155" s="823"/>
      <c r="H155" s="1629"/>
      <c r="I155" s="1660"/>
      <c r="J155" s="823"/>
      <c r="K155" s="1629"/>
      <c r="L155" s="1629"/>
      <c r="M155" s="1629"/>
      <c r="N155" s="1777"/>
      <c r="O155" s="1110"/>
    </row>
    <row r="156" spans="1:15" hidden="1" x14ac:dyDescent="0.35">
      <c r="A156" s="459" t="s">
        <v>600</v>
      </c>
      <c r="B156" s="459">
        <f>BUDGET!AY156</f>
        <v>0</v>
      </c>
      <c r="C156" s="459"/>
      <c r="D156" s="779" t="str">
        <f>BUDGET!A156</f>
        <v>ANIMAL CONTROL OFFICER</v>
      </c>
      <c r="E156" s="825"/>
      <c r="F156" s="2197">
        <f>BUDGET!AX156</f>
        <v>0</v>
      </c>
      <c r="G156" s="825"/>
      <c r="H156" s="1110"/>
      <c r="I156" s="1661"/>
      <c r="J156" s="825"/>
      <c r="K156" s="1110"/>
      <c r="L156" s="1110"/>
      <c r="M156" s="1110"/>
      <c r="N156" s="1766"/>
      <c r="O156" s="1110"/>
    </row>
    <row r="157" spans="1:15" hidden="1" x14ac:dyDescent="0.35">
      <c r="A157" t="s">
        <v>600</v>
      </c>
      <c r="B157" s="459">
        <f>BUDGET!AY157</f>
        <v>0</v>
      </c>
      <c r="C157" s="459"/>
      <c r="D157" s="779" t="str">
        <f>BUDGET!A157</f>
        <v xml:space="preserve">   SALARY</v>
      </c>
      <c r="E157" s="810">
        <v>6000</v>
      </c>
      <c r="F157" s="2200">
        <f>BUDGET!AX157</f>
        <v>0</v>
      </c>
      <c r="G157" s="810"/>
      <c r="H157" s="1110"/>
      <c r="I157" s="1658"/>
      <c r="J157" s="810"/>
      <c r="K157" s="1410"/>
      <c r="L157" s="1410"/>
      <c r="M157" s="1410"/>
      <c r="N157" s="1763"/>
      <c r="O157" s="1410"/>
    </row>
    <row r="158" spans="1:15" hidden="1" x14ac:dyDescent="0.35">
      <c r="A158" t="s">
        <v>600</v>
      </c>
      <c r="B158" s="459">
        <f>BUDGET!AY158</f>
        <v>0</v>
      </c>
      <c r="C158" s="459"/>
      <c r="D158" s="779" t="str">
        <f>BUDGET!A158</f>
        <v xml:space="preserve">   OTHER</v>
      </c>
      <c r="E158" s="810">
        <v>1000</v>
      </c>
      <c r="F158" s="2200">
        <f>BUDGET!AX158</f>
        <v>0</v>
      </c>
      <c r="G158" s="810"/>
      <c r="H158" s="1110"/>
      <c r="I158" s="1658"/>
      <c r="J158" s="810"/>
      <c r="K158" s="1410"/>
      <c r="L158" s="1410"/>
      <c r="M158" s="1410"/>
      <c r="N158" s="1763"/>
      <c r="O158" s="1410"/>
    </row>
    <row r="159" spans="1:15" ht="13.15" hidden="1" x14ac:dyDescent="0.4">
      <c r="A159" t="s">
        <v>600</v>
      </c>
      <c r="B159" s="459">
        <f>BUDGET!AY159</f>
        <v>0</v>
      </c>
      <c r="C159" s="459"/>
      <c r="D159" s="842" t="str">
        <f>BUDGET!A159</f>
        <v xml:space="preserve">   TOTAL</v>
      </c>
      <c r="E159" s="785">
        <v>7000</v>
      </c>
      <c r="F159" s="2201">
        <f>BUDGET!AX159</f>
        <v>0</v>
      </c>
      <c r="G159" s="2439" t="s">
        <v>1232</v>
      </c>
      <c r="H159" s="2058">
        <v>45363</v>
      </c>
      <c r="I159" s="1659"/>
      <c r="J159" s="785"/>
      <c r="K159" s="820"/>
      <c r="L159" s="820"/>
      <c r="M159" s="820"/>
      <c r="N159" s="1764"/>
      <c r="O159" s="820"/>
    </row>
    <row r="160" spans="1:15" hidden="1" x14ac:dyDescent="0.35">
      <c r="B160" s="459">
        <f>BUDGET!AY160</f>
        <v>0</v>
      </c>
      <c r="C160" s="459"/>
      <c r="D160" s="821"/>
      <c r="E160" s="823"/>
      <c r="F160" s="2212">
        <f>BUDGET!AX160</f>
        <v>0</v>
      </c>
      <c r="G160" s="823"/>
      <c r="H160" s="1629"/>
      <c r="I160" s="1660"/>
      <c r="J160" s="823"/>
      <c r="K160" s="1629"/>
      <c r="L160" s="1629"/>
      <c r="M160" s="1629"/>
      <c r="N160" s="1777"/>
      <c r="O160" s="1110"/>
    </row>
    <row r="161" spans="1:15" hidden="1" x14ac:dyDescent="0.35">
      <c r="A161" s="459" t="s">
        <v>601</v>
      </c>
      <c r="B161" s="459">
        <f>BUDGET!AY161</f>
        <v>0</v>
      </c>
      <c r="C161" s="459"/>
      <c r="D161" s="779" t="str">
        <f>BUDGET!A161</f>
        <v>ANIMAL INSPECTOR</v>
      </c>
      <c r="E161" s="825"/>
      <c r="F161" s="2197">
        <f>BUDGET!AX161</f>
        <v>0</v>
      </c>
      <c r="G161" s="825"/>
      <c r="H161" s="1110"/>
      <c r="I161" s="1661"/>
      <c r="J161" s="825"/>
      <c r="K161" s="1110"/>
      <c r="L161" s="1110"/>
      <c r="M161" s="1110"/>
      <c r="N161" s="1766"/>
      <c r="O161" s="1110"/>
    </row>
    <row r="162" spans="1:15" hidden="1" x14ac:dyDescent="0.35">
      <c r="A162" t="s">
        <v>601</v>
      </c>
      <c r="B162" s="459">
        <f>BUDGET!AY162</f>
        <v>0</v>
      </c>
      <c r="C162" s="459"/>
      <c r="D162" s="779" t="str">
        <f>BUDGET!A162</f>
        <v xml:space="preserve">   SALARY</v>
      </c>
      <c r="E162" s="810">
        <v>7750</v>
      </c>
      <c r="F162" s="2200">
        <f>BUDGET!AX162</f>
        <v>0</v>
      </c>
      <c r="G162" s="810"/>
      <c r="H162" s="1110"/>
      <c r="I162" s="1658"/>
      <c r="J162" s="810"/>
      <c r="K162" s="1410"/>
      <c r="L162" s="1410"/>
      <c r="M162" s="1410"/>
      <c r="N162" s="1763"/>
      <c r="O162" s="1410"/>
    </row>
    <row r="163" spans="1:15" hidden="1" x14ac:dyDescent="0.35">
      <c r="A163" t="s">
        <v>601</v>
      </c>
      <c r="B163" s="459">
        <f>BUDGET!AY163</f>
        <v>0</v>
      </c>
      <c r="C163" s="459"/>
      <c r="D163" s="779" t="str">
        <f>BUDGET!A163</f>
        <v xml:space="preserve">   OTHER</v>
      </c>
      <c r="E163" s="810">
        <v>1840</v>
      </c>
      <c r="F163" s="2200">
        <f>BUDGET!AX163</f>
        <v>0</v>
      </c>
      <c r="G163" s="810"/>
      <c r="H163" s="1110"/>
      <c r="I163" s="1658"/>
      <c r="J163" s="810"/>
      <c r="K163" s="1410"/>
      <c r="L163" s="1410"/>
      <c r="M163" s="1410"/>
      <c r="N163" s="1763"/>
      <c r="O163" s="1410"/>
    </row>
    <row r="164" spans="1:15" ht="13.15" hidden="1" x14ac:dyDescent="0.4">
      <c r="A164" t="s">
        <v>601</v>
      </c>
      <c r="B164" s="459">
        <f>BUDGET!AY164</f>
        <v>0</v>
      </c>
      <c r="C164" s="459"/>
      <c r="D164" s="771" t="str">
        <f>BUDGET!A164</f>
        <v xml:space="preserve">   TOTAL</v>
      </c>
      <c r="E164" s="785">
        <v>9590</v>
      </c>
      <c r="F164" s="2201">
        <f>BUDGET!AX164</f>
        <v>0</v>
      </c>
      <c r="G164" s="2439" t="s">
        <v>1232</v>
      </c>
      <c r="H164" s="2058">
        <v>45363</v>
      </c>
      <c r="I164" s="1659"/>
      <c r="J164" s="785"/>
      <c r="K164" s="820"/>
      <c r="L164" s="820"/>
      <c r="M164" s="820"/>
      <c r="N164" s="1764"/>
      <c r="O164" s="820"/>
    </row>
    <row r="165" spans="1:15" hidden="1" x14ac:dyDescent="0.35">
      <c r="B165" s="459">
        <f>BUDGET!AY165</f>
        <v>0</v>
      </c>
      <c r="C165" s="459"/>
      <c r="D165" s="821"/>
      <c r="E165" s="822"/>
      <c r="F165" s="2202">
        <f>BUDGET!AX165</f>
        <v>0</v>
      </c>
      <c r="G165" s="822"/>
      <c r="H165" s="1160"/>
      <c r="I165" s="1660"/>
      <c r="J165" s="822"/>
      <c r="K165" s="1160"/>
      <c r="L165" s="1160"/>
      <c r="M165" s="1160"/>
      <c r="N165" s="1765"/>
      <c r="O165" s="1110"/>
    </row>
    <row r="166" spans="1:15" hidden="1" x14ac:dyDescent="0.35">
      <c r="B166" s="459">
        <f>BUDGET!AY166</f>
        <v>0</v>
      </c>
      <c r="C166" s="459"/>
      <c r="D166" s="771" t="str">
        <f>BUDGET!A166</f>
        <v>PUBLIC SAFETY:  SUB-TOTAL</v>
      </c>
      <c r="E166" s="825"/>
      <c r="F166" s="2197">
        <f>BUDGET!AX166</f>
        <v>0</v>
      </c>
      <c r="G166" s="825"/>
      <c r="H166" s="1110"/>
      <c r="I166" s="1661"/>
      <c r="J166" s="825"/>
      <c r="K166" s="1110"/>
      <c r="L166" s="1110"/>
      <c r="M166" s="1110"/>
      <c r="N166" s="1766"/>
      <c r="O166" s="1110"/>
    </row>
    <row r="167" spans="1:15" hidden="1" x14ac:dyDescent="0.35">
      <c r="B167" s="459">
        <f>BUDGET!AY167</f>
        <v>0</v>
      </c>
      <c r="C167" s="459"/>
      <c r="D167" s="842" t="str">
        <f>BUDGET!A167</f>
        <v xml:space="preserve">   SALARIES</v>
      </c>
      <c r="E167" s="880">
        <v>555241</v>
      </c>
      <c r="F167" s="2209">
        <f>BUDGET!AX167</f>
        <v>0</v>
      </c>
      <c r="G167" s="880"/>
      <c r="H167" s="2048"/>
      <c r="I167" s="1672"/>
      <c r="J167" s="880"/>
      <c r="K167" s="1631"/>
      <c r="L167" s="1631"/>
      <c r="M167" s="1631"/>
      <c r="N167" s="1780"/>
      <c r="O167" s="1631"/>
    </row>
    <row r="168" spans="1:15" hidden="1" x14ac:dyDescent="0.35">
      <c r="B168" s="459">
        <f>BUDGET!AY168</f>
        <v>0</v>
      </c>
      <c r="C168" s="459"/>
      <c r="D168" s="842" t="str">
        <f>BUDGET!A168</f>
        <v xml:space="preserve">   WAGES</v>
      </c>
      <c r="E168" s="880">
        <v>2286086</v>
      </c>
      <c r="F168" s="2209">
        <f>BUDGET!AX168</f>
        <v>0</v>
      </c>
      <c r="G168" s="880"/>
      <c r="H168" s="2048"/>
      <c r="I168" s="1672"/>
      <c r="J168" s="880"/>
      <c r="K168" s="1631"/>
      <c r="L168" s="1631"/>
      <c r="M168" s="1631"/>
      <c r="N168" s="1780"/>
      <c r="O168" s="1631"/>
    </row>
    <row r="169" spans="1:15" hidden="1" x14ac:dyDescent="0.35">
      <c r="B169" s="459">
        <f>BUDGET!AY169</f>
        <v>0</v>
      </c>
      <c r="C169" s="459"/>
      <c r="D169" s="842" t="str">
        <f>BUDGET!A169</f>
        <v xml:space="preserve">   OTHER</v>
      </c>
      <c r="E169" s="880">
        <v>332737</v>
      </c>
      <c r="F169" s="2209">
        <f>BUDGET!AX169</f>
        <v>0</v>
      </c>
      <c r="G169" s="880"/>
      <c r="H169" s="2048"/>
      <c r="I169" s="1672"/>
      <c r="J169" s="880"/>
      <c r="K169" s="1631"/>
      <c r="L169" s="1631"/>
      <c r="M169" s="1631"/>
      <c r="N169" s="1780"/>
      <c r="O169" s="1631"/>
    </row>
    <row r="170" spans="1:15" ht="13.15" hidden="1" thickBot="1" x14ac:dyDescent="0.4">
      <c r="B170" s="459">
        <f>BUDGET!AY170</f>
        <v>0</v>
      </c>
      <c r="C170" s="459"/>
      <c r="D170" s="902" t="str">
        <f>BUDGET!A170</f>
        <v>PUBLIC SAFETY:  SUB-TOTAL</v>
      </c>
      <c r="E170" s="955">
        <v>3174064</v>
      </c>
      <c r="F170" s="2215">
        <f>BUDGET!AX170</f>
        <v>0</v>
      </c>
      <c r="G170" s="955"/>
      <c r="H170" s="2049"/>
      <c r="I170" s="1673"/>
      <c r="J170" s="955"/>
      <c r="K170" s="1632"/>
      <c r="L170" s="1632"/>
      <c r="M170" s="1632"/>
      <c r="N170" s="1781"/>
      <c r="O170" s="2460"/>
    </row>
    <row r="171" spans="1:15" hidden="1" x14ac:dyDescent="0.35">
      <c r="B171" s="459">
        <f>BUDGET!AY171</f>
        <v>0</v>
      </c>
      <c r="C171" s="459"/>
      <c r="D171" s="821"/>
      <c r="E171" s="825"/>
      <c r="F171" s="2197">
        <f>BUDGET!AX171</f>
        <v>0</v>
      </c>
      <c r="G171" s="825"/>
      <c r="H171" s="1110"/>
      <c r="I171" s="1661"/>
      <c r="J171" s="825"/>
      <c r="K171" s="1110"/>
      <c r="L171" s="1110"/>
      <c r="M171" s="1110"/>
      <c r="N171" s="1766"/>
      <c r="O171" s="1110"/>
    </row>
    <row r="172" spans="1:15" hidden="1" x14ac:dyDescent="0.35">
      <c r="B172" s="459">
        <f>BUDGET!AY172</f>
        <v>0</v>
      </c>
      <c r="C172" s="459"/>
      <c r="D172" s="771" t="str">
        <f>BUDGET!A172</f>
        <v>EDUCATION:   ELEMENTARY SCHS</v>
      </c>
      <c r="E172" s="788"/>
      <c r="F172" s="2198">
        <f>BUDGET!AX172</f>
        <v>0</v>
      </c>
      <c r="G172" s="788"/>
      <c r="H172" s="841"/>
      <c r="I172" s="1656"/>
      <c r="J172" s="788"/>
      <c r="K172" s="841"/>
      <c r="L172" s="841"/>
      <c r="M172" s="841"/>
      <c r="N172" s="1761"/>
      <c r="O172" s="841"/>
    </row>
    <row r="173" spans="1:15" hidden="1" x14ac:dyDescent="0.35">
      <c r="B173" s="459">
        <f>BUDGET!AY173</f>
        <v>0</v>
      </c>
      <c r="C173" s="459"/>
      <c r="D173" s="779" t="str">
        <f>BUDGET!A173</f>
        <v xml:space="preserve">  .GENERAL ADMINISTRATION</v>
      </c>
      <c r="E173" s="788"/>
      <c r="F173" s="2198">
        <f>BUDGET!AX173</f>
        <v>0</v>
      </c>
      <c r="G173" s="788"/>
      <c r="H173" s="841"/>
      <c r="I173" s="1656"/>
      <c r="J173" s="788"/>
      <c r="K173" s="841"/>
      <c r="L173" s="841"/>
      <c r="M173" s="841"/>
      <c r="N173" s="1761"/>
      <c r="O173" s="841"/>
    </row>
    <row r="174" spans="1:15" hidden="1" x14ac:dyDescent="0.35">
      <c r="B174" s="459">
        <f>BUDGET!AY174</f>
        <v>0</v>
      </c>
      <c r="C174" s="459"/>
      <c r="D174" s="779" t="str">
        <f>BUDGET!A174</f>
        <v xml:space="preserve">  .INSTRUCTIONAL SALARIES</v>
      </c>
      <c r="E174" s="788"/>
      <c r="F174" s="2198">
        <f>BUDGET!AX174</f>
        <v>0</v>
      </c>
      <c r="G174" s="788"/>
      <c r="H174" s="841"/>
      <c r="I174" s="1656"/>
      <c r="J174" s="788"/>
      <c r="K174" s="841"/>
      <c r="L174" s="841"/>
      <c r="M174" s="841"/>
      <c r="N174" s="1761"/>
      <c r="O174" s="841"/>
    </row>
    <row r="175" spans="1:15" hidden="1" x14ac:dyDescent="0.35">
      <c r="B175" s="459">
        <f>BUDGET!AY175</f>
        <v>0</v>
      </c>
      <c r="C175" s="459"/>
      <c r="D175" s="779" t="str">
        <f>BUDGET!A175</f>
        <v xml:space="preserve">  .INSTRUCTIONAL MATERIALS</v>
      </c>
      <c r="E175" s="788"/>
      <c r="F175" s="2198">
        <f>BUDGET!AX175</f>
        <v>0</v>
      </c>
      <c r="G175" s="788"/>
      <c r="H175" s="841"/>
      <c r="I175" s="1656"/>
      <c r="J175" s="788"/>
      <c r="K175" s="841"/>
      <c r="L175" s="841"/>
      <c r="M175" s="841"/>
      <c r="N175" s="1761"/>
      <c r="O175" s="841"/>
    </row>
    <row r="176" spans="1:15" ht="13.5" hidden="1" x14ac:dyDescent="0.35">
      <c r="B176" s="459">
        <f>BUDGET!AY176</f>
        <v>0</v>
      </c>
      <c r="C176" s="459"/>
      <c r="D176" s="779" t="str">
        <f>BUDGET!A176</f>
        <v xml:space="preserve"> ADMIN. EXPENDITURES</v>
      </c>
      <c r="E176" s="785"/>
      <c r="F176" s="2198">
        <f>BUDGET!AX176</f>
        <v>0</v>
      </c>
      <c r="G176" s="2061"/>
      <c r="H176" s="2062"/>
      <c r="I176" s="1659"/>
      <c r="J176" s="785"/>
      <c r="K176" s="820"/>
      <c r="L176" s="820"/>
      <c r="M176" s="820"/>
      <c r="N176" s="1764"/>
      <c r="O176" s="820"/>
    </row>
    <row r="177" spans="1:15" hidden="1" x14ac:dyDescent="0.35">
      <c r="B177" s="459">
        <f>BUDGET!AY177</f>
        <v>0</v>
      </c>
      <c r="C177" s="459"/>
      <c r="D177" s="1398" t="str">
        <f>BUDGET!A177</f>
        <v xml:space="preserve"> .TRANSPORTATION REGULAR</v>
      </c>
      <c r="E177" s="785"/>
      <c r="F177" s="2201">
        <f>BUDGET!AX177</f>
        <v>0</v>
      </c>
      <c r="G177" s="785"/>
      <c r="H177" s="820"/>
      <c r="I177" s="1659"/>
      <c r="J177" s="785"/>
      <c r="K177" s="820"/>
      <c r="L177" s="820"/>
      <c r="M177" s="820"/>
      <c r="N177" s="1764"/>
      <c r="O177" s="820"/>
    </row>
    <row r="178" spans="1:15" hidden="1" x14ac:dyDescent="0.35">
      <c r="B178" s="459">
        <f>BUDGET!AY178</f>
        <v>0</v>
      </c>
      <c r="C178" s="459"/>
      <c r="D178" s="779" t="str">
        <f>BUDGET!A178</f>
        <v xml:space="preserve">  .FUEL AND POWER</v>
      </c>
      <c r="E178" s="785"/>
      <c r="F178" s="2201">
        <f>BUDGET!AX178</f>
        <v>0</v>
      </c>
      <c r="G178" s="785"/>
      <c r="H178" s="820"/>
      <c r="I178" s="1659"/>
      <c r="J178" s="785"/>
      <c r="K178" s="820"/>
      <c r="L178" s="820"/>
      <c r="M178" s="820"/>
      <c r="N178" s="1764"/>
      <c r="O178" s="820"/>
    </row>
    <row r="179" spans="1:15" hidden="1" x14ac:dyDescent="0.35">
      <c r="B179" s="459">
        <f>BUDGET!AY179</f>
        <v>0</v>
      </c>
      <c r="C179" s="459"/>
      <c r="D179" s="779" t="str">
        <f>BUDGET!A179</f>
        <v xml:space="preserve">  .BLDG OPER. &amp; MAINTENANCE</v>
      </c>
      <c r="E179" s="785"/>
      <c r="F179" s="2201">
        <f>BUDGET!AX179</f>
        <v>0</v>
      </c>
      <c r="G179" s="785"/>
      <c r="H179" s="820"/>
      <c r="I179" s="1659"/>
      <c r="J179" s="785"/>
      <c r="K179" s="820"/>
      <c r="L179" s="820"/>
      <c r="M179" s="820"/>
      <c r="N179" s="1764"/>
      <c r="O179" s="820"/>
    </row>
    <row r="180" spans="1:15" hidden="1" x14ac:dyDescent="0.35">
      <c r="B180" s="459">
        <f>BUDGET!AY180</f>
        <v>0</v>
      </c>
      <c r="C180" s="459"/>
      <c r="D180" s="779" t="str">
        <f>BUDGET!A180</f>
        <v xml:space="preserve">  .SPECIAL NEEDS</v>
      </c>
      <c r="E180" s="785"/>
      <c r="F180" s="2201">
        <f>BUDGET!AX180</f>
        <v>0</v>
      </c>
      <c r="G180" s="785"/>
      <c r="H180" s="820"/>
      <c r="I180" s="1659"/>
      <c r="J180" s="785"/>
      <c r="K180" s="820"/>
      <c r="L180" s="820"/>
      <c r="M180" s="820"/>
      <c r="N180" s="1764"/>
      <c r="O180" s="820"/>
    </row>
    <row r="181" spans="1:15" hidden="1" x14ac:dyDescent="0.35">
      <c r="B181" s="459">
        <f>BUDGET!AY181</f>
        <v>0</v>
      </c>
      <c r="C181" s="459"/>
      <c r="D181" s="779" t="str">
        <f>BUDGET!A181</f>
        <v xml:space="preserve"> CONTRACT SERVICES</v>
      </c>
      <c r="E181" s="785"/>
      <c r="F181" s="2201">
        <f>BUDGET!AX181</f>
        <v>0</v>
      </c>
      <c r="G181" s="785"/>
      <c r="H181" s="820"/>
      <c r="I181" s="1659"/>
      <c r="J181" s="785"/>
      <c r="K181" s="820"/>
      <c r="L181" s="820"/>
      <c r="M181" s="820"/>
      <c r="N181" s="1764"/>
      <c r="O181" s="820"/>
    </row>
    <row r="182" spans="1:15" hidden="1" x14ac:dyDescent="0.35">
      <c r="B182" s="459">
        <f>BUDGET!AY182</f>
        <v>0</v>
      </c>
      <c r="C182" s="459"/>
      <c r="D182" s="821"/>
      <c r="E182" s="825"/>
      <c r="F182" s="2197">
        <f>BUDGET!AX182</f>
        <v>0</v>
      </c>
      <c r="G182" s="825"/>
      <c r="H182" s="1110"/>
      <c r="I182" s="1661"/>
      <c r="J182" s="825"/>
      <c r="K182" s="1110"/>
      <c r="L182" s="1110"/>
      <c r="M182" s="1110"/>
      <c r="N182" s="1766"/>
      <c r="O182" s="1110"/>
    </row>
    <row r="183" spans="1:15" ht="13.5" hidden="1" thickBot="1" x14ac:dyDescent="0.45">
      <c r="A183" t="s">
        <v>1067</v>
      </c>
      <c r="B183" s="459">
        <f>BUDGET!AY183</f>
        <v>0</v>
      </c>
      <c r="C183" s="2240"/>
      <c r="D183" s="967" t="str">
        <f>BUDGET!A183</f>
        <v>ELEM. SCHOOLS: SUB-TOTAL</v>
      </c>
      <c r="E183" s="977">
        <f>BUDGET!AT183</f>
        <v>11419452</v>
      </c>
      <c r="F183" s="2216">
        <f>BUDGET!AX183</f>
        <v>0</v>
      </c>
      <c r="G183" s="2450" t="s">
        <v>1242</v>
      </c>
      <c r="H183" s="2245">
        <v>45363</v>
      </c>
      <c r="I183" s="977"/>
      <c r="J183" s="977"/>
      <c r="K183" s="1633"/>
      <c r="L183" s="1633"/>
      <c r="M183" s="1633"/>
      <c r="N183" s="2244"/>
      <c r="O183" s="2461"/>
    </row>
    <row r="184" spans="1:15" hidden="1" x14ac:dyDescent="0.35">
      <c r="A184" s="459" t="s">
        <v>363</v>
      </c>
      <c r="B184" s="459">
        <f>BUDGET!AY184</f>
        <v>0</v>
      </c>
      <c r="C184" s="459"/>
      <c r="D184" s="771" t="str">
        <f>BUDGET!A184</f>
        <v>PUBLIC WORKS &amp; FACILITIES</v>
      </c>
      <c r="E184" s="1618"/>
      <c r="F184" s="2217">
        <f>BUDGET!AX184</f>
        <v>0</v>
      </c>
      <c r="G184" s="1618"/>
      <c r="H184" s="1634"/>
      <c r="I184" s="1675"/>
      <c r="J184" s="1618"/>
      <c r="K184" s="1634"/>
      <c r="L184" s="1634"/>
      <c r="M184" s="1634"/>
      <c r="N184" s="1783"/>
      <c r="O184" s="1634"/>
    </row>
    <row r="185" spans="1:15" hidden="1" x14ac:dyDescent="0.35">
      <c r="A185" t="s">
        <v>363</v>
      </c>
      <c r="B185" s="459">
        <f>BUDGET!AY185</f>
        <v>0</v>
      </c>
      <c r="C185" s="459" t="str">
        <f>BUDGET!BC185</f>
        <v>x</v>
      </c>
      <c r="D185" s="779" t="str">
        <f>BUDGET!A185</f>
        <v>TOWN ENGINEER</v>
      </c>
      <c r="E185" s="825"/>
      <c r="F185" s="2197">
        <f>BUDGET!AX185</f>
        <v>0</v>
      </c>
      <c r="G185" s="825"/>
      <c r="H185" s="1110"/>
      <c r="I185" s="1661"/>
      <c r="J185" s="825"/>
      <c r="K185" s="1110"/>
      <c r="L185" s="1110"/>
      <c r="M185" s="1110"/>
      <c r="N185" s="1766"/>
      <c r="O185" s="1110"/>
    </row>
    <row r="186" spans="1:15" hidden="1" x14ac:dyDescent="0.35">
      <c r="A186" t="s">
        <v>363</v>
      </c>
      <c r="B186" s="459">
        <f>BUDGET!AY186</f>
        <v>0</v>
      </c>
      <c r="C186" s="459" t="str">
        <f>BUDGET!BC186</f>
        <v>x</v>
      </c>
      <c r="D186" s="779" t="str">
        <f>BUDGET!A186</f>
        <v xml:space="preserve">   SALARY</v>
      </c>
      <c r="E186" s="788"/>
      <c r="F186" s="2198">
        <f>BUDGET!AX186</f>
        <v>0</v>
      </c>
      <c r="G186" s="788"/>
      <c r="H186" s="841"/>
      <c r="I186" s="1656"/>
      <c r="J186" s="788"/>
      <c r="K186" s="841"/>
      <c r="L186" s="841"/>
      <c r="M186" s="841"/>
      <c r="N186" s="1761"/>
      <c r="O186" s="841"/>
    </row>
    <row r="187" spans="1:15" hidden="1" x14ac:dyDescent="0.35">
      <c r="A187" t="s">
        <v>363</v>
      </c>
      <c r="B187" s="459">
        <f>BUDGET!AY187</f>
        <v>0</v>
      </c>
      <c r="C187" s="459" t="str">
        <f>BUDGET!BC187</f>
        <v>x</v>
      </c>
      <c r="D187" s="779" t="str">
        <f>BUDGET!A187</f>
        <v xml:space="preserve">   WAGES</v>
      </c>
      <c r="E187" s="788"/>
      <c r="F187" s="2198">
        <f>BUDGET!AX187</f>
        <v>0</v>
      </c>
      <c r="G187" s="788"/>
      <c r="H187" s="841"/>
      <c r="I187" s="1656"/>
      <c r="J187" s="788"/>
      <c r="K187" s="841"/>
      <c r="L187" s="841"/>
      <c r="M187" s="841"/>
      <c r="N187" s="1761"/>
      <c r="O187" s="841"/>
    </row>
    <row r="188" spans="1:15" hidden="1" x14ac:dyDescent="0.35">
      <c r="A188" t="s">
        <v>363</v>
      </c>
      <c r="B188" s="459">
        <f>BUDGET!AY188</f>
        <v>0</v>
      </c>
      <c r="C188" s="459" t="str">
        <f>BUDGET!BC188</f>
        <v>x</v>
      </c>
      <c r="D188" s="779" t="str">
        <f>BUDGET!A188</f>
        <v xml:space="preserve">   OTHER</v>
      </c>
      <c r="E188" s="788"/>
      <c r="F188" s="2198">
        <f>BUDGET!AX188</f>
        <v>0</v>
      </c>
      <c r="G188" s="788"/>
      <c r="H188" s="841"/>
      <c r="I188" s="1656"/>
      <c r="J188" s="788"/>
      <c r="K188" s="841"/>
      <c r="L188" s="841"/>
      <c r="M188" s="841"/>
      <c r="N188" s="1761"/>
      <c r="O188" s="841"/>
    </row>
    <row r="189" spans="1:15" hidden="1" x14ac:dyDescent="0.35">
      <c r="A189" t="s">
        <v>363</v>
      </c>
      <c r="B189" s="459">
        <f>BUDGET!AY189</f>
        <v>0</v>
      </c>
      <c r="C189" s="459" t="str">
        <f>BUDGET!BC189</f>
        <v>x</v>
      </c>
      <c r="D189" s="842" t="str">
        <f>BUDGET!A189</f>
        <v xml:space="preserve">   TOTAL</v>
      </c>
      <c r="E189" s="785"/>
      <c r="F189" s="2201">
        <f>BUDGET!AX189</f>
        <v>0</v>
      </c>
      <c r="G189" s="785"/>
      <c r="H189" s="820"/>
      <c r="I189" s="1659"/>
      <c r="J189" s="785"/>
      <c r="K189" s="820"/>
      <c r="L189" s="820"/>
      <c r="M189" s="820"/>
      <c r="N189" s="1764"/>
      <c r="O189" s="820"/>
    </row>
    <row r="190" spans="1:15" hidden="1" x14ac:dyDescent="0.35">
      <c r="B190" s="459">
        <f>BUDGET!AY190</f>
        <v>0</v>
      </c>
      <c r="C190" s="459" t="str">
        <f>BUDGET!BC190</f>
        <v>x</v>
      </c>
      <c r="D190" s="929">
        <f>BUDGET!A190</f>
        <v>0</v>
      </c>
      <c r="E190" s="942"/>
      <c r="F190" s="2213">
        <f>BUDGET!AX190</f>
        <v>0</v>
      </c>
      <c r="G190" s="942"/>
      <c r="H190" s="939"/>
      <c r="I190" s="1670"/>
      <c r="J190" s="942"/>
      <c r="K190" s="939"/>
      <c r="L190" s="939"/>
      <c r="M190" s="939"/>
      <c r="N190" s="1778"/>
      <c r="O190" s="820"/>
    </row>
    <row r="191" spans="1:15" hidden="1" x14ac:dyDescent="0.35">
      <c r="A191" s="459" t="s">
        <v>875</v>
      </c>
      <c r="B191" s="459">
        <f>BUDGET!AY191</f>
        <v>0</v>
      </c>
      <c r="C191" s="459"/>
      <c r="D191" s="948" t="str">
        <f>BUDGET!A191</f>
        <v xml:space="preserve">STORM WATER </v>
      </c>
      <c r="E191" s="785"/>
      <c r="F191" s="2201">
        <f>BUDGET!AX191</f>
        <v>0</v>
      </c>
      <c r="G191" s="785"/>
      <c r="H191" s="820"/>
      <c r="I191" s="1659"/>
      <c r="J191" s="785"/>
      <c r="K191" s="820"/>
      <c r="L191" s="820"/>
      <c r="M191" s="820"/>
      <c r="N191" s="1764"/>
      <c r="O191" s="820"/>
    </row>
    <row r="192" spans="1:15" hidden="1" x14ac:dyDescent="0.35">
      <c r="A192" t="s">
        <v>875</v>
      </c>
      <c r="B192" s="459">
        <f>BUDGET!AY192</f>
        <v>0</v>
      </c>
      <c r="C192" s="459"/>
      <c r="D192" s="779" t="str">
        <f>BUDGET!A192</f>
        <v xml:space="preserve">   SALARY</v>
      </c>
      <c r="E192" s="785"/>
      <c r="F192" s="2201">
        <f>BUDGET!AX192</f>
        <v>0</v>
      </c>
      <c r="G192" s="785"/>
      <c r="H192" s="820"/>
      <c r="I192" s="1659"/>
      <c r="J192" s="785"/>
      <c r="K192" s="820"/>
      <c r="L192" s="820"/>
      <c r="M192" s="820"/>
      <c r="N192" s="1764"/>
      <c r="O192" s="820"/>
    </row>
    <row r="193" spans="1:15" hidden="1" x14ac:dyDescent="0.35">
      <c r="A193" t="s">
        <v>875</v>
      </c>
      <c r="B193" s="459">
        <f>BUDGET!AY193</f>
        <v>0</v>
      </c>
      <c r="C193" s="459"/>
      <c r="D193" s="779" t="str">
        <f>BUDGET!A193</f>
        <v xml:space="preserve">   WAGES</v>
      </c>
      <c r="E193" s="810">
        <v>7418</v>
      </c>
      <c r="F193" s="2200">
        <f>BUDGET!AX193</f>
        <v>0</v>
      </c>
      <c r="G193" s="810"/>
      <c r="H193" s="1110"/>
      <c r="I193" s="1658"/>
      <c r="J193" s="810"/>
      <c r="K193" s="1410"/>
      <c r="L193" s="1410"/>
      <c r="M193" s="1410"/>
      <c r="N193" s="1763"/>
      <c r="O193" s="1410"/>
    </row>
    <row r="194" spans="1:15" hidden="1" x14ac:dyDescent="0.35">
      <c r="A194" t="s">
        <v>875</v>
      </c>
      <c r="B194" s="459">
        <f>BUDGET!AY194</f>
        <v>0</v>
      </c>
      <c r="C194" s="459"/>
      <c r="D194" s="779" t="str">
        <f>BUDGET!A194</f>
        <v xml:space="preserve">   OTHER</v>
      </c>
      <c r="E194" s="810">
        <v>25000</v>
      </c>
      <c r="F194" s="2200">
        <f>BUDGET!AX194</f>
        <v>0</v>
      </c>
      <c r="G194" s="810"/>
      <c r="H194" s="2241"/>
      <c r="I194" s="1656" t="str">
        <f t="shared" ref="I194" si="1">IF(B194="yes",F194,"")</f>
        <v/>
      </c>
      <c r="J194" s="788"/>
      <c r="K194" s="841"/>
      <c r="L194" s="841"/>
      <c r="M194" s="841"/>
      <c r="N194" s="2243"/>
      <c r="O194" s="2457"/>
    </row>
    <row r="195" spans="1:15" ht="13.15" hidden="1" x14ac:dyDescent="0.4">
      <c r="A195" t="s">
        <v>875</v>
      </c>
      <c r="B195" s="459">
        <f>BUDGET!AY195</f>
        <v>0</v>
      </c>
      <c r="C195" s="459"/>
      <c r="D195" s="842" t="str">
        <f>BUDGET!A195</f>
        <v xml:space="preserve">   TOTAL</v>
      </c>
      <c r="E195" s="785">
        <v>32418</v>
      </c>
      <c r="F195" s="2201">
        <f>BUDGET!AX195</f>
        <v>0</v>
      </c>
      <c r="G195" s="2439" t="s">
        <v>1232</v>
      </c>
      <c r="H195" s="2058">
        <v>45363</v>
      </c>
      <c r="I195" s="1659"/>
      <c r="J195" s="785"/>
      <c r="K195" s="820"/>
      <c r="L195" s="820"/>
      <c r="M195" s="820"/>
      <c r="N195" s="1764"/>
      <c r="O195" s="820"/>
    </row>
    <row r="196" spans="1:15" hidden="1" x14ac:dyDescent="0.35">
      <c r="B196" s="459">
        <f>BUDGET!AY196</f>
        <v>0</v>
      </c>
      <c r="C196" s="459"/>
      <c r="D196" s="821"/>
      <c r="E196" s="942"/>
      <c r="F196" s="2213">
        <f>BUDGET!AX196</f>
        <v>0</v>
      </c>
      <c r="G196" s="942"/>
      <c r="H196" s="939"/>
      <c r="I196" s="1670"/>
      <c r="J196" s="942"/>
      <c r="K196" s="939"/>
      <c r="L196" s="939"/>
      <c r="M196" s="939"/>
      <c r="N196" s="1778"/>
      <c r="O196" s="820"/>
    </row>
    <row r="197" spans="1:15" hidden="1" x14ac:dyDescent="0.35">
      <c r="A197" s="459" t="s">
        <v>491</v>
      </c>
      <c r="B197" s="459">
        <f>BUDGET!AY197</f>
        <v>0</v>
      </c>
      <c r="C197" s="459"/>
      <c r="D197" s="779" t="str">
        <f>BUDGET!A197</f>
        <v xml:space="preserve">MSW COLLECTION,HHW &amp; RECYCLING </v>
      </c>
      <c r="E197" s="785"/>
      <c r="F197" s="2201">
        <f>BUDGET!AX197</f>
        <v>0</v>
      </c>
      <c r="G197" s="785"/>
      <c r="H197" s="820"/>
      <c r="I197" s="1659"/>
      <c r="J197" s="785"/>
      <c r="K197" s="820"/>
      <c r="L197" s="820"/>
      <c r="M197" s="820"/>
      <c r="N197" s="1764"/>
      <c r="O197" s="820"/>
    </row>
    <row r="198" spans="1:15" ht="13.15" x14ac:dyDescent="0.4">
      <c r="A198" t="s">
        <v>491</v>
      </c>
      <c r="B198" s="459">
        <f>BUDGET!AY198</f>
        <v>1</v>
      </c>
      <c r="C198" s="459"/>
      <c r="D198" s="779" t="str">
        <f>BUDGET!A198</f>
        <v xml:space="preserve">   SERVICES</v>
      </c>
      <c r="E198" s="810">
        <v>574500</v>
      </c>
      <c r="F198" s="2200">
        <f>IF(_xlfn.NUMBERVALUE(J198)=0,0,I198)+IF(_xlfn.NUMBERVALUE(L198)=0,0,K198)+IF(_xlfn.NUMBERVALUE(N198)=0,0,M198)</f>
        <v>120500</v>
      </c>
      <c r="G198" s="2446" t="s">
        <v>1232</v>
      </c>
      <c r="H198" s="2196">
        <v>45363</v>
      </c>
      <c r="I198" s="1958">
        <v>120000</v>
      </c>
      <c r="J198" s="2477">
        <v>45363</v>
      </c>
      <c r="K198" s="2480">
        <v>500</v>
      </c>
      <c r="L198" s="2477">
        <v>45363</v>
      </c>
      <c r="M198" s="2480"/>
      <c r="N198" s="2243"/>
      <c r="O198" s="725"/>
    </row>
    <row r="199" spans="1:15" ht="13.15" hidden="1" x14ac:dyDescent="0.4">
      <c r="A199" t="s">
        <v>491</v>
      </c>
      <c r="B199" s="459">
        <f>BUDGET!AY199</f>
        <v>0</v>
      </c>
      <c r="C199" s="459"/>
      <c r="D199" s="842" t="str">
        <f>BUDGET!A199</f>
        <v xml:space="preserve">   TOTAL</v>
      </c>
      <c r="E199" s="785">
        <v>574500</v>
      </c>
      <c r="F199" s="2201">
        <f>BUDGET!AX199</f>
        <v>0</v>
      </c>
      <c r="G199" s="2439" t="s">
        <v>1232</v>
      </c>
      <c r="H199" s="2058">
        <v>45363</v>
      </c>
      <c r="I199" s="1659"/>
      <c r="J199" s="785"/>
      <c r="K199" s="820"/>
      <c r="L199" s="820"/>
      <c r="M199" s="820"/>
      <c r="N199" s="1764"/>
      <c r="O199" s="820"/>
    </row>
    <row r="200" spans="1:15" hidden="1" x14ac:dyDescent="0.35">
      <c r="B200" s="459">
        <f>BUDGET!AY200</f>
        <v>0</v>
      </c>
      <c r="C200" s="459"/>
      <c r="D200" s="821"/>
      <c r="E200" s="942"/>
      <c r="F200" s="2213">
        <f>BUDGET!AX200</f>
        <v>0</v>
      </c>
      <c r="G200" s="942"/>
      <c r="H200" s="939"/>
      <c r="I200" s="1670"/>
      <c r="J200" s="942"/>
      <c r="K200" s="939"/>
      <c r="L200" s="939"/>
      <c r="M200" s="939"/>
      <c r="N200" s="1778"/>
      <c r="O200" s="820"/>
    </row>
    <row r="201" spans="1:15" hidden="1" x14ac:dyDescent="0.35">
      <c r="A201" s="459" t="s">
        <v>492</v>
      </c>
      <c r="B201" s="459">
        <f>BUDGET!AY201</f>
        <v>0</v>
      </c>
      <c r="C201" s="459"/>
      <c r="D201" s="987" t="str">
        <f>BUDGET!A201</f>
        <v>RECYCLING</v>
      </c>
      <c r="E201" s="785"/>
      <c r="F201" s="2201">
        <f>BUDGET!AX201</f>
        <v>0</v>
      </c>
      <c r="G201" s="785"/>
      <c r="H201" s="820"/>
      <c r="I201" s="1659"/>
      <c r="J201" s="785"/>
      <c r="K201" s="820"/>
      <c r="L201" s="820"/>
      <c r="M201" s="820"/>
      <c r="N201" s="1764"/>
      <c r="O201" s="820"/>
    </row>
    <row r="202" spans="1:15" hidden="1" x14ac:dyDescent="0.35">
      <c r="A202" t="s">
        <v>492</v>
      </c>
      <c r="B202" s="459">
        <f>BUDGET!AY202</f>
        <v>0</v>
      </c>
      <c r="C202" s="459"/>
      <c r="D202" s="779" t="str">
        <f>BUDGET!A202</f>
        <v xml:space="preserve">   WAGES</v>
      </c>
      <c r="E202" s="788"/>
      <c r="F202" s="2198">
        <f>BUDGET!AX202</f>
        <v>0</v>
      </c>
      <c r="G202" s="788"/>
      <c r="H202" s="841"/>
      <c r="I202" s="1656"/>
      <c r="J202" s="788"/>
      <c r="K202" s="841"/>
      <c r="L202" s="841"/>
      <c r="M202" s="841"/>
      <c r="N202" s="1761"/>
      <c r="O202" s="841"/>
    </row>
    <row r="203" spans="1:15" hidden="1" x14ac:dyDescent="0.35">
      <c r="A203" t="s">
        <v>492</v>
      </c>
      <c r="B203" s="459">
        <f>BUDGET!AY203</f>
        <v>0</v>
      </c>
      <c r="C203" s="459"/>
      <c r="D203" s="779" t="str">
        <f>BUDGET!A203</f>
        <v xml:space="preserve">   OTHER</v>
      </c>
      <c r="E203" s="810">
        <v>1650</v>
      </c>
      <c r="F203" s="2200">
        <f>BUDGET!AX203</f>
        <v>0</v>
      </c>
      <c r="G203" s="810"/>
      <c r="H203" s="1110"/>
      <c r="I203" s="1658"/>
      <c r="J203" s="810"/>
      <c r="K203" s="1410"/>
      <c r="L203" s="1410"/>
      <c r="M203" s="1410"/>
      <c r="N203" s="1763"/>
      <c r="O203" s="1410"/>
    </row>
    <row r="204" spans="1:15" ht="13.15" hidden="1" x14ac:dyDescent="0.4">
      <c r="A204" t="s">
        <v>492</v>
      </c>
      <c r="B204" s="459">
        <f>BUDGET!AY204</f>
        <v>0</v>
      </c>
      <c r="C204" s="459"/>
      <c r="D204" s="842" t="str">
        <f>BUDGET!A204</f>
        <v xml:space="preserve">   TOTAL</v>
      </c>
      <c r="E204" s="785">
        <v>1650</v>
      </c>
      <c r="F204" s="2201">
        <f>BUDGET!AX204</f>
        <v>0</v>
      </c>
      <c r="G204" s="2439" t="s">
        <v>1232</v>
      </c>
      <c r="H204" s="2058">
        <v>45363</v>
      </c>
      <c r="I204" s="1659"/>
      <c r="J204" s="785"/>
      <c r="K204" s="820"/>
      <c r="L204" s="820"/>
      <c r="M204" s="820"/>
      <c r="N204" s="1764"/>
      <c r="O204" s="820"/>
    </row>
    <row r="205" spans="1:15" hidden="1" x14ac:dyDescent="0.35">
      <c r="B205" s="459">
        <f>BUDGET!AY205</f>
        <v>0</v>
      </c>
      <c r="C205" s="459"/>
      <c r="D205" s="821"/>
      <c r="E205" s="942"/>
      <c r="F205" s="2213">
        <f>BUDGET!AX205</f>
        <v>0</v>
      </c>
      <c r="G205" s="942"/>
      <c r="H205" s="939"/>
      <c r="I205" s="1670"/>
      <c r="J205" s="942"/>
      <c r="K205" s="939"/>
      <c r="L205" s="939"/>
      <c r="M205" s="939"/>
      <c r="N205" s="1778"/>
      <c r="O205" s="820"/>
    </row>
    <row r="206" spans="1:15" hidden="1" x14ac:dyDescent="0.35">
      <c r="A206" t="s">
        <v>1146</v>
      </c>
      <c r="B206" s="459">
        <f>BUDGET!AY206</f>
        <v>0</v>
      </c>
      <c r="C206" s="459"/>
      <c r="D206" s="1436" t="str">
        <f>BUDGET!A206</f>
        <v>GAS DISTRUTION</v>
      </c>
      <c r="E206" s="785"/>
      <c r="F206" s="2201">
        <f>BUDGET!AX206</f>
        <v>0</v>
      </c>
      <c r="G206" s="785"/>
      <c r="H206" s="820"/>
      <c r="I206" s="1659"/>
      <c r="J206" s="785"/>
      <c r="K206" s="820"/>
      <c r="L206" s="820"/>
      <c r="M206" s="820"/>
      <c r="N206" s="1764"/>
      <c r="O206" s="820"/>
    </row>
    <row r="207" spans="1:15" hidden="1" x14ac:dyDescent="0.35">
      <c r="A207" t="s">
        <v>1146</v>
      </c>
      <c r="B207" s="459">
        <f>BUDGET!AY207</f>
        <v>0</v>
      </c>
      <c r="C207" s="459"/>
      <c r="D207" s="779"/>
      <c r="E207" s="785"/>
      <c r="F207" s="2201">
        <f>BUDGET!AX207</f>
        <v>0</v>
      </c>
      <c r="G207" s="785"/>
      <c r="H207" s="820"/>
      <c r="I207" s="1659"/>
      <c r="J207" s="785"/>
      <c r="K207" s="820"/>
      <c r="L207" s="820"/>
      <c r="M207" s="820"/>
      <c r="N207" s="1764"/>
      <c r="O207" s="820"/>
    </row>
    <row r="208" spans="1:15" x14ac:dyDescent="0.35">
      <c r="A208" t="s">
        <v>1146</v>
      </c>
      <c r="B208" s="459">
        <v>1</v>
      </c>
      <c r="C208" s="459"/>
      <c r="D208" s="1436" t="str">
        <f>BUDGET!A208</f>
        <v>OTHER</v>
      </c>
      <c r="E208" s="788">
        <v>65000</v>
      </c>
      <c r="F208" s="2200">
        <f>IF(_xlfn.NUMBERVALUE(J208)=0,0,I208)+IF(_xlfn.NUMBERVALUE(L208)=0,0,K208)+IF(_xlfn.NUMBERVALUE(N208)=0,0,M208)</f>
        <v>0</v>
      </c>
      <c r="G208" s="785"/>
      <c r="H208" s="2443"/>
      <c r="I208" s="1958">
        <v>0</v>
      </c>
      <c r="J208" s="2510"/>
      <c r="K208" s="2480"/>
      <c r="L208" s="2480"/>
      <c r="M208" s="2480"/>
      <c r="N208" s="2243"/>
      <c r="O208" s="725"/>
    </row>
    <row r="209" spans="1:15" ht="13.15" hidden="1" x14ac:dyDescent="0.4">
      <c r="A209" t="s">
        <v>1146</v>
      </c>
      <c r="B209" s="459">
        <f>BUDGET!AY209</f>
        <v>0</v>
      </c>
      <c r="C209" s="459"/>
      <c r="D209" s="842" t="str">
        <f>BUDGET!A209</f>
        <v xml:space="preserve">   TOTAL</v>
      </c>
      <c r="E209" s="785">
        <v>65000</v>
      </c>
      <c r="F209" s="2201">
        <f>BUDGET!AX209</f>
        <v>0</v>
      </c>
      <c r="G209" s="2439" t="s">
        <v>1232</v>
      </c>
      <c r="H209" s="2058">
        <v>45363</v>
      </c>
      <c r="I209" s="1659"/>
      <c r="J209" s="785"/>
      <c r="K209" s="820"/>
      <c r="L209" s="820"/>
      <c r="M209" s="820"/>
      <c r="N209" s="1764"/>
      <c r="O209" s="820"/>
    </row>
    <row r="210" spans="1:15" hidden="1" x14ac:dyDescent="0.35">
      <c r="B210" s="459">
        <f>BUDGET!AY210</f>
        <v>0</v>
      </c>
      <c r="C210" s="459"/>
      <c r="D210" s="821"/>
      <c r="E210" s="785"/>
      <c r="F210" s="2201">
        <f>BUDGET!AX210</f>
        <v>0</v>
      </c>
      <c r="G210" s="785"/>
      <c r="H210" s="820"/>
      <c r="I210" s="1659"/>
      <c r="J210" s="785"/>
      <c r="K210" s="820"/>
      <c r="L210" s="820"/>
      <c r="M210" s="820"/>
      <c r="N210" s="1764"/>
      <c r="O210" s="820"/>
    </row>
    <row r="211" spans="1:15" hidden="1" x14ac:dyDescent="0.35">
      <c r="A211" s="459" t="s">
        <v>149</v>
      </c>
      <c r="B211" s="459">
        <f>BUDGET!AY211</f>
        <v>0</v>
      </c>
      <c r="C211" s="459"/>
      <c r="D211" s="987" t="str">
        <f>BUDGET!A211</f>
        <v>PARK AND CEMETERY</v>
      </c>
      <c r="E211" s="1431"/>
      <c r="F211" s="2201">
        <f>BUDGET!AX211</f>
        <v>0</v>
      </c>
      <c r="G211" s="785"/>
      <c r="H211" s="820"/>
      <c r="I211" s="1659"/>
      <c r="J211" s="785"/>
      <c r="K211" s="820"/>
      <c r="L211" s="820"/>
      <c r="M211" s="820"/>
      <c r="N211" s="1764"/>
      <c r="O211" s="820"/>
    </row>
    <row r="212" spans="1:15" hidden="1" x14ac:dyDescent="0.35">
      <c r="A212" t="s">
        <v>149</v>
      </c>
      <c r="B212" s="459">
        <f>BUDGET!AY212</f>
        <v>0</v>
      </c>
      <c r="C212" s="459"/>
      <c r="D212" s="779" t="str">
        <f>BUDGET!A212</f>
        <v xml:space="preserve">   SALARY</v>
      </c>
      <c r="E212" s="810">
        <v>47723</v>
      </c>
      <c r="F212" s="2200">
        <f>BUDGET!AX212</f>
        <v>0</v>
      </c>
      <c r="G212" s="810"/>
      <c r="H212" s="1110"/>
      <c r="I212" s="1658"/>
      <c r="J212" s="810"/>
      <c r="K212" s="1410"/>
      <c r="L212" s="1410"/>
      <c r="M212" s="1410"/>
      <c r="N212" s="1763"/>
      <c r="O212" s="1410"/>
    </row>
    <row r="213" spans="1:15" hidden="1" x14ac:dyDescent="0.35">
      <c r="A213" t="s">
        <v>149</v>
      </c>
      <c r="B213" s="459">
        <f>BUDGET!AY213</f>
        <v>0</v>
      </c>
      <c r="C213" s="459"/>
      <c r="D213" s="1436" t="str">
        <f>BUDGET!A213</f>
        <v xml:space="preserve">   WAGES</v>
      </c>
      <c r="E213" s="810">
        <v>193894</v>
      </c>
      <c r="F213" s="2200">
        <f>BUDGET!AX213</f>
        <v>0</v>
      </c>
      <c r="G213" s="810"/>
      <c r="H213" s="2242"/>
      <c r="I213" s="1656" t="str">
        <f t="shared" ref="I213" si="2">IF(B213="yes",F213,"")</f>
        <v/>
      </c>
      <c r="J213" s="788"/>
      <c r="K213" s="841"/>
      <c r="L213" s="841"/>
      <c r="M213" s="841"/>
      <c r="N213" s="2243"/>
      <c r="O213" s="2457"/>
    </row>
    <row r="214" spans="1:15" hidden="1" x14ac:dyDescent="0.35">
      <c r="A214" t="s">
        <v>149</v>
      </c>
      <c r="B214" s="459">
        <f>BUDGET!AY214</f>
        <v>0</v>
      </c>
      <c r="C214" s="459"/>
      <c r="D214" s="779" t="str">
        <f>BUDGET!A214</f>
        <v xml:space="preserve">   OTHER</v>
      </c>
      <c r="E214" s="810">
        <v>105970</v>
      </c>
      <c r="F214" s="2200">
        <f>BUDGET!AX214</f>
        <v>0</v>
      </c>
      <c r="G214" s="810"/>
      <c r="H214" s="1110"/>
      <c r="I214" s="1658"/>
      <c r="J214" s="897"/>
      <c r="K214" s="1625"/>
      <c r="L214" s="1625"/>
      <c r="M214" s="1625"/>
      <c r="N214" s="2057"/>
      <c r="O214" s="2458"/>
    </row>
    <row r="215" spans="1:15" hidden="1" x14ac:dyDescent="0.35">
      <c r="A215" t="s">
        <v>149</v>
      </c>
      <c r="B215" s="459">
        <f>BUDGET!AY215</f>
        <v>0</v>
      </c>
      <c r="C215" s="459"/>
      <c r="D215" s="779" t="str">
        <f>BUDGET!A215</f>
        <v xml:space="preserve">   SALE OF LOTS</v>
      </c>
      <c r="E215" s="788"/>
      <c r="F215" s="2198">
        <f>BUDGET!AX215</f>
        <v>0</v>
      </c>
      <c r="G215" s="788"/>
      <c r="H215" s="841"/>
      <c r="I215" s="1656"/>
      <c r="J215" s="788"/>
      <c r="K215" s="841"/>
      <c r="L215" s="841"/>
      <c r="M215" s="841"/>
      <c r="N215" s="1761"/>
      <c r="O215" s="841"/>
    </row>
    <row r="216" spans="1:15" hidden="1" x14ac:dyDescent="0.35">
      <c r="A216" t="s">
        <v>149</v>
      </c>
      <c r="B216" s="459">
        <f>BUDGET!AY216</f>
        <v>0</v>
      </c>
      <c r="C216" s="459"/>
      <c r="D216" s="779" t="str">
        <f>BUDGET!A216</f>
        <v xml:space="preserve">   PERPETUAL CARE TRUST FUND</v>
      </c>
      <c r="E216" s="827"/>
      <c r="F216" s="2207">
        <f>BUDGET!AX216</f>
        <v>0</v>
      </c>
      <c r="G216" s="827"/>
      <c r="H216" s="1127"/>
      <c r="I216" s="1666"/>
      <c r="J216" s="827"/>
      <c r="K216" s="1127"/>
      <c r="L216" s="1127"/>
      <c r="M216" s="1127"/>
      <c r="N216" s="1771"/>
      <c r="O216" s="1127"/>
    </row>
    <row r="217" spans="1:15" ht="13.15" hidden="1" x14ac:dyDescent="0.4">
      <c r="A217" t="s">
        <v>149</v>
      </c>
      <c r="B217" s="459">
        <f>BUDGET!AY217</f>
        <v>0</v>
      </c>
      <c r="C217" s="459"/>
      <c r="D217" s="842" t="str">
        <f>BUDGET!A217</f>
        <v xml:space="preserve">   TOTAL</v>
      </c>
      <c r="E217" s="785">
        <v>347587</v>
      </c>
      <c r="F217" s="2201">
        <f>BUDGET!AX217</f>
        <v>0</v>
      </c>
      <c r="G217" s="2439" t="s">
        <v>1232</v>
      </c>
      <c r="H217" s="2058">
        <v>45363</v>
      </c>
      <c r="I217" s="1659"/>
      <c r="J217" s="785"/>
      <c r="K217" s="820"/>
      <c r="L217" s="820"/>
      <c r="M217" s="820"/>
      <c r="N217" s="1764"/>
      <c r="O217" s="820"/>
    </row>
    <row r="218" spans="1:15" hidden="1" x14ac:dyDescent="0.35">
      <c r="B218" s="459">
        <f>BUDGET!AY218</f>
        <v>0</v>
      </c>
      <c r="C218" s="459"/>
      <c r="D218" s="821"/>
      <c r="E218" s="785"/>
      <c r="F218" s="2201">
        <f>BUDGET!AX218</f>
        <v>0</v>
      </c>
      <c r="G218" s="785"/>
      <c r="H218" s="820"/>
      <c r="I218" s="1659"/>
      <c r="J218" s="785"/>
      <c r="K218" s="820"/>
      <c r="L218" s="820"/>
      <c r="M218" s="820"/>
      <c r="N218" s="1764"/>
      <c r="O218" s="820"/>
    </row>
    <row r="219" spans="1:15" hidden="1" x14ac:dyDescent="0.35">
      <c r="A219" s="459" t="s">
        <v>937</v>
      </c>
      <c r="B219" s="459">
        <f>BUDGET!AY219</f>
        <v>0</v>
      </c>
      <c r="C219" s="459"/>
      <c r="D219" s="1435" t="str">
        <f>BUDGET!A219</f>
        <v>LANDFILL</v>
      </c>
      <c r="E219" s="1431"/>
      <c r="F219" s="2218">
        <f>BUDGET!AX219</f>
        <v>0</v>
      </c>
      <c r="G219" s="1431"/>
      <c r="H219" s="1635"/>
      <c r="I219" s="1676"/>
      <c r="J219" s="1431"/>
      <c r="K219" s="1635"/>
      <c r="L219" s="1635"/>
      <c r="M219" s="1635"/>
      <c r="N219" s="1784"/>
      <c r="O219" s="820"/>
    </row>
    <row r="220" spans="1:15" hidden="1" x14ac:dyDescent="0.35">
      <c r="A220" t="s">
        <v>937</v>
      </c>
      <c r="B220" s="459">
        <f>BUDGET!AY220</f>
        <v>0</v>
      </c>
      <c r="C220" s="459"/>
      <c r="D220" s="1436" t="str">
        <f>BUDGET!A220</f>
        <v xml:space="preserve">   OTHER</v>
      </c>
      <c r="E220" s="788">
        <v>32600</v>
      </c>
      <c r="F220" s="2198">
        <f>BUDGET!AX220</f>
        <v>0</v>
      </c>
      <c r="G220" s="788"/>
      <c r="H220" s="2241"/>
      <c r="I220" s="1656" t="str">
        <f t="shared" ref="I220" si="3">IF(B220="yes",F220,"")</f>
        <v/>
      </c>
      <c r="J220" s="788"/>
      <c r="K220" s="841"/>
      <c r="L220" s="841"/>
      <c r="M220" s="841"/>
      <c r="N220" s="2243"/>
      <c r="O220" s="2457"/>
    </row>
    <row r="221" spans="1:15" ht="13.15" hidden="1" x14ac:dyDescent="0.4">
      <c r="A221" t="s">
        <v>937</v>
      </c>
      <c r="B221" s="459">
        <f>BUDGET!AY221</f>
        <v>0</v>
      </c>
      <c r="C221" s="459"/>
      <c r="D221" s="842" t="str">
        <f>BUDGET!A221</f>
        <v xml:space="preserve">   TOTAL</v>
      </c>
      <c r="E221" s="785">
        <v>32600</v>
      </c>
      <c r="F221" s="2201">
        <f>BUDGET!AX221</f>
        <v>0</v>
      </c>
      <c r="G221" s="2439" t="s">
        <v>1232</v>
      </c>
      <c r="H221" s="2058">
        <v>45363</v>
      </c>
      <c r="I221" s="1659"/>
      <c r="J221" s="785"/>
      <c r="K221" s="820"/>
      <c r="L221" s="820"/>
      <c r="M221" s="820"/>
      <c r="N221" s="1764"/>
      <c r="O221" s="820"/>
    </row>
    <row r="222" spans="1:15" hidden="1" x14ac:dyDescent="0.35">
      <c r="B222" s="459">
        <f>BUDGET!AY222</f>
        <v>0</v>
      </c>
      <c r="C222" s="459"/>
      <c r="D222" s="821"/>
      <c r="E222" s="822"/>
      <c r="F222" s="2202">
        <f>BUDGET!AX222</f>
        <v>0</v>
      </c>
      <c r="G222" s="822"/>
      <c r="H222" s="1160"/>
      <c r="I222" s="1660"/>
      <c r="J222" s="822"/>
      <c r="K222" s="1160"/>
      <c r="L222" s="1160"/>
      <c r="M222" s="1160"/>
      <c r="N222" s="1765"/>
      <c r="O222" s="1110"/>
    </row>
    <row r="223" spans="1:15" hidden="1" x14ac:dyDescent="0.35">
      <c r="A223" s="459" t="s">
        <v>365</v>
      </c>
      <c r="B223" s="459">
        <f>BUDGET!AY223</f>
        <v>0</v>
      </c>
      <c r="C223" s="459"/>
      <c r="D223" s="779" t="str">
        <f>BUDGET!A223</f>
        <v>GENERAL HIGHWAY</v>
      </c>
      <c r="E223" s="825"/>
      <c r="F223" s="2197">
        <f>BUDGET!AX223</f>
        <v>0</v>
      </c>
      <c r="G223" s="825"/>
      <c r="H223" s="1110"/>
      <c r="I223" s="1661"/>
      <c r="J223" s="825"/>
      <c r="K223" s="1110"/>
      <c r="L223" s="1110"/>
      <c r="M223" s="1110"/>
      <c r="N223" s="1766"/>
      <c r="O223" s="1110"/>
    </row>
    <row r="224" spans="1:15" hidden="1" x14ac:dyDescent="0.35">
      <c r="A224" t="s">
        <v>365</v>
      </c>
      <c r="B224" s="459">
        <f>BUDGET!AY224</f>
        <v>0</v>
      </c>
      <c r="C224" s="459"/>
      <c r="D224" s="779" t="str">
        <f>BUDGET!A224</f>
        <v xml:space="preserve">   SALARY</v>
      </c>
      <c r="E224" s="810">
        <v>71584</v>
      </c>
      <c r="F224" s="2200">
        <f>BUDGET!AX224</f>
        <v>0</v>
      </c>
      <c r="G224" s="810"/>
      <c r="H224" s="1110"/>
      <c r="I224" s="1658"/>
      <c r="J224" s="810"/>
      <c r="K224" s="1410"/>
      <c r="L224" s="1410"/>
      <c r="M224" s="1410"/>
      <c r="N224" s="1763"/>
      <c r="O224" s="1410"/>
    </row>
    <row r="225" spans="1:15" hidden="1" x14ac:dyDescent="0.35">
      <c r="A225" t="s">
        <v>365</v>
      </c>
      <c r="B225" s="459">
        <f>BUDGET!AY225</f>
        <v>0</v>
      </c>
      <c r="C225" s="459"/>
      <c r="D225" s="779" t="str">
        <f>BUDGET!A225</f>
        <v xml:space="preserve">   WAGES</v>
      </c>
      <c r="E225" s="810">
        <v>360111</v>
      </c>
      <c r="F225" s="2200">
        <f>BUDGET!AX225</f>
        <v>0</v>
      </c>
      <c r="G225" s="810"/>
      <c r="H225" s="1110"/>
      <c r="I225" s="1658"/>
      <c r="J225" s="810"/>
      <c r="K225" s="1410"/>
      <c r="L225" s="1410"/>
      <c r="M225" s="1410"/>
      <c r="N225" s="1763"/>
      <c r="O225" s="1410"/>
    </row>
    <row r="226" spans="1:15" hidden="1" x14ac:dyDescent="0.35">
      <c r="A226" t="s">
        <v>365</v>
      </c>
      <c r="B226" s="459">
        <f>BUDGET!AY226</f>
        <v>0</v>
      </c>
      <c r="C226" s="459"/>
      <c r="D226" s="779" t="str">
        <f>BUDGET!A226</f>
        <v xml:space="preserve">   CAPITAL  (LEASES)</v>
      </c>
      <c r="E226" s="810"/>
      <c r="F226" s="2200">
        <f>BUDGET!AX226</f>
        <v>0</v>
      </c>
      <c r="G226" s="810"/>
      <c r="H226" s="1110"/>
      <c r="I226" s="1658"/>
      <c r="J226" s="810"/>
      <c r="K226" s="1410"/>
      <c r="L226" s="1410"/>
      <c r="M226" s="1410"/>
      <c r="N226" s="1763"/>
      <c r="O226" s="1410"/>
    </row>
    <row r="227" spans="1:15" hidden="1" x14ac:dyDescent="0.35">
      <c r="A227" t="s">
        <v>365</v>
      </c>
      <c r="B227" s="459">
        <f>BUDGET!AY227</f>
        <v>0</v>
      </c>
      <c r="C227" s="459"/>
      <c r="D227" s="779" t="str">
        <f>BUDGET!A227</f>
        <v xml:space="preserve">   ROADS &amp; BRIDGES</v>
      </c>
      <c r="E227" s="810">
        <v>74067</v>
      </c>
      <c r="F227" s="2200">
        <f>BUDGET!AX227</f>
        <v>0</v>
      </c>
      <c r="G227" s="810"/>
      <c r="H227" s="1110"/>
      <c r="I227" s="1658"/>
      <c r="J227" s="810"/>
      <c r="K227" s="1410"/>
      <c r="L227" s="1410"/>
      <c r="M227" s="1410"/>
      <c r="N227" s="1763"/>
      <c r="O227" s="1410"/>
    </row>
    <row r="228" spans="1:15" hidden="1" x14ac:dyDescent="0.35">
      <c r="A228" t="s">
        <v>365</v>
      </c>
      <c r="B228" s="459">
        <f>BUDGET!AY228</f>
        <v>0</v>
      </c>
      <c r="C228" s="459"/>
      <c r="D228" s="779" t="str">
        <f>BUDGET!A228</f>
        <v xml:space="preserve">   SUPPLIES, SERVICES</v>
      </c>
      <c r="E228" s="810">
        <v>119509</v>
      </c>
      <c r="F228" s="2200">
        <f>BUDGET!AX228</f>
        <v>0</v>
      </c>
      <c r="G228" s="810"/>
      <c r="H228" s="1110"/>
      <c r="I228" s="1658"/>
      <c r="J228" s="810"/>
      <c r="K228" s="1410"/>
      <c r="L228" s="1410"/>
      <c r="M228" s="1410"/>
      <c r="N228" s="1763"/>
      <c r="O228" s="1410"/>
    </row>
    <row r="229" spans="1:15" hidden="1" x14ac:dyDescent="0.35">
      <c r="A229" t="s">
        <v>365</v>
      </c>
      <c r="B229" s="459">
        <f>BUDGET!AY229</f>
        <v>0</v>
      </c>
      <c r="C229" s="459"/>
      <c r="D229" s="779" t="str">
        <f>BUDGET!A229</f>
        <v xml:space="preserve"> DIESEL &amp; GASOLINE</v>
      </c>
      <c r="E229" s="810"/>
      <c r="F229" s="2200">
        <f>BUDGET!AX229</f>
        <v>0</v>
      </c>
      <c r="G229" s="810"/>
      <c r="H229" s="1110"/>
      <c r="I229" s="1658"/>
      <c r="J229" s="810"/>
      <c r="K229" s="1410"/>
      <c r="L229" s="1410"/>
      <c r="M229" s="1410"/>
      <c r="N229" s="1763"/>
      <c r="O229" s="1410"/>
    </row>
    <row r="230" spans="1:15" ht="13.15" hidden="1" x14ac:dyDescent="0.4">
      <c r="A230" t="s">
        <v>365</v>
      </c>
      <c r="B230" s="459">
        <f>BUDGET!AY230</f>
        <v>0</v>
      </c>
      <c r="C230" s="459"/>
      <c r="D230" s="842" t="str">
        <f>BUDGET!A230</f>
        <v xml:space="preserve">   TOTAL</v>
      </c>
      <c r="E230" s="785">
        <v>625271</v>
      </c>
      <c r="F230" s="2201">
        <f>BUDGET!AX230</f>
        <v>0</v>
      </c>
      <c r="G230" s="2439" t="s">
        <v>1232</v>
      </c>
      <c r="H230" s="2058">
        <v>45363</v>
      </c>
      <c r="I230" s="1659"/>
      <c r="J230" s="785"/>
      <c r="K230" s="820"/>
      <c r="L230" s="820"/>
      <c r="M230" s="820"/>
      <c r="N230" s="1764"/>
      <c r="O230" s="820"/>
    </row>
    <row r="231" spans="1:15" hidden="1" x14ac:dyDescent="0.35">
      <c r="B231" s="459">
        <f>BUDGET!AY231</f>
        <v>0</v>
      </c>
      <c r="C231" s="459"/>
      <c r="D231" s="821" t="str">
        <f>BUDGET!A231</f>
        <v xml:space="preserve"> </v>
      </c>
      <c r="E231" s="797"/>
      <c r="F231" s="2202">
        <f>BUDGET!AX231</f>
        <v>0</v>
      </c>
      <c r="G231" s="797"/>
      <c r="H231" s="1636"/>
      <c r="I231" s="1677"/>
      <c r="J231" s="797"/>
      <c r="K231" s="1636"/>
      <c r="L231" s="1636"/>
      <c r="M231" s="1636"/>
      <c r="N231" s="1785"/>
      <c r="O231" s="979"/>
    </row>
    <row r="232" spans="1:15" hidden="1" x14ac:dyDescent="0.35">
      <c r="A232" s="459" t="s">
        <v>219</v>
      </c>
      <c r="B232" s="459">
        <f>BUDGET!AY232</f>
        <v>0</v>
      </c>
      <c r="C232" s="459"/>
      <c r="D232" s="779" t="str">
        <f>BUDGET!A232</f>
        <v>SNOW AND ICE</v>
      </c>
      <c r="E232" s="825"/>
      <c r="F232" s="2197">
        <f>BUDGET!AX232</f>
        <v>0</v>
      </c>
      <c r="G232" s="825"/>
      <c r="H232" s="1110"/>
      <c r="I232" s="1661"/>
      <c r="J232" s="825"/>
      <c r="K232" s="1110"/>
      <c r="L232" s="1110"/>
      <c r="M232" s="1110"/>
      <c r="N232" s="1766"/>
      <c r="O232" s="1110"/>
    </row>
    <row r="233" spans="1:15" hidden="1" x14ac:dyDescent="0.35">
      <c r="A233" t="s">
        <v>219</v>
      </c>
      <c r="B233" s="459">
        <f>BUDGET!AY233</f>
        <v>0</v>
      </c>
      <c r="C233" s="459"/>
      <c r="D233" s="998" t="str">
        <f>BUDGET!A233</f>
        <v xml:space="preserve">   WAGES</v>
      </c>
      <c r="E233" s="810">
        <v>38870</v>
      </c>
      <c r="F233" s="2200">
        <f>BUDGET!AX233</f>
        <v>0</v>
      </c>
      <c r="G233" s="810"/>
      <c r="H233" s="1110"/>
      <c r="I233" s="1658"/>
      <c r="J233" s="810"/>
      <c r="K233" s="1410"/>
      <c r="L233" s="1410"/>
      <c r="M233" s="1410"/>
      <c r="N233" s="1763"/>
      <c r="O233" s="1410"/>
    </row>
    <row r="234" spans="1:15" hidden="1" x14ac:dyDescent="0.35">
      <c r="A234" t="s">
        <v>219</v>
      </c>
      <c r="B234" s="459">
        <f>BUDGET!AY234</f>
        <v>0</v>
      </c>
      <c r="C234" s="459"/>
      <c r="D234" s="779" t="str">
        <f>BUDGET!A234</f>
        <v xml:space="preserve">   OTHER</v>
      </c>
      <c r="E234" s="810">
        <v>176845</v>
      </c>
      <c r="F234" s="2200">
        <f>BUDGET!AX234</f>
        <v>0</v>
      </c>
      <c r="G234" s="810"/>
      <c r="H234" s="1110"/>
      <c r="I234" s="1658"/>
      <c r="J234" s="810"/>
      <c r="K234" s="1410"/>
      <c r="L234" s="1410"/>
      <c r="M234" s="1410"/>
      <c r="N234" s="1763"/>
      <c r="O234" s="1410"/>
    </row>
    <row r="235" spans="1:15" ht="13.15" hidden="1" x14ac:dyDescent="0.4">
      <c r="A235" t="s">
        <v>219</v>
      </c>
      <c r="B235" s="459">
        <f>BUDGET!AY235</f>
        <v>0</v>
      </c>
      <c r="C235" s="459"/>
      <c r="D235" s="842" t="str">
        <f>BUDGET!A235</f>
        <v xml:space="preserve">   TOTAL</v>
      </c>
      <c r="E235" s="785">
        <v>215715</v>
      </c>
      <c r="F235" s="2201">
        <f>BUDGET!AX235</f>
        <v>0</v>
      </c>
      <c r="G235" s="2439" t="s">
        <v>1232</v>
      </c>
      <c r="H235" s="2058">
        <v>45363</v>
      </c>
      <c r="I235" s="1659"/>
      <c r="J235" s="785"/>
      <c r="K235" s="820"/>
      <c r="L235" s="820"/>
      <c r="M235" s="820"/>
      <c r="N235" s="1764"/>
      <c r="O235" s="820"/>
    </row>
    <row r="236" spans="1:15" hidden="1" x14ac:dyDescent="0.35">
      <c r="B236" s="459">
        <f>BUDGET!AY236</f>
        <v>0</v>
      </c>
      <c r="C236" s="459"/>
      <c r="D236" s="790" t="str">
        <f>BUDGET!A236</f>
        <v>5-YR ROLLING AVG</v>
      </c>
      <c r="E236" s="797"/>
      <c r="F236" s="2202">
        <f>BUDGET!AX236</f>
        <v>0</v>
      </c>
      <c r="G236" s="797"/>
      <c r="H236" s="1636"/>
      <c r="I236" s="1677"/>
      <c r="J236" s="797"/>
      <c r="K236" s="1636"/>
      <c r="L236" s="1636"/>
      <c r="M236" s="1636"/>
      <c r="N236" s="1785"/>
      <c r="O236" s="979"/>
    </row>
    <row r="237" spans="1:15" hidden="1" x14ac:dyDescent="0.35">
      <c r="A237" s="459" t="s">
        <v>220</v>
      </c>
      <c r="B237" s="459">
        <f>BUDGET!AY237</f>
        <v>0</v>
      </c>
      <c r="C237" s="459"/>
      <c r="D237" s="779" t="str">
        <f>BUDGET!A237</f>
        <v>STREET LIGHTS</v>
      </c>
      <c r="E237" s="825"/>
      <c r="F237" s="2197">
        <f>BUDGET!AX237</f>
        <v>0</v>
      </c>
      <c r="G237" s="825"/>
      <c r="H237" s="1110"/>
      <c r="I237" s="1661"/>
      <c r="J237" s="825"/>
      <c r="K237" s="1110"/>
      <c r="L237" s="1110"/>
      <c r="M237" s="1110"/>
      <c r="N237" s="1766"/>
      <c r="O237" s="1110"/>
    </row>
    <row r="238" spans="1:15" hidden="1" x14ac:dyDescent="0.35">
      <c r="A238" t="s">
        <v>220</v>
      </c>
      <c r="B238" s="459">
        <f>BUDGET!AY238</f>
        <v>0</v>
      </c>
      <c r="C238" s="459"/>
      <c r="D238" s="779" t="str">
        <f>BUDGET!A238</f>
        <v xml:space="preserve">   SERVICES</v>
      </c>
      <c r="E238" s="788"/>
      <c r="F238" s="2198">
        <f>BUDGET!AX238</f>
        <v>0</v>
      </c>
      <c r="G238" s="788"/>
      <c r="H238" s="841"/>
      <c r="I238" s="1656"/>
      <c r="J238" s="788"/>
      <c r="K238" s="841"/>
      <c r="L238" s="841"/>
      <c r="M238" s="841"/>
      <c r="N238" s="1761"/>
      <c r="O238" s="841"/>
    </row>
    <row r="239" spans="1:15" hidden="1" x14ac:dyDescent="0.35">
      <c r="A239" t="s">
        <v>220</v>
      </c>
      <c r="B239" s="459">
        <f>BUDGET!AY239</f>
        <v>0</v>
      </c>
      <c r="C239" s="459"/>
      <c r="D239" s="779" t="str">
        <f>BUDGET!A239</f>
        <v xml:space="preserve">   OTHER</v>
      </c>
      <c r="E239" s="810">
        <v>33000</v>
      </c>
      <c r="F239" s="2200">
        <f>BUDGET!AX239</f>
        <v>0</v>
      </c>
      <c r="G239" s="810"/>
      <c r="H239" s="2242"/>
      <c r="I239" s="1656" t="str">
        <f t="shared" ref="I239" si="4">IF(B239="yes",F239,"")</f>
        <v/>
      </c>
      <c r="J239" s="788"/>
      <c r="K239" s="841"/>
      <c r="L239" s="841"/>
      <c r="M239" s="841"/>
      <c r="N239" s="2243"/>
      <c r="O239" s="2457"/>
    </row>
    <row r="240" spans="1:15" ht="13.15" hidden="1" x14ac:dyDescent="0.4">
      <c r="A240" t="s">
        <v>220</v>
      </c>
      <c r="B240" s="459">
        <f>BUDGET!AY240</f>
        <v>0</v>
      </c>
      <c r="C240" s="459"/>
      <c r="D240" s="856" t="str">
        <f>BUDGET!A240</f>
        <v xml:space="preserve">   TOTAL</v>
      </c>
      <c r="E240" s="785">
        <v>33000</v>
      </c>
      <c r="F240" s="2201">
        <f>BUDGET!AX240</f>
        <v>0</v>
      </c>
      <c r="G240" s="2439" t="s">
        <v>1232</v>
      </c>
      <c r="H240" s="2058">
        <v>45363</v>
      </c>
      <c r="I240" s="1659"/>
      <c r="J240" s="785"/>
      <c r="K240" s="820"/>
      <c r="L240" s="820"/>
      <c r="M240" s="820"/>
      <c r="N240" s="1764"/>
      <c r="O240" s="820"/>
    </row>
    <row r="241" spans="1:15" hidden="1" x14ac:dyDescent="0.35">
      <c r="B241" s="459">
        <f>BUDGET!AY241</f>
        <v>0</v>
      </c>
      <c r="C241" s="459"/>
      <c r="D241" s="821"/>
      <c r="E241" s="797"/>
      <c r="F241" s="2202">
        <f>BUDGET!AX241</f>
        <v>0</v>
      </c>
      <c r="G241" s="797"/>
      <c r="H241" s="1636"/>
      <c r="I241" s="1677"/>
      <c r="J241" s="797"/>
      <c r="K241" s="1636"/>
      <c r="L241" s="1636"/>
      <c r="M241" s="1636"/>
      <c r="N241" s="1785"/>
      <c r="O241" s="979"/>
    </row>
    <row r="242" spans="1:15" hidden="1" x14ac:dyDescent="0.35">
      <c r="B242" s="459">
        <f>BUDGET!AY242</f>
        <v>0</v>
      </c>
      <c r="C242" s="459"/>
      <c r="D242" s="771" t="str">
        <f>BUDGET!A242</f>
        <v>PUBLIC WKS &amp; FACIL.:  SUB-TOTAL</v>
      </c>
      <c r="E242" s="825"/>
      <c r="F242" s="2197">
        <f>BUDGET!AX242</f>
        <v>0</v>
      </c>
      <c r="G242" s="825"/>
      <c r="H242" s="1110"/>
      <c r="I242" s="1661"/>
      <c r="J242" s="825"/>
      <c r="K242" s="1110"/>
      <c r="L242" s="1110"/>
      <c r="M242" s="1110"/>
      <c r="N242" s="1766"/>
      <c r="O242" s="1110"/>
    </row>
    <row r="243" spans="1:15" hidden="1" x14ac:dyDescent="0.35">
      <c r="B243" s="459">
        <f>BUDGET!AY243</f>
        <v>0</v>
      </c>
      <c r="C243" s="459"/>
      <c r="D243" s="771" t="str">
        <f>BUDGET!A243</f>
        <v xml:space="preserve">   SALARIES</v>
      </c>
      <c r="E243" s="888">
        <v>119307</v>
      </c>
      <c r="F243" s="2209">
        <f>BUDGET!AX243</f>
        <v>0</v>
      </c>
      <c r="G243" s="888"/>
      <c r="H243" s="820"/>
      <c r="I243" s="1668"/>
      <c r="J243" s="888"/>
      <c r="K243" s="1626"/>
      <c r="L243" s="1626"/>
      <c r="M243" s="1626"/>
      <c r="N243" s="1774"/>
      <c r="O243" s="1626"/>
    </row>
    <row r="244" spans="1:15" hidden="1" x14ac:dyDescent="0.35">
      <c r="B244" s="459">
        <f>BUDGET!AY244</f>
        <v>0</v>
      </c>
      <c r="C244" s="459"/>
      <c r="D244" s="771" t="str">
        <f>BUDGET!A244</f>
        <v xml:space="preserve">   WAGES</v>
      </c>
      <c r="E244" s="888">
        <v>600293</v>
      </c>
      <c r="F244" s="2209">
        <f>BUDGET!AX244</f>
        <v>0</v>
      </c>
      <c r="G244" s="888"/>
      <c r="H244" s="820"/>
      <c r="I244" s="1668"/>
      <c r="J244" s="888"/>
      <c r="K244" s="1626"/>
      <c r="L244" s="1626"/>
      <c r="M244" s="1626"/>
      <c r="N244" s="1774"/>
      <c r="O244" s="1626"/>
    </row>
    <row r="245" spans="1:15" hidden="1" x14ac:dyDescent="0.35">
      <c r="B245" s="459">
        <f>BUDGET!AY245</f>
        <v>0</v>
      </c>
      <c r="C245" s="459"/>
      <c r="D245" s="771" t="str">
        <f>BUDGET!A245</f>
        <v xml:space="preserve">   OTHER</v>
      </c>
      <c r="E245" s="845">
        <v>1208141</v>
      </c>
      <c r="F245" s="2219">
        <f>BUDGET!AX245</f>
        <v>0</v>
      </c>
      <c r="G245" s="845"/>
      <c r="H245" s="1057"/>
      <c r="I245" s="1668"/>
      <c r="J245" s="845"/>
      <c r="K245" s="1074"/>
      <c r="L245" s="1074"/>
      <c r="M245" s="1074"/>
      <c r="N245" s="1786"/>
      <c r="O245" s="1626"/>
    </row>
    <row r="246" spans="1:15" hidden="1" x14ac:dyDescent="0.35">
      <c r="B246" s="459">
        <f>BUDGET!AY246</f>
        <v>0</v>
      </c>
      <c r="C246" s="459"/>
      <c r="D246" s="771" t="str">
        <f>BUDGET!A246</f>
        <v>CAPITAL EQUIP.</v>
      </c>
      <c r="E246" s="1453"/>
      <c r="F246" s="2220">
        <f>BUDGET!AX246</f>
        <v>0</v>
      </c>
      <c r="G246" s="1453"/>
      <c r="H246" s="841"/>
      <c r="I246" s="1678"/>
      <c r="J246" s="1453"/>
      <c r="K246" s="1637"/>
      <c r="L246" s="1637"/>
      <c r="M246" s="1637"/>
      <c r="N246" s="1787"/>
      <c r="O246" s="1637"/>
    </row>
    <row r="247" spans="1:15" ht="13.15" hidden="1" thickBot="1" x14ac:dyDescent="0.4">
      <c r="B247" s="459">
        <f>BUDGET!AY247</f>
        <v>0</v>
      </c>
      <c r="C247" s="459"/>
      <c r="D247" s="967" t="str">
        <f>BUDGET!A247</f>
        <v>PUBLIC WKS &amp; FACIL: SUB-TOTAL</v>
      </c>
      <c r="E247" s="1017">
        <v>1927741</v>
      </c>
      <c r="F247" s="2215">
        <f>BUDGET!AX247</f>
        <v>0</v>
      </c>
      <c r="G247" s="1017"/>
      <c r="H247" s="2050"/>
      <c r="I247" s="1669"/>
      <c r="J247" s="1017"/>
      <c r="K247" s="1638"/>
      <c r="L247" s="1638"/>
      <c r="M247" s="1638"/>
      <c r="N247" s="1788"/>
      <c r="O247" s="2459"/>
    </row>
    <row r="248" spans="1:15" hidden="1" x14ac:dyDescent="0.35">
      <c r="A248" s="459"/>
      <c r="B248" s="459">
        <f>BUDGET!AY248</f>
        <v>0</v>
      </c>
      <c r="C248" s="459"/>
      <c r="D248" s="771" t="str">
        <f>BUDGET!A248</f>
        <v>HUMAN SERVICES</v>
      </c>
      <c r="E248" s="825"/>
      <c r="F248" s="2197">
        <f>BUDGET!AX248</f>
        <v>0</v>
      </c>
      <c r="G248" s="825"/>
      <c r="H248" s="1110"/>
      <c r="I248" s="1661"/>
      <c r="J248" s="825"/>
      <c r="K248" s="1110"/>
      <c r="L248" s="1110"/>
      <c r="M248" s="1110"/>
      <c r="N248" s="1766"/>
      <c r="O248" s="1110"/>
    </row>
    <row r="249" spans="1:15" hidden="1" x14ac:dyDescent="0.35">
      <c r="A249" s="459" t="s">
        <v>360</v>
      </c>
      <c r="B249" s="459">
        <f>BUDGET!AY249</f>
        <v>0</v>
      </c>
      <c r="C249" s="459"/>
      <c r="D249" s="779" t="str">
        <f>BUDGET!A249</f>
        <v>BOARD OF HEALTH</v>
      </c>
      <c r="E249" s="788"/>
      <c r="F249" s="2198">
        <f>BUDGET!AX249</f>
        <v>0</v>
      </c>
      <c r="G249" s="788"/>
      <c r="H249" s="841"/>
      <c r="I249" s="1656"/>
      <c r="J249" s="788"/>
      <c r="K249" s="841"/>
      <c r="L249" s="841"/>
      <c r="M249" s="841"/>
      <c r="N249" s="1761"/>
      <c r="O249" s="841"/>
    </row>
    <row r="250" spans="1:15" hidden="1" x14ac:dyDescent="0.35">
      <c r="A250" t="s">
        <v>360</v>
      </c>
      <c r="B250" s="459">
        <f>BUDGET!AY250</f>
        <v>0</v>
      </c>
      <c r="C250" s="459"/>
      <c r="D250" s="779" t="str">
        <f>BUDGET!A250</f>
        <v xml:space="preserve">   SALARIES</v>
      </c>
      <c r="E250" s="810">
        <v>81228</v>
      </c>
      <c r="F250" s="2200">
        <f>BUDGET!AX250</f>
        <v>0</v>
      </c>
      <c r="G250" s="810"/>
      <c r="H250" s="1110"/>
      <c r="I250" s="1658"/>
      <c r="J250" s="810"/>
      <c r="K250" s="1410"/>
      <c r="L250" s="1410"/>
      <c r="M250" s="1410"/>
      <c r="N250" s="1763"/>
      <c r="O250" s="1410"/>
    </row>
    <row r="251" spans="1:15" hidden="1" x14ac:dyDescent="0.35">
      <c r="A251" t="s">
        <v>360</v>
      </c>
      <c r="B251" s="459">
        <f>BUDGET!AY251</f>
        <v>0</v>
      </c>
      <c r="C251" s="459"/>
      <c r="D251" s="779" t="str">
        <f>BUDGET!A251</f>
        <v xml:space="preserve">   WAGES</v>
      </c>
      <c r="E251" s="810">
        <v>31286</v>
      </c>
      <c r="F251" s="2200">
        <f>BUDGET!AX251</f>
        <v>0</v>
      </c>
      <c r="G251" s="810"/>
      <c r="H251" s="1110"/>
      <c r="I251" s="1658"/>
      <c r="J251" s="810"/>
      <c r="K251" s="1410"/>
      <c r="L251" s="1410"/>
      <c r="M251" s="1410"/>
      <c r="N251" s="1763"/>
      <c r="O251" s="1410"/>
    </row>
    <row r="252" spans="1:15" hidden="1" x14ac:dyDescent="0.35">
      <c r="A252" t="s">
        <v>360</v>
      </c>
      <c r="B252" s="459">
        <f>BUDGET!AY252</f>
        <v>0</v>
      </c>
      <c r="C252" s="459"/>
      <c r="D252" s="779" t="str">
        <f>BUDGET!A252</f>
        <v xml:space="preserve">   OTHER</v>
      </c>
      <c r="E252" s="810">
        <v>35892</v>
      </c>
      <c r="F252" s="2200">
        <f>BUDGET!AX252</f>
        <v>0</v>
      </c>
      <c r="G252" s="810"/>
      <c r="H252" s="2241"/>
      <c r="I252" s="1656" t="str">
        <f t="shared" ref="I252" si="5">IF(B252="yes",F252,"")</f>
        <v/>
      </c>
      <c r="J252" s="788"/>
      <c r="K252" s="841"/>
      <c r="L252" s="841"/>
      <c r="M252" s="841"/>
      <c r="N252" s="2243"/>
      <c r="O252" s="2457"/>
    </row>
    <row r="253" spans="1:15" ht="13.15" hidden="1" x14ac:dyDescent="0.4">
      <c r="A253" t="s">
        <v>360</v>
      </c>
      <c r="B253" s="459">
        <f>BUDGET!AY253</f>
        <v>0</v>
      </c>
      <c r="C253" s="459"/>
      <c r="D253" s="842" t="str">
        <f>BUDGET!A253</f>
        <v xml:space="preserve">   TOTAL</v>
      </c>
      <c r="E253" s="785">
        <v>148406</v>
      </c>
      <c r="F253" s="2201">
        <f>BUDGET!AX253</f>
        <v>0</v>
      </c>
      <c r="G253" s="2439" t="s">
        <v>1232</v>
      </c>
      <c r="H253" s="2058">
        <v>45363</v>
      </c>
      <c r="I253" s="1659"/>
      <c r="J253" s="785"/>
      <c r="K253" s="820"/>
      <c r="L253" s="820"/>
      <c r="M253" s="820"/>
      <c r="N253" s="1764"/>
      <c r="O253" s="820"/>
    </row>
    <row r="254" spans="1:15" hidden="1" x14ac:dyDescent="0.35">
      <c r="B254" s="459">
        <f>BUDGET!AY254</f>
        <v>0</v>
      </c>
      <c r="C254" s="459"/>
      <c r="D254" s="821"/>
      <c r="E254" s="822"/>
      <c r="F254" s="2202">
        <f>BUDGET!AX254</f>
        <v>0</v>
      </c>
      <c r="G254" s="822"/>
      <c r="H254" s="1160"/>
      <c r="I254" s="1660"/>
      <c r="J254" s="822"/>
      <c r="K254" s="1160"/>
      <c r="L254" s="1160"/>
      <c r="M254" s="1160"/>
      <c r="N254" s="1765"/>
      <c r="O254" s="1110"/>
    </row>
    <row r="255" spans="1:15" hidden="1" x14ac:dyDescent="0.35">
      <c r="B255" s="459">
        <f>BUDGET!AY255</f>
        <v>0</v>
      </c>
      <c r="C255" s="459" t="str">
        <f>BUDGET!BC255</f>
        <v>x</v>
      </c>
      <c r="D255" s="779" t="str">
        <f>BUDGET!A255</f>
        <v>MOSQUITO CONTROL</v>
      </c>
      <c r="E255" s="825"/>
      <c r="F255" s="2197">
        <f>BUDGET!AX255</f>
        <v>0</v>
      </c>
      <c r="G255" s="825"/>
      <c r="H255" s="1110"/>
      <c r="I255" s="1661"/>
      <c r="J255" s="825"/>
      <c r="K255" s="1110"/>
      <c r="L255" s="1110"/>
      <c r="M255" s="1110"/>
      <c r="N255" s="1766"/>
      <c r="O255" s="1110"/>
    </row>
    <row r="256" spans="1:15" hidden="1" x14ac:dyDescent="0.35">
      <c r="B256" s="459">
        <f>BUDGET!AY256</f>
        <v>0</v>
      </c>
      <c r="C256" s="459" t="str">
        <f>BUDGET!BC256</f>
        <v>x</v>
      </c>
      <c r="D256" s="779" t="str">
        <f>BUDGET!A256</f>
        <v>WAGES</v>
      </c>
      <c r="E256" s="825"/>
      <c r="F256" s="2197">
        <f>BUDGET!AX256</f>
        <v>0</v>
      </c>
      <c r="G256" s="825"/>
      <c r="H256" s="1110"/>
      <c r="I256" s="1661"/>
      <c r="J256" s="825"/>
      <c r="K256" s="1110"/>
      <c r="L256" s="1110"/>
      <c r="M256" s="1110"/>
      <c r="N256" s="1766"/>
      <c r="O256" s="1110"/>
    </row>
    <row r="257" spans="1:15" hidden="1" x14ac:dyDescent="0.35">
      <c r="B257" s="459">
        <f>BUDGET!AY257</f>
        <v>0</v>
      </c>
      <c r="C257" s="459" t="str">
        <f>BUDGET!BC257</f>
        <v>x</v>
      </c>
      <c r="D257" s="779" t="str">
        <f>BUDGET!A257</f>
        <v xml:space="preserve">OTHER </v>
      </c>
      <c r="E257" s="825"/>
      <c r="F257" s="2197">
        <f>BUDGET!AX257</f>
        <v>0</v>
      </c>
      <c r="G257" s="825"/>
      <c r="H257" s="1110"/>
      <c r="I257" s="1661"/>
      <c r="J257" s="825"/>
      <c r="K257" s="1110"/>
      <c r="L257" s="1110"/>
      <c r="M257" s="1110"/>
      <c r="N257" s="1766"/>
      <c r="O257" s="1110"/>
    </row>
    <row r="258" spans="1:15" hidden="1" x14ac:dyDescent="0.35">
      <c r="B258" s="459">
        <f>BUDGET!AY258</f>
        <v>0</v>
      </c>
      <c r="C258" s="459" t="str">
        <f>BUDGET!BC258</f>
        <v>x</v>
      </c>
      <c r="D258" s="842" t="str">
        <f>BUDGET!A258</f>
        <v>TOTAL</v>
      </c>
      <c r="E258" s="785"/>
      <c r="F258" s="2201">
        <f>BUDGET!AX258</f>
        <v>0</v>
      </c>
      <c r="G258" s="785"/>
      <c r="H258" s="820"/>
      <c r="I258" s="1659"/>
      <c r="J258" s="785"/>
      <c r="K258" s="820"/>
      <c r="L258" s="820"/>
      <c r="M258" s="820"/>
      <c r="N258" s="1764"/>
      <c r="O258" s="820"/>
    </row>
    <row r="259" spans="1:15" hidden="1" x14ac:dyDescent="0.35">
      <c r="B259" s="459">
        <f>BUDGET!AY259</f>
        <v>0</v>
      </c>
      <c r="C259" s="459" t="str">
        <f>BUDGET!BC259</f>
        <v>x</v>
      </c>
      <c r="D259" s="790">
        <f>BUDGET!A259</f>
        <v>0</v>
      </c>
      <c r="E259" s="822"/>
      <c r="F259" s="2202">
        <f>BUDGET!AX259</f>
        <v>0</v>
      </c>
      <c r="G259" s="822"/>
      <c r="H259" s="1160"/>
      <c r="I259" s="1660"/>
      <c r="J259" s="822"/>
      <c r="K259" s="1160"/>
      <c r="L259" s="1160"/>
      <c r="M259" s="1160"/>
      <c r="N259" s="1765"/>
      <c r="O259" s="1110"/>
    </row>
    <row r="260" spans="1:15" hidden="1" x14ac:dyDescent="0.35">
      <c r="B260" s="459">
        <f>BUDGET!AY260</f>
        <v>0</v>
      </c>
      <c r="C260" s="459" t="str">
        <f>BUDGET!BC260</f>
        <v>x</v>
      </c>
      <c r="D260" s="779" t="str">
        <f>BUDGET!A260</f>
        <v xml:space="preserve">MSW COLLECTION,HHW &amp; RECYCLING </v>
      </c>
      <c r="E260" s="1030"/>
      <c r="F260" s="2204">
        <f>BUDGET!AX260</f>
        <v>0</v>
      </c>
      <c r="G260" s="1030"/>
      <c r="H260" s="1420"/>
      <c r="I260" s="1663"/>
      <c r="J260" s="1030"/>
      <c r="K260" s="1420"/>
      <c r="L260" s="1420"/>
      <c r="M260" s="1420"/>
      <c r="N260" s="1768"/>
      <c r="O260" s="1420"/>
    </row>
    <row r="261" spans="1:15" hidden="1" x14ac:dyDescent="0.35">
      <c r="B261" s="459">
        <f>BUDGET!AY261</f>
        <v>0</v>
      </c>
      <c r="C261" s="459" t="str">
        <f>BUDGET!BC261</f>
        <v>x</v>
      </c>
      <c r="D261" s="779" t="str">
        <f>BUDGET!A261</f>
        <v xml:space="preserve">   SERVICES</v>
      </c>
      <c r="E261" s="1031"/>
      <c r="F261" s="2221">
        <f>BUDGET!AX261</f>
        <v>0</v>
      </c>
      <c r="G261" s="1031"/>
      <c r="H261" s="2051"/>
      <c r="I261" s="1679"/>
      <c r="J261" s="1031"/>
      <c r="K261" s="1031"/>
      <c r="L261" s="1031"/>
      <c r="M261" s="1031"/>
      <c r="N261" s="1789"/>
      <c r="O261" s="1031"/>
    </row>
    <row r="262" spans="1:15" hidden="1" x14ac:dyDescent="0.35">
      <c r="B262" s="459">
        <f>BUDGET!AY262</f>
        <v>0</v>
      </c>
      <c r="C262" s="459" t="str">
        <f>BUDGET!BC262</f>
        <v>x</v>
      </c>
      <c r="D262" s="842" t="str">
        <f>BUDGET!A262</f>
        <v xml:space="preserve">   TOTAL</v>
      </c>
      <c r="E262" s="1033"/>
      <c r="F262" s="2222">
        <f>BUDGET!AX262</f>
        <v>0</v>
      </c>
      <c r="G262" s="1033"/>
      <c r="H262" s="2052"/>
      <c r="I262" s="1680"/>
      <c r="J262" s="1033"/>
      <c r="K262" s="1033"/>
      <c r="L262" s="1033"/>
      <c r="M262" s="1033"/>
      <c r="N262" s="1790"/>
      <c r="O262" s="1033"/>
    </row>
    <row r="263" spans="1:15" hidden="1" x14ac:dyDescent="0.35">
      <c r="B263" s="459">
        <f>BUDGET!AY263</f>
        <v>0</v>
      </c>
      <c r="C263" s="459" t="str">
        <f>BUDGET!BC263</f>
        <v>x</v>
      </c>
      <c r="D263" s="821">
        <f>BUDGET!A263</f>
        <v>0</v>
      </c>
      <c r="E263" s="1034"/>
      <c r="F263" s="2206">
        <f>BUDGET!AX263</f>
        <v>0</v>
      </c>
      <c r="G263" s="1034"/>
      <c r="H263" s="1624"/>
      <c r="I263" s="1665"/>
      <c r="J263" s="1034"/>
      <c r="K263" s="1624"/>
      <c r="L263" s="1624"/>
      <c r="M263" s="1624"/>
      <c r="N263" s="1770"/>
      <c r="O263" s="1622"/>
    </row>
    <row r="264" spans="1:15" hidden="1" x14ac:dyDescent="0.35">
      <c r="B264" s="459">
        <f>BUDGET!AY264</f>
        <v>0</v>
      </c>
      <c r="C264" s="459" t="str">
        <f>BUDGET!BC264</f>
        <v>x</v>
      </c>
      <c r="D264" s="987" t="str">
        <f>BUDGET!A264</f>
        <v>RECYCLING</v>
      </c>
      <c r="E264" s="1030"/>
      <c r="F264" s="2204">
        <f>BUDGET!AX264</f>
        <v>0</v>
      </c>
      <c r="G264" s="1030"/>
      <c r="H264" s="1420"/>
      <c r="I264" s="1663"/>
      <c r="J264" s="1030"/>
      <c r="K264" s="1420"/>
      <c r="L264" s="1420"/>
      <c r="M264" s="1420"/>
      <c r="N264" s="1768"/>
      <c r="O264" s="1420"/>
    </row>
    <row r="265" spans="1:15" hidden="1" x14ac:dyDescent="0.35">
      <c r="B265" s="459">
        <f>BUDGET!AY265</f>
        <v>0</v>
      </c>
      <c r="C265" s="459" t="str">
        <f>BUDGET!BC265</f>
        <v>x</v>
      </c>
      <c r="D265" s="779" t="str">
        <f>BUDGET!A265</f>
        <v xml:space="preserve">   WAGES</v>
      </c>
      <c r="E265" s="1033"/>
      <c r="F265" s="2222">
        <f>BUDGET!AX265</f>
        <v>0</v>
      </c>
      <c r="G265" s="1033"/>
      <c r="H265" s="2052"/>
      <c r="I265" s="1680"/>
      <c r="J265" s="1033"/>
      <c r="K265" s="1033"/>
      <c r="L265" s="1033"/>
      <c r="M265" s="1033"/>
      <c r="N265" s="1790"/>
      <c r="O265" s="1033"/>
    </row>
    <row r="266" spans="1:15" hidden="1" x14ac:dyDescent="0.35">
      <c r="B266" s="459">
        <f>BUDGET!AY266</f>
        <v>0</v>
      </c>
      <c r="C266" s="459" t="str">
        <f>BUDGET!BC266</f>
        <v>x</v>
      </c>
      <c r="D266" s="779" t="str">
        <f>BUDGET!A266</f>
        <v xml:space="preserve">   OTHER</v>
      </c>
      <c r="E266" s="1033"/>
      <c r="F266" s="2222">
        <f>BUDGET!AX266</f>
        <v>0</v>
      </c>
      <c r="G266" s="1033"/>
      <c r="H266" s="2052"/>
      <c r="I266" s="1680"/>
      <c r="J266" s="1033"/>
      <c r="K266" s="1033"/>
      <c r="L266" s="1033"/>
      <c r="M266" s="1033"/>
      <c r="N266" s="1790"/>
      <c r="O266" s="1033"/>
    </row>
    <row r="267" spans="1:15" hidden="1" x14ac:dyDescent="0.35">
      <c r="B267" s="459">
        <f>BUDGET!AY267</f>
        <v>0</v>
      </c>
      <c r="C267" s="459" t="str">
        <f>BUDGET!BC267</f>
        <v>x</v>
      </c>
      <c r="D267" s="842" t="str">
        <f>BUDGET!A267</f>
        <v xml:space="preserve">   TOTAL</v>
      </c>
      <c r="E267" s="1033"/>
      <c r="F267" s="2222">
        <f>BUDGET!AX267</f>
        <v>0</v>
      </c>
      <c r="G267" s="1033"/>
      <c r="H267" s="2052"/>
      <c r="I267" s="1680"/>
      <c r="J267" s="1033"/>
      <c r="K267" s="1033"/>
      <c r="L267" s="1033"/>
      <c r="M267" s="1033"/>
      <c r="N267" s="1790"/>
      <c r="O267" s="1033"/>
    </row>
    <row r="268" spans="1:15" hidden="1" x14ac:dyDescent="0.35">
      <c r="B268" s="459">
        <f>BUDGET!AY268</f>
        <v>0</v>
      </c>
      <c r="C268" s="459" t="str">
        <f>BUDGET!BC268</f>
        <v>x</v>
      </c>
      <c r="D268" s="821">
        <f>BUDGET!A268</f>
        <v>0</v>
      </c>
      <c r="E268" s="1034"/>
      <c r="F268" s="2206">
        <f>BUDGET!AX268</f>
        <v>0</v>
      </c>
      <c r="G268" s="1034"/>
      <c r="H268" s="1624"/>
      <c r="I268" s="1665"/>
      <c r="J268" s="1034"/>
      <c r="K268" s="1624"/>
      <c r="L268" s="1624"/>
      <c r="M268" s="1624"/>
      <c r="N268" s="1770"/>
      <c r="O268" s="1622"/>
    </row>
    <row r="269" spans="1:15" hidden="1" x14ac:dyDescent="0.35">
      <c r="A269" s="459" t="s">
        <v>621</v>
      </c>
      <c r="B269" s="459">
        <f>BUDGET!AY269</f>
        <v>0</v>
      </c>
      <c r="C269" s="459"/>
      <c r="D269" s="779" t="str">
        <f>BUDGET!A269</f>
        <v>COUNCIL ON AGING</v>
      </c>
      <c r="E269" s="788"/>
      <c r="F269" s="2198">
        <f>BUDGET!AX269</f>
        <v>0</v>
      </c>
      <c r="G269" s="788"/>
      <c r="H269" s="841"/>
      <c r="I269" s="1656"/>
      <c r="J269" s="788"/>
      <c r="K269" s="841"/>
      <c r="L269" s="841"/>
      <c r="M269" s="841"/>
      <c r="N269" s="1761"/>
      <c r="O269" s="841"/>
    </row>
    <row r="270" spans="1:15" hidden="1" x14ac:dyDescent="0.35">
      <c r="A270" t="s">
        <v>621</v>
      </c>
      <c r="B270" s="459">
        <f>BUDGET!AY270</f>
        <v>0</v>
      </c>
      <c r="C270" s="459"/>
      <c r="D270" s="779" t="str">
        <f>BUDGET!A270</f>
        <v xml:space="preserve">   SALARIES </v>
      </c>
      <c r="E270" s="810">
        <v>79985</v>
      </c>
      <c r="F270" s="2200">
        <f>BUDGET!AX270</f>
        <v>0</v>
      </c>
      <c r="G270" s="810"/>
      <c r="H270" s="1110"/>
      <c r="I270" s="1658"/>
      <c r="J270" s="810"/>
      <c r="K270" s="1410"/>
      <c r="L270" s="1410"/>
      <c r="M270" s="1410"/>
      <c r="N270" s="1763"/>
      <c r="O270" s="1410"/>
    </row>
    <row r="271" spans="1:15" hidden="1" x14ac:dyDescent="0.35">
      <c r="A271" t="s">
        <v>621</v>
      </c>
      <c r="B271" s="459">
        <f>BUDGET!AY271</f>
        <v>0</v>
      </c>
      <c r="C271" s="459"/>
      <c r="D271" s="779" t="str">
        <f>BUDGET!A271</f>
        <v xml:space="preserve">   WAGES</v>
      </c>
      <c r="E271" s="810">
        <v>67590</v>
      </c>
      <c r="F271" s="2200">
        <f>BUDGET!AX271</f>
        <v>0</v>
      </c>
      <c r="G271" s="810"/>
      <c r="H271" s="1110"/>
      <c r="I271" s="1658"/>
      <c r="J271" s="810"/>
      <c r="K271" s="1410"/>
      <c r="L271" s="1410"/>
      <c r="M271" s="1410"/>
      <c r="N271" s="1763"/>
      <c r="O271" s="1410"/>
    </row>
    <row r="272" spans="1:15" hidden="1" x14ac:dyDescent="0.35">
      <c r="A272" t="s">
        <v>621</v>
      </c>
      <c r="B272" s="459">
        <f>BUDGET!AY272</f>
        <v>0</v>
      </c>
      <c r="C272" s="459"/>
      <c r="D272" s="779" t="str">
        <f>BUDGET!A272</f>
        <v xml:space="preserve">   OTHER</v>
      </c>
      <c r="E272" s="810">
        <v>5561</v>
      </c>
      <c r="F272" s="2200">
        <f>BUDGET!AX272</f>
        <v>0</v>
      </c>
      <c r="G272" s="810"/>
      <c r="H272" s="1110"/>
      <c r="I272" s="1658"/>
      <c r="J272" s="810"/>
      <c r="K272" s="1410"/>
      <c r="L272" s="1410"/>
      <c r="M272" s="1410"/>
      <c r="N272" s="1763"/>
      <c r="O272" s="1410"/>
    </row>
    <row r="273" spans="1:15" ht="13.15" hidden="1" x14ac:dyDescent="0.4">
      <c r="A273" t="s">
        <v>621</v>
      </c>
      <c r="B273" s="459">
        <f>BUDGET!AY273</f>
        <v>0</v>
      </c>
      <c r="C273" s="459"/>
      <c r="D273" s="842" t="str">
        <f>BUDGET!A273</f>
        <v xml:space="preserve">   TOTAL</v>
      </c>
      <c r="E273" s="785">
        <v>153136</v>
      </c>
      <c r="F273" s="2201">
        <f>BUDGET!AX273</f>
        <v>0</v>
      </c>
      <c r="G273" s="2439" t="s">
        <v>1232</v>
      </c>
      <c r="H273" s="2058">
        <v>45363</v>
      </c>
      <c r="I273" s="1659"/>
      <c r="J273" s="785"/>
      <c r="K273" s="820"/>
      <c r="L273" s="820"/>
      <c r="M273" s="820"/>
      <c r="N273" s="1764"/>
      <c r="O273" s="820"/>
    </row>
    <row r="274" spans="1:15" hidden="1" x14ac:dyDescent="0.35">
      <c r="B274" s="459">
        <f>BUDGET!AY274</f>
        <v>0</v>
      </c>
      <c r="C274" s="459"/>
      <c r="D274" s="821"/>
      <c r="E274" s="822"/>
      <c r="F274" s="2202">
        <f>BUDGET!AX274</f>
        <v>0</v>
      </c>
      <c r="G274" s="822"/>
      <c r="H274" s="1160"/>
      <c r="I274" s="1660"/>
      <c r="J274" s="822"/>
      <c r="K274" s="1160"/>
      <c r="L274" s="1160"/>
      <c r="M274" s="1160"/>
      <c r="N274" s="1765"/>
      <c r="O274" s="1110"/>
    </row>
    <row r="275" spans="1:15" hidden="1" x14ac:dyDescent="0.35">
      <c r="A275" t="s">
        <v>621</v>
      </c>
      <c r="B275" s="459">
        <f>BUDGET!AY275</f>
        <v>0</v>
      </c>
      <c r="C275" s="459" t="str">
        <f>BUDGET!BC275</f>
        <v>x</v>
      </c>
      <c r="D275" s="779" t="str">
        <f>BUDGET!A275</f>
        <v>TRI-TOWN COUNCIL</v>
      </c>
      <c r="E275" s="788"/>
      <c r="F275" s="2198">
        <f>BUDGET!AX275</f>
        <v>0</v>
      </c>
      <c r="G275" s="788"/>
      <c r="H275" s="841"/>
      <c r="I275" s="1656"/>
      <c r="J275" s="788"/>
      <c r="K275" s="841"/>
      <c r="L275" s="841"/>
      <c r="M275" s="841"/>
      <c r="N275" s="1761"/>
      <c r="O275" s="841"/>
    </row>
    <row r="276" spans="1:15" hidden="1" x14ac:dyDescent="0.35">
      <c r="A276" t="s">
        <v>621</v>
      </c>
      <c r="B276" s="459">
        <f>BUDGET!AY276</f>
        <v>0</v>
      </c>
      <c r="C276" s="459" t="str">
        <f>BUDGET!BC276</f>
        <v>x</v>
      </c>
      <c r="D276" s="779" t="str">
        <f>BUDGET!A276</f>
        <v xml:space="preserve">   SERVICES</v>
      </c>
      <c r="E276" s="825"/>
      <c r="F276" s="2197">
        <f>BUDGET!AX276</f>
        <v>0</v>
      </c>
      <c r="G276" s="825"/>
      <c r="H276" s="1110"/>
      <c r="I276" s="1661"/>
      <c r="J276" s="825"/>
      <c r="K276" s="1110"/>
      <c r="L276" s="1110"/>
      <c r="M276" s="1110"/>
      <c r="N276" s="1766"/>
      <c r="O276" s="1110"/>
    </row>
    <row r="277" spans="1:15" hidden="1" x14ac:dyDescent="0.35">
      <c r="A277" t="s">
        <v>621</v>
      </c>
      <c r="B277" s="459">
        <f>BUDGET!AY277</f>
        <v>0</v>
      </c>
      <c r="C277" s="459" t="str">
        <f>BUDGET!BC277</f>
        <v>x</v>
      </c>
      <c r="D277" s="842" t="str">
        <f>BUDGET!A277</f>
        <v xml:space="preserve">   TOTAL</v>
      </c>
      <c r="E277" s="785"/>
      <c r="F277" s="2201">
        <f>BUDGET!AX277</f>
        <v>0</v>
      </c>
      <c r="G277" s="785"/>
      <c r="H277" s="820"/>
      <c r="I277" s="1659"/>
      <c r="J277" s="785"/>
      <c r="K277" s="820"/>
      <c r="L277" s="820"/>
      <c r="M277" s="820"/>
      <c r="N277" s="1764"/>
      <c r="O277" s="820"/>
    </row>
    <row r="278" spans="1:15" hidden="1" x14ac:dyDescent="0.35">
      <c r="B278" s="459">
        <f>BUDGET!AY278</f>
        <v>0</v>
      </c>
      <c r="C278" s="459" t="str">
        <f>BUDGET!BC278</f>
        <v>x</v>
      </c>
      <c r="D278" s="790">
        <f>BUDGET!A278</f>
        <v>0</v>
      </c>
      <c r="E278" s="800"/>
      <c r="F278" s="2199">
        <f>BUDGET!AX278</f>
        <v>0</v>
      </c>
      <c r="G278" s="800"/>
      <c r="H278" s="1621"/>
      <c r="I278" s="1657"/>
      <c r="J278" s="800"/>
      <c r="K278" s="1621"/>
      <c r="L278" s="1621"/>
      <c r="M278" s="1621"/>
      <c r="N278" s="1762"/>
      <c r="O278" s="1127"/>
    </row>
    <row r="279" spans="1:15" hidden="1" x14ac:dyDescent="0.35">
      <c r="B279" s="459">
        <f>BUDGET!AY279</f>
        <v>0</v>
      </c>
      <c r="C279" s="459" t="str">
        <f>BUDGET!BC279</f>
        <v>x</v>
      </c>
      <c r="D279" s="779" t="str">
        <f>BUDGET!A279</f>
        <v>HAWC</v>
      </c>
      <c r="E279" s="788"/>
      <c r="F279" s="2198">
        <f>BUDGET!AX279</f>
        <v>0</v>
      </c>
      <c r="G279" s="788"/>
      <c r="H279" s="841"/>
      <c r="I279" s="1656"/>
      <c r="J279" s="788"/>
      <c r="K279" s="841"/>
      <c r="L279" s="841"/>
      <c r="M279" s="841"/>
      <c r="N279" s="1761"/>
      <c r="O279" s="841"/>
    </row>
    <row r="280" spans="1:15" hidden="1" x14ac:dyDescent="0.35">
      <c r="B280" s="459">
        <f>BUDGET!AY280</f>
        <v>0</v>
      </c>
      <c r="C280" s="459" t="str">
        <f>BUDGET!BC280</f>
        <v>x</v>
      </c>
      <c r="D280" s="779" t="str">
        <f>BUDGET!A280</f>
        <v xml:space="preserve">  OTHER</v>
      </c>
      <c r="E280" s="825"/>
      <c r="F280" s="2197">
        <f>BUDGET!AX280</f>
        <v>0</v>
      </c>
      <c r="G280" s="825"/>
      <c r="H280" s="1110"/>
      <c r="I280" s="1661"/>
      <c r="J280" s="825"/>
      <c r="K280" s="1110"/>
      <c r="L280" s="1110"/>
      <c r="M280" s="1110"/>
      <c r="N280" s="1766"/>
      <c r="O280" s="1110"/>
    </row>
    <row r="281" spans="1:15" hidden="1" x14ac:dyDescent="0.35">
      <c r="A281">
        <v>0</v>
      </c>
      <c r="B281" s="459">
        <f>BUDGET!AY281</f>
        <v>0</v>
      </c>
      <c r="C281" s="459" t="str">
        <f>BUDGET!BC281</f>
        <v>x</v>
      </c>
      <c r="D281" s="790" t="str">
        <f>BUDGET!A281</f>
        <v xml:space="preserve">  TOTAL</v>
      </c>
      <c r="E281" s="827"/>
      <c r="F281" s="2207">
        <f>BUDGET!AX281</f>
        <v>0</v>
      </c>
      <c r="G281" s="827"/>
      <c r="H281" s="1127"/>
      <c r="I281" s="1666"/>
      <c r="J281" s="827"/>
      <c r="K281" s="1127"/>
      <c r="L281" s="1127"/>
      <c r="M281" s="1127"/>
      <c r="N281" s="1771"/>
      <c r="O281" s="1127"/>
    </row>
    <row r="282" spans="1:15" hidden="1" x14ac:dyDescent="0.35">
      <c r="A282" s="459" t="s">
        <v>218</v>
      </c>
      <c r="B282" s="459">
        <f>BUDGET!AY282</f>
        <v>0</v>
      </c>
      <c r="C282" s="459"/>
      <c r="D282" s="779" t="str">
        <f>BUDGET!A282</f>
        <v>VETERANS BENEFITS</v>
      </c>
      <c r="E282" s="788"/>
      <c r="F282" s="2198">
        <f>BUDGET!AX282</f>
        <v>0</v>
      </c>
      <c r="G282" s="788"/>
      <c r="H282" s="841"/>
      <c r="I282" s="1656"/>
      <c r="J282" s="788"/>
      <c r="K282" s="841"/>
      <c r="L282" s="841"/>
      <c r="M282" s="841"/>
      <c r="N282" s="1761"/>
      <c r="O282" s="841"/>
    </row>
    <row r="283" spans="1:15" hidden="1" x14ac:dyDescent="0.35">
      <c r="A283" t="s">
        <v>218</v>
      </c>
      <c r="B283" s="459">
        <f>BUDGET!AY283</f>
        <v>0</v>
      </c>
      <c r="C283" s="459"/>
      <c r="D283" s="779" t="str">
        <f>BUDGET!A283</f>
        <v xml:space="preserve">   VET. BNFTS</v>
      </c>
      <c r="E283" s="810">
        <v>20960</v>
      </c>
      <c r="F283" s="2200">
        <f>BUDGET!AX283</f>
        <v>0</v>
      </c>
      <c r="G283" s="810"/>
      <c r="H283" s="1110"/>
      <c r="I283" s="1658"/>
      <c r="J283" s="810"/>
      <c r="K283" s="1410"/>
      <c r="L283" s="1410"/>
      <c r="M283" s="1410"/>
      <c r="N283" s="1763"/>
      <c r="O283" s="1410"/>
    </row>
    <row r="284" spans="1:15" ht="13.15" hidden="1" x14ac:dyDescent="0.4">
      <c r="A284" t="s">
        <v>218</v>
      </c>
      <c r="B284" s="459">
        <f>BUDGET!AY284</f>
        <v>0</v>
      </c>
      <c r="C284" s="459"/>
      <c r="D284" s="842" t="str">
        <f>BUDGET!A284</f>
        <v xml:space="preserve">   TOTAL</v>
      </c>
      <c r="E284" s="785">
        <v>20960</v>
      </c>
      <c r="F284" s="2201">
        <f>BUDGET!AX284</f>
        <v>0</v>
      </c>
      <c r="G284" s="2439" t="s">
        <v>1232</v>
      </c>
      <c r="H284" s="2058">
        <v>45363</v>
      </c>
      <c r="I284" s="1659"/>
      <c r="J284" s="785"/>
      <c r="K284" s="820"/>
      <c r="L284" s="820"/>
      <c r="M284" s="820"/>
      <c r="N284" s="1764"/>
      <c r="O284" s="820"/>
    </row>
    <row r="285" spans="1:15" hidden="1" x14ac:dyDescent="0.35">
      <c r="B285" s="459">
        <f>BUDGET!AY285</f>
        <v>0</v>
      </c>
      <c r="C285" s="459"/>
      <c r="D285" s="821"/>
      <c r="E285" s="822"/>
      <c r="F285" s="2202">
        <f>BUDGET!AX285</f>
        <v>0</v>
      </c>
      <c r="G285" s="822"/>
      <c r="H285" s="1160"/>
      <c r="I285" s="1660"/>
      <c r="J285" s="822"/>
      <c r="K285" s="1160"/>
      <c r="L285" s="1160"/>
      <c r="M285" s="1160"/>
      <c r="N285" s="1765"/>
      <c r="O285" s="1110"/>
    </row>
    <row r="286" spans="1:15" hidden="1" x14ac:dyDescent="0.35">
      <c r="A286" t="s">
        <v>218</v>
      </c>
      <c r="B286" s="459">
        <f>BUDGET!AY286</f>
        <v>0</v>
      </c>
      <c r="C286" s="459"/>
      <c r="D286" s="779" t="str">
        <f>BUDGET!A286</f>
        <v>SOLDIERS &amp; SAILORS GRAVES</v>
      </c>
      <c r="E286" s="788"/>
      <c r="F286" s="2198">
        <f>BUDGET!AX286</f>
        <v>0</v>
      </c>
      <c r="G286" s="788"/>
      <c r="H286" s="841"/>
      <c r="I286" s="1656"/>
      <c r="J286" s="788"/>
      <c r="K286" s="841"/>
      <c r="L286" s="841"/>
      <c r="M286" s="841"/>
      <c r="N286" s="1761"/>
      <c r="O286" s="841"/>
    </row>
    <row r="287" spans="1:15" hidden="1" x14ac:dyDescent="0.35">
      <c r="A287" t="s">
        <v>218</v>
      </c>
      <c r="B287" s="459">
        <f>BUDGET!AY287</f>
        <v>0</v>
      </c>
      <c r="C287" s="459"/>
      <c r="D287" s="779" t="str">
        <f>BUDGET!A287</f>
        <v xml:space="preserve">   OTHER</v>
      </c>
      <c r="E287" s="810">
        <v>1000</v>
      </c>
      <c r="F287" s="2200">
        <f>BUDGET!AX287</f>
        <v>0</v>
      </c>
      <c r="G287" s="810"/>
      <c r="H287" s="1110"/>
      <c r="I287" s="1658"/>
      <c r="J287" s="810"/>
      <c r="K287" s="1410"/>
      <c r="L287" s="1410"/>
      <c r="M287" s="1410"/>
      <c r="N287" s="1763"/>
      <c r="O287" s="1410"/>
    </row>
    <row r="288" spans="1:15" ht="13.15" hidden="1" x14ac:dyDescent="0.4">
      <c r="A288" t="s">
        <v>218</v>
      </c>
      <c r="B288" s="459">
        <f>BUDGET!AY288</f>
        <v>0</v>
      </c>
      <c r="C288" s="459"/>
      <c r="D288" s="842" t="str">
        <f>BUDGET!A288</f>
        <v xml:space="preserve">   TOTAL</v>
      </c>
      <c r="E288" s="785">
        <v>1000</v>
      </c>
      <c r="F288" s="2201">
        <f>BUDGET!AX288</f>
        <v>0</v>
      </c>
      <c r="G288" s="2439" t="s">
        <v>1232</v>
      </c>
      <c r="H288" s="2058">
        <v>45363</v>
      </c>
      <c r="I288" s="1659"/>
      <c r="J288" s="785"/>
      <c r="K288" s="820"/>
      <c r="L288" s="820"/>
      <c r="M288" s="820"/>
      <c r="N288" s="1764"/>
      <c r="O288" s="820"/>
    </row>
    <row r="289" spans="1:15" hidden="1" x14ac:dyDescent="0.35">
      <c r="B289" s="459">
        <f>BUDGET!AY289</f>
        <v>0</v>
      </c>
      <c r="C289" s="459"/>
      <c r="D289" s="821"/>
      <c r="E289" s="822"/>
      <c r="F289" s="2202">
        <f>BUDGET!AX289</f>
        <v>0</v>
      </c>
      <c r="G289" s="822"/>
      <c r="H289" s="1160"/>
      <c r="I289" s="1660"/>
      <c r="J289" s="822"/>
      <c r="K289" s="1160"/>
      <c r="L289" s="1160"/>
      <c r="M289" s="1160"/>
      <c r="N289" s="1765"/>
      <c r="O289" s="1110"/>
    </row>
    <row r="290" spans="1:15" hidden="1" x14ac:dyDescent="0.35">
      <c r="B290" s="459">
        <f>BUDGET!AY290</f>
        <v>0</v>
      </c>
      <c r="C290" s="459"/>
      <c r="D290" s="771" t="str">
        <f>BUDGET!A290</f>
        <v>SUBTOTAL:    HUMAN SERVICES</v>
      </c>
      <c r="E290" s="827"/>
      <c r="F290" s="2207">
        <f>BUDGET!AX290</f>
        <v>0</v>
      </c>
      <c r="G290" s="827"/>
      <c r="H290" s="1127"/>
      <c r="I290" s="1666"/>
      <c r="J290" s="827"/>
      <c r="K290" s="1127"/>
      <c r="L290" s="1127"/>
      <c r="M290" s="1127"/>
      <c r="N290" s="1771"/>
      <c r="O290" s="1127"/>
    </row>
    <row r="291" spans="1:15" hidden="1" x14ac:dyDescent="0.35">
      <c r="B291" s="459">
        <f>BUDGET!AY291</f>
        <v>0</v>
      </c>
      <c r="C291" s="459"/>
      <c r="D291" s="842" t="str">
        <f>BUDGET!A291</f>
        <v xml:space="preserve">   SALARIES</v>
      </c>
      <c r="E291" s="888">
        <v>161213</v>
      </c>
      <c r="F291" s="2209">
        <f>BUDGET!AX291</f>
        <v>0</v>
      </c>
      <c r="G291" s="888"/>
      <c r="H291" s="820"/>
      <c r="I291" s="1668"/>
      <c r="J291" s="888"/>
      <c r="K291" s="1626"/>
      <c r="L291" s="1626"/>
      <c r="M291" s="1626"/>
      <c r="N291" s="1774"/>
      <c r="O291" s="1626"/>
    </row>
    <row r="292" spans="1:15" hidden="1" x14ac:dyDescent="0.35">
      <c r="B292" s="459">
        <f>BUDGET!AY292</f>
        <v>0</v>
      </c>
      <c r="C292" s="459"/>
      <c r="D292" s="842" t="str">
        <f>BUDGET!A292</f>
        <v xml:space="preserve">   WAGES</v>
      </c>
      <c r="E292" s="888">
        <v>98876</v>
      </c>
      <c r="F292" s="2209">
        <f>BUDGET!AX292</f>
        <v>0</v>
      </c>
      <c r="G292" s="888"/>
      <c r="H292" s="820"/>
      <c r="I292" s="1668"/>
      <c r="J292" s="888"/>
      <c r="K292" s="1626"/>
      <c r="L292" s="1626"/>
      <c r="M292" s="1626"/>
      <c r="N292" s="1774"/>
      <c r="O292" s="1626"/>
    </row>
    <row r="293" spans="1:15" hidden="1" x14ac:dyDescent="0.35">
      <c r="B293" s="459">
        <f>BUDGET!AY293</f>
        <v>0</v>
      </c>
      <c r="C293" s="459"/>
      <c r="D293" s="842" t="str">
        <f>BUDGET!A293</f>
        <v xml:space="preserve">   SERVICES</v>
      </c>
      <c r="E293" s="888"/>
      <c r="F293" s="2209">
        <f>BUDGET!AX293</f>
        <v>0</v>
      </c>
      <c r="G293" s="888"/>
      <c r="H293" s="820"/>
      <c r="I293" s="1668"/>
      <c r="J293" s="888"/>
      <c r="K293" s="1626"/>
      <c r="L293" s="1626"/>
      <c r="M293" s="1626"/>
      <c r="N293" s="1774"/>
      <c r="O293" s="1626"/>
    </row>
    <row r="294" spans="1:15" hidden="1" x14ac:dyDescent="0.35">
      <c r="B294" s="459">
        <f>BUDGET!AY294</f>
        <v>0</v>
      </c>
      <c r="C294" s="459"/>
      <c r="D294" s="842" t="str">
        <f>BUDGET!A294</f>
        <v xml:space="preserve">   OTHER</v>
      </c>
      <c r="E294" s="888">
        <v>42453</v>
      </c>
      <c r="F294" s="2209">
        <f>BUDGET!AX294</f>
        <v>0</v>
      </c>
      <c r="G294" s="888"/>
      <c r="H294" s="820"/>
      <c r="I294" s="1668"/>
      <c r="J294" s="888"/>
      <c r="K294" s="1626"/>
      <c r="L294" s="1626"/>
      <c r="M294" s="1626"/>
      <c r="N294" s="1774"/>
      <c r="O294" s="1626"/>
    </row>
    <row r="295" spans="1:15" hidden="1" x14ac:dyDescent="0.35">
      <c r="B295" s="459">
        <f>BUDGET!AY295</f>
        <v>0</v>
      </c>
      <c r="C295" s="459"/>
      <c r="D295" s="842" t="str">
        <f>BUDGET!A295</f>
        <v>VET'S BENEFITS</v>
      </c>
      <c r="E295" s="888">
        <v>20960</v>
      </c>
      <c r="F295" s="2209">
        <f>BUDGET!AX295</f>
        <v>0</v>
      </c>
      <c r="G295" s="888"/>
      <c r="H295" s="820"/>
      <c r="I295" s="1668"/>
      <c r="J295" s="888"/>
      <c r="K295" s="1626"/>
      <c r="L295" s="1626"/>
      <c r="M295" s="1626"/>
      <c r="N295" s="1774"/>
      <c r="O295" s="1626"/>
    </row>
    <row r="296" spans="1:15" ht="13.15" hidden="1" thickBot="1" x14ac:dyDescent="0.4">
      <c r="B296" s="459">
        <f>BUDGET!AY296</f>
        <v>0</v>
      </c>
      <c r="C296" s="459"/>
      <c r="D296" s="902" t="str">
        <f>BUDGET!A296</f>
        <v>HUMAN SERVICES:  SUB-TOTAL</v>
      </c>
      <c r="E296" s="1017">
        <v>323502</v>
      </c>
      <c r="F296" s="2215">
        <f>BUDGET!AX296</f>
        <v>0</v>
      </c>
      <c r="G296" s="1017"/>
      <c r="H296" s="2050"/>
      <c r="I296" s="1669"/>
      <c r="J296" s="1017"/>
      <c r="K296" s="1638"/>
      <c r="L296" s="1638"/>
      <c r="M296" s="1638"/>
      <c r="N296" s="1788"/>
      <c r="O296" s="2459"/>
    </row>
    <row r="297" spans="1:15" hidden="1" x14ac:dyDescent="0.35">
      <c r="B297" s="459">
        <f>BUDGET!AY297</f>
        <v>0</v>
      </c>
      <c r="C297" s="459"/>
      <c r="D297" s="771" t="str">
        <f>BUDGET!A297</f>
        <v>CULTURE AND RECREATION</v>
      </c>
      <c r="E297" s="825"/>
      <c r="F297" s="2197">
        <f>BUDGET!AX297</f>
        <v>0</v>
      </c>
      <c r="G297" s="825"/>
      <c r="H297" s="1110"/>
      <c r="I297" s="1661"/>
      <c r="J297" s="825"/>
      <c r="K297" s="1110"/>
      <c r="L297" s="1110"/>
      <c r="M297" s="1110"/>
      <c r="N297" s="1766"/>
      <c r="O297" s="1110"/>
    </row>
    <row r="298" spans="1:15" hidden="1" x14ac:dyDescent="0.35">
      <c r="A298" s="459" t="s">
        <v>154</v>
      </c>
      <c r="B298" s="459">
        <f>BUDGET!AY298</f>
        <v>0</v>
      </c>
      <c r="C298" s="459"/>
      <c r="D298" s="779" t="str">
        <f>BUDGET!A298</f>
        <v>LIBRARY</v>
      </c>
      <c r="E298" s="788"/>
      <c r="F298" s="2198">
        <f>BUDGET!AX298</f>
        <v>0</v>
      </c>
      <c r="G298" s="788"/>
      <c r="H298" s="841"/>
      <c r="I298" s="1656"/>
      <c r="J298" s="788"/>
      <c r="K298" s="841"/>
      <c r="L298" s="841"/>
      <c r="M298" s="841"/>
      <c r="N298" s="1761"/>
      <c r="O298" s="841"/>
    </row>
    <row r="299" spans="1:15" hidden="1" x14ac:dyDescent="0.35">
      <c r="A299" t="s">
        <v>154</v>
      </c>
      <c r="B299" s="459">
        <f>BUDGET!AY299</f>
        <v>0</v>
      </c>
      <c r="C299" s="459"/>
      <c r="D299" s="779" t="str">
        <f>BUDGET!A299</f>
        <v xml:space="preserve">   SALARIES</v>
      </c>
      <c r="E299" s="810">
        <v>288801</v>
      </c>
      <c r="F299" s="2200">
        <f>BUDGET!AX299</f>
        <v>0</v>
      </c>
      <c r="G299" s="810"/>
      <c r="H299" s="1110"/>
      <c r="I299" s="1658"/>
      <c r="J299" s="810"/>
      <c r="K299" s="1410"/>
      <c r="L299" s="1410"/>
      <c r="M299" s="1410"/>
      <c r="N299" s="1763"/>
      <c r="O299" s="1410"/>
    </row>
    <row r="300" spans="1:15" hidden="1" x14ac:dyDescent="0.35">
      <c r="A300" t="s">
        <v>154</v>
      </c>
      <c r="B300" s="459">
        <f>BUDGET!AY300</f>
        <v>0</v>
      </c>
      <c r="C300" s="459"/>
      <c r="D300" s="779" t="str">
        <f>BUDGET!A300</f>
        <v xml:space="preserve">   WAGES</v>
      </c>
      <c r="E300" s="810">
        <v>227878</v>
      </c>
      <c r="F300" s="2200">
        <f>BUDGET!AX300</f>
        <v>0</v>
      </c>
      <c r="G300" s="810"/>
      <c r="H300" s="1110"/>
      <c r="I300" s="1658"/>
      <c r="J300" s="810"/>
      <c r="K300" s="1410"/>
      <c r="L300" s="1410"/>
      <c r="M300" s="1410"/>
      <c r="N300" s="1763"/>
      <c r="O300" s="1410"/>
    </row>
    <row r="301" spans="1:15" hidden="1" x14ac:dyDescent="0.35">
      <c r="A301" t="s">
        <v>154</v>
      </c>
      <c r="B301" s="459">
        <f>BUDGET!AY301</f>
        <v>0</v>
      </c>
      <c r="C301" s="459"/>
      <c r="D301" s="779" t="str">
        <f>BUDGET!A301</f>
        <v xml:space="preserve">   OTHER</v>
      </c>
      <c r="E301" s="810">
        <v>183847</v>
      </c>
      <c r="F301" s="2200">
        <f>BUDGET!AX301</f>
        <v>0</v>
      </c>
      <c r="G301" s="810"/>
      <c r="H301" s="2241"/>
      <c r="I301" s="1656" t="str">
        <f t="shared" ref="I301" si="6">IF(B301="yes",F301,"")</f>
        <v/>
      </c>
      <c r="J301" s="788"/>
      <c r="K301" s="841"/>
      <c r="L301" s="841"/>
      <c r="M301" s="841"/>
      <c r="N301" s="2243"/>
      <c r="O301" s="2457"/>
    </row>
    <row r="302" spans="1:15" hidden="1" x14ac:dyDescent="0.35">
      <c r="A302" t="s">
        <v>154</v>
      </c>
      <c r="B302" s="459">
        <f>BUDGET!AY302</f>
        <v>0</v>
      </c>
      <c r="C302" s="459"/>
      <c r="D302" s="779" t="str">
        <f>BUDGET!A302</f>
        <v xml:space="preserve">   MISC.</v>
      </c>
      <c r="E302" s="788"/>
      <c r="F302" s="2198">
        <f>BUDGET!AX302</f>
        <v>0</v>
      </c>
      <c r="G302" s="788"/>
      <c r="H302" s="841"/>
      <c r="I302" s="1656"/>
      <c r="J302" s="788"/>
      <c r="K302" s="841"/>
      <c r="L302" s="841"/>
      <c r="M302" s="841"/>
      <c r="N302" s="1761"/>
      <c r="O302" s="841"/>
    </row>
    <row r="303" spans="1:15" hidden="1" x14ac:dyDescent="0.35">
      <c r="A303" t="s">
        <v>154</v>
      </c>
      <c r="B303" s="459">
        <f>BUDGET!AY303</f>
        <v>0</v>
      </c>
      <c r="C303" s="459"/>
      <c r="D303" s="779" t="str">
        <f>BUDGET!A303</f>
        <v xml:space="preserve">   SUB-TOTAL</v>
      </c>
      <c r="E303" s="1454">
        <v>700526</v>
      </c>
      <c r="F303" s="2220">
        <f>BUDGET!AX303</f>
        <v>0</v>
      </c>
      <c r="G303" s="1454"/>
      <c r="H303" s="1028"/>
      <c r="I303" s="1681"/>
      <c r="J303" s="1454"/>
      <c r="K303" s="1639"/>
      <c r="L303" s="1639"/>
      <c r="M303" s="1639"/>
      <c r="N303" s="1791"/>
      <c r="O303" s="1639"/>
    </row>
    <row r="304" spans="1:15" hidden="1" x14ac:dyDescent="0.35">
      <c r="A304" t="s">
        <v>154</v>
      </c>
      <c r="B304" s="459">
        <f>BUDGET!AY304</f>
        <v>0</v>
      </c>
      <c r="C304" s="459"/>
      <c r="D304" s="779" t="str">
        <f>BUDGET!A304</f>
        <v xml:space="preserve">   TRUST FUNDS</v>
      </c>
      <c r="E304" s="863"/>
      <c r="F304" s="2207">
        <f>BUDGET!AX304</f>
        <v>0</v>
      </c>
      <c r="G304" s="863"/>
      <c r="H304" s="1128"/>
      <c r="I304" s="1682"/>
      <c r="J304" s="863"/>
      <c r="K304" s="1128"/>
      <c r="L304" s="1128"/>
      <c r="M304" s="1128"/>
      <c r="N304" s="1792"/>
      <c r="O304" s="1128"/>
    </row>
    <row r="305" spans="1:15" ht="13.15" hidden="1" x14ac:dyDescent="0.4">
      <c r="A305" t="s">
        <v>154</v>
      </c>
      <c r="B305" s="459">
        <f>BUDGET!AY305</f>
        <v>0</v>
      </c>
      <c r="C305" s="459"/>
      <c r="D305" s="842" t="str">
        <f>BUDGET!A305</f>
        <v xml:space="preserve">   TOTAL</v>
      </c>
      <c r="E305" s="785">
        <v>700526</v>
      </c>
      <c r="F305" s="2201">
        <f>BUDGET!AX305</f>
        <v>0</v>
      </c>
      <c r="G305" s="2439" t="s">
        <v>1232</v>
      </c>
      <c r="H305" s="2058">
        <v>45363</v>
      </c>
      <c r="I305" s="1659"/>
      <c r="J305" s="785"/>
      <c r="K305" s="820"/>
      <c r="L305" s="820"/>
      <c r="M305" s="820"/>
      <c r="N305" s="1764"/>
      <c r="O305" s="820"/>
    </row>
    <row r="306" spans="1:15" hidden="1" x14ac:dyDescent="0.35">
      <c r="B306" s="459">
        <f>BUDGET!AY306</f>
        <v>0</v>
      </c>
      <c r="C306" s="459"/>
      <c r="D306" s="821"/>
      <c r="E306" s="822"/>
      <c r="F306" s="2202">
        <f>BUDGET!AX306</f>
        <v>0</v>
      </c>
      <c r="G306" s="822"/>
      <c r="H306" s="1160"/>
      <c r="I306" s="1660"/>
      <c r="J306" s="822"/>
      <c r="K306" s="1160"/>
      <c r="L306" s="1160"/>
      <c r="M306" s="1160"/>
      <c r="N306" s="1765"/>
      <c r="O306" s="1110"/>
    </row>
    <row r="307" spans="1:15" hidden="1" x14ac:dyDescent="0.35">
      <c r="A307" s="459" t="s">
        <v>1052</v>
      </c>
      <c r="B307" s="459">
        <f>BUDGET!AY307</f>
        <v>0</v>
      </c>
      <c r="C307" s="459"/>
      <c r="D307" s="1436" t="str">
        <f>BUDGET!A307</f>
        <v>RECREATION</v>
      </c>
      <c r="E307" s="825"/>
      <c r="F307" s="2197">
        <f>BUDGET!AX307</f>
        <v>0</v>
      </c>
      <c r="G307" s="825"/>
      <c r="H307" s="1110"/>
      <c r="I307" s="1661"/>
      <c r="J307" s="825"/>
      <c r="K307" s="1110"/>
      <c r="L307" s="1110"/>
      <c r="M307" s="1110"/>
      <c r="N307" s="1766"/>
      <c r="O307" s="1110"/>
    </row>
    <row r="308" spans="1:15" hidden="1" x14ac:dyDescent="0.35">
      <c r="A308" t="s">
        <v>1052</v>
      </c>
      <c r="B308" s="459">
        <f>BUDGET!AY308</f>
        <v>0</v>
      </c>
      <c r="C308" s="459"/>
      <c r="D308" s="779" t="str">
        <f>BUDGET!A308</f>
        <v xml:space="preserve">   SALARY</v>
      </c>
      <c r="E308" s="825"/>
      <c r="F308" s="2197">
        <f>BUDGET!AX308</f>
        <v>0</v>
      </c>
      <c r="G308" s="825"/>
      <c r="H308" s="1110"/>
      <c r="I308" s="1661"/>
      <c r="J308" s="825"/>
      <c r="K308" s="1110"/>
      <c r="L308" s="1110"/>
      <c r="M308" s="1110"/>
      <c r="N308" s="1766"/>
      <c r="O308" s="1110"/>
    </row>
    <row r="309" spans="1:15" hidden="1" x14ac:dyDescent="0.35">
      <c r="A309" t="s">
        <v>1052</v>
      </c>
      <c r="B309" s="459">
        <f>BUDGET!AY309</f>
        <v>0</v>
      </c>
      <c r="C309" s="459"/>
      <c r="D309" s="779" t="str">
        <f>BUDGET!A309</f>
        <v xml:space="preserve">   WAGES</v>
      </c>
      <c r="E309" s="825">
        <v>34047</v>
      </c>
      <c r="F309" s="2197">
        <f>BUDGET!AX309</f>
        <v>0</v>
      </c>
      <c r="G309" s="825"/>
      <c r="H309" s="1110"/>
      <c r="I309" s="1661"/>
      <c r="J309" s="825"/>
      <c r="K309" s="1110"/>
      <c r="L309" s="1110"/>
      <c r="M309" s="1110"/>
      <c r="N309" s="1766"/>
      <c r="O309" s="1110"/>
    </row>
    <row r="310" spans="1:15" x14ac:dyDescent="0.35">
      <c r="A310" t="s">
        <v>1052</v>
      </c>
      <c r="B310" s="459">
        <f>BUDGET!AY310</f>
        <v>1</v>
      </c>
      <c r="C310" s="459"/>
      <c r="D310" s="779" t="str">
        <f>BUDGET!A310</f>
        <v xml:space="preserve">   OTHER</v>
      </c>
      <c r="E310" s="825">
        <v>2920</v>
      </c>
      <c r="F310" s="2200">
        <f>IF(_xlfn.NUMBERVALUE(J310)=0,0,I310)+IF(_xlfn.NUMBERVALUE(L310)=0,0,K310)+IF(_xlfn.NUMBERVALUE(N310)=0,0,M310)</f>
        <v>2614</v>
      </c>
      <c r="G310" s="825"/>
      <c r="H310" s="1110"/>
      <c r="I310" s="2484">
        <v>2614</v>
      </c>
      <c r="J310" s="2510">
        <v>45376</v>
      </c>
      <c r="K310" s="2483"/>
      <c r="L310" s="2483"/>
      <c r="M310" s="2483"/>
      <c r="N310" s="1766"/>
      <c r="O310" s="725"/>
    </row>
    <row r="311" spans="1:15" ht="13.15" hidden="1" x14ac:dyDescent="0.4">
      <c r="A311" t="s">
        <v>1052</v>
      </c>
      <c r="B311" s="459">
        <f>BUDGET!AY311</f>
        <v>0</v>
      </c>
      <c r="C311" s="459"/>
      <c r="D311" s="842" t="str">
        <f>BUDGET!A311</f>
        <v xml:space="preserve">   TOTAL</v>
      </c>
      <c r="E311" s="827">
        <v>36967</v>
      </c>
      <c r="F311" s="2207">
        <f>BUDGET!AX311</f>
        <v>0</v>
      </c>
      <c r="G311" s="2439" t="s">
        <v>1232</v>
      </c>
      <c r="H311" s="2058">
        <v>45363</v>
      </c>
      <c r="I311" s="1666"/>
      <c r="J311" s="827"/>
      <c r="K311" s="1127"/>
      <c r="L311" s="1127"/>
      <c r="M311" s="1127"/>
      <c r="N311" s="1771"/>
      <c r="O311" s="1127"/>
    </row>
    <row r="312" spans="1:15" hidden="1" x14ac:dyDescent="0.35">
      <c r="B312" s="459">
        <f>BUDGET!AY312</f>
        <v>0</v>
      </c>
      <c r="C312" s="459"/>
      <c r="D312" s="821"/>
      <c r="E312" s="822"/>
      <c r="F312" s="2202">
        <f>BUDGET!AX312</f>
        <v>0</v>
      </c>
      <c r="G312" s="822"/>
      <c r="H312" s="1160"/>
      <c r="I312" s="1660"/>
      <c r="J312" s="822"/>
      <c r="K312" s="1160"/>
      <c r="L312" s="1160"/>
      <c r="M312" s="1160"/>
      <c r="N312" s="1765"/>
      <c r="O312" s="1110"/>
    </row>
    <row r="313" spans="1:15" hidden="1" x14ac:dyDescent="0.35">
      <c r="B313" s="459">
        <f>BUDGET!AY313</f>
        <v>0</v>
      </c>
      <c r="C313" s="459" t="str">
        <f>BUDGET!BC313</f>
        <v>x</v>
      </c>
      <c r="D313" s="779">
        <f>BUDGET!A313</f>
        <v>0</v>
      </c>
      <c r="E313" s="825"/>
      <c r="F313" s="2197">
        <f>BUDGET!AX313</f>
        <v>0</v>
      </c>
      <c r="G313" s="825"/>
      <c r="H313" s="1110"/>
      <c r="I313" s="1661"/>
      <c r="J313" s="825"/>
      <c r="K313" s="1110"/>
      <c r="L313" s="1110"/>
      <c r="M313" s="1110"/>
      <c r="N313" s="1766"/>
      <c r="O313" s="1110"/>
    </row>
    <row r="314" spans="1:15" hidden="1" x14ac:dyDescent="0.35">
      <c r="B314" s="459">
        <f>BUDGET!AY314</f>
        <v>0</v>
      </c>
      <c r="C314" s="459" t="str">
        <f>BUDGET!BC314</f>
        <v>x</v>
      </c>
      <c r="D314" s="779">
        <f>BUDGET!A314</f>
        <v>0</v>
      </c>
      <c r="E314" s="825"/>
      <c r="F314" s="2197">
        <f>BUDGET!AX314</f>
        <v>0</v>
      </c>
      <c r="G314" s="825"/>
      <c r="H314" s="1110"/>
      <c r="I314" s="1661"/>
      <c r="J314" s="825"/>
      <c r="K314" s="1110"/>
      <c r="L314" s="1110"/>
      <c r="M314" s="1110"/>
      <c r="N314" s="1766"/>
      <c r="O314" s="1110"/>
    </row>
    <row r="315" spans="1:15" hidden="1" x14ac:dyDescent="0.35">
      <c r="B315" s="459">
        <f>BUDGET!AY315</f>
        <v>0</v>
      </c>
      <c r="C315" s="459" t="str">
        <f>BUDGET!BC315</f>
        <v>x</v>
      </c>
      <c r="D315" s="779" t="str">
        <f>BUDGET!A315</f>
        <v>PARK AND CEMETERY</v>
      </c>
      <c r="E315" s="1030"/>
      <c r="F315" s="2204">
        <f>BUDGET!AX315</f>
        <v>0</v>
      </c>
      <c r="G315" s="1030"/>
      <c r="H315" s="1420"/>
      <c r="I315" s="1663"/>
      <c r="J315" s="1030"/>
      <c r="K315" s="1420"/>
      <c r="L315" s="1420"/>
      <c r="M315" s="1420"/>
      <c r="N315" s="1768"/>
      <c r="O315" s="1420"/>
    </row>
    <row r="316" spans="1:15" hidden="1" x14ac:dyDescent="0.35">
      <c r="B316" s="459">
        <f>BUDGET!AY316</f>
        <v>0</v>
      </c>
      <c r="C316" s="459" t="str">
        <f>BUDGET!BC316</f>
        <v>x</v>
      </c>
      <c r="D316" s="779" t="str">
        <f>BUDGET!A316</f>
        <v xml:space="preserve">   SALARY</v>
      </c>
      <c r="E316" s="1031"/>
      <c r="F316" s="2221">
        <f>BUDGET!AX316</f>
        <v>0</v>
      </c>
      <c r="G316" s="1031"/>
      <c r="H316" s="2051"/>
      <c r="I316" s="1679"/>
      <c r="J316" s="1031"/>
      <c r="K316" s="1031"/>
      <c r="L316" s="1031"/>
      <c r="M316" s="1031"/>
      <c r="N316" s="1789"/>
      <c r="O316" s="1031"/>
    </row>
    <row r="317" spans="1:15" hidden="1" x14ac:dyDescent="0.35">
      <c r="B317" s="459">
        <f>BUDGET!AY317</f>
        <v>0</v>
      </c>
      <c r="C317" s="459" t="str">
        <f>BUDGET!BC317</f>
        <v>x</v>
      </c>
      <c r="D317" s="779" t="str">
        <f>BUDGET!A317</f>
        <v xml:space="preserve">   WAGES</v>
      </c>
      <c r="E317" s="1031"/>
      <c r="F317" s="2221">
        <f>BUDGET!AX317</f>
        <v>0</v>
      </c>
      <c r="G317" s="1031"/>
      <c r="H317" s="2051"/>
      <c r="I317" s="1679"/>
      <c r="J317" s="1031"/>
      <c r="K317" s="1031"/>
      <c r="L317" s="1031"/>
      <c r="M317" s="1031"/>
      <c r="N317" s="1789"/>
      <c r="O317" s="1031"/>
    </row>
    <row r="318" spans="1:15" hidden="1" x14ac:dyDescent="0.35">
      <c r="B318" s="459">
        <f>BUDGET!AY318</f>
        <v>0</v>
      </c>
      <c r="C318" s="459" t="str">
        <f>BUDGET!BC318</f>
        <v>x</v>
      </c>
      <c r="D318" s="779" t="str">
        <f>BUDGET!A318</f>
        <v xml:space="preserve">   OTHER</v>
      </c>
      <c r="E318" s="1031"/>
      <c r="F318" s="2221">
        <f>BUDGET!AX318</f>
        <v>0</v>
      </c>
      <c r="G318" s="1031"/>
      <c r="H318" s="2051"/>
      <c r="I318" s="1679"/>
      <c r="J318" s="1031"/>
      <c r="K318" s="1031"/>
      <c r="L318" s="1031"/>
      <c r="M318" s="1031"/>
      <c r="N318" s="1789"/>
      <c r="O318" s="1031"/>
    </row>
    <row r="319" spans="1:15" hidden="1" x14ac:dyDescent="0.35">
      <c r="B319" s="459">
        <f>BUDGET!AY319</f>
        <v>0</v>
      </c>
      <c r="C319" s="459" t="str">
        <f>BUDGET!BC319</f>
        <v>x</v>
      </c>
      <c r="D319" s="779" t="str">
        <f>BUDGET!A319</f>
        <v xml:space="preserve">   SALE OF LOTS</v>
      </c>
      <c r="E319" s="1031"/>
      <c r="F319" s="2221">
        <f>BUDGET!AX319</f>
        <v>0</v>
      </c>
      <c r="G319" s="1031"/>
      <c r="H319" s="2051"/>
      <c r="I319" s="1679"/>
      <c r="J319" s="1031"/>
      <c r="K319" s="1031"/>
      <c r="L319" s="1031"/>
      <c r="M319" s="1031"/>
      <c r="N319" s="1789"/>
      <c r="O319" s="1031"/>
    </row>
    <row r="320" spans="1:15" hidden="1" x14ac:dyDescent="0.35">
      <c r="B320" s="459">
        <f>BUDGET!AY320</f>
        <v>0</v>
      </c>
      <c r="C320" s="459" t="str">
        <f>BUDGET!BC320</f>
        <v>x</v>
      </c>
      <c r="D320" s="779" t="str">
        <f>BUDGET!A320</f>
        <v xml:space="preserve">   PERPETUAL CARE TRUST FUND</v>
      </c>
      <c r="E320" s="1031"/>
      <c r="F320" s="2221">
        <f>BUDGET!AX320</f>
        <v>0</v>
      </c>
      <c r="G320" s="1031"/>
      <c r="H320" s="2051"/>
      <c r="I320" s="1679"/>
      <c r="J320" s="1031"/>
      <c r="K320" s="1031"/>
      <c r="L320" s="1031"/>
      <c r="M320" s="1031"/>
      <c r="N320" s="1789"/>
      <c r="O320" s="1031"/>
    </row>
    <row r="321" spans="1:15" hidden="1" x14ac:dyDescent="0.35">
      <c r="B321" s="459">
        <f>BUDGET!AY321</f>
        <v>0</v>
      </c>
      <c r="C321" s="459" t="str">
        <f>BUDGET!BC321</f>
        <v>x</v>
      </c>
      <c r="D321" s="842" t="str">
        <f>BUDGET!A321</f>
        <v xml:space="preserve">   TOTAL</v>
      </c>
      <c r="E321" s="1031"/>
      <c r="F321" s="2221">
        <f>BUDGET!AX321</f>
        <v>0</v>
      </c>
      <c r="G321" s="1031"/>
      <c r="H321" s="2051"/>
      <c r="I321" s="1679"/>
      <c r="J321" s="1031"/>
      <c r="K321" s="1031"/>
      <c r="L321" s="1031"/>
      <c r="M321" s="1031"/>
      <c r="N321" s="1789"/>
      <c r="O321" s="1031"/>
    </row>
    <row r="322" spans="1:15" hidden="1" x14ac:dyDescent="0.35">
      <c r="B322" s="459">
        <f>BUDGET!AY322</f>
        <v>0</v>
      </c>
      <c r="C322" s="459" t="str">
        <f>BUDGET!BC322</f>
        <v>x</v>
      </c>
      <c r="D322" s="821">
        <f>BUDGET!A322</f>
        <v>0</v>
      </c>
      <c r="E322" s="1034"/>
      <c r="F322" s="2206">
        <f>BUDGET!AX322</f>
        <v>0</v>
      </c>
      <c r="G322" s="1034"/>
      <c r="H322" s="1624"/>
      <c r="I322" s="1665"/>
      <c r="J322" s="1034"/>
      <c r="K322" s="1624"/>
      <c r="L322" s="1624"/>
      <c r="M322" s="1624"/>
      <c r="N322" s="1770"/>
      <c r="O322" s="1622"/>
    </row>
    <row r="323" spans="1:15" hidden="1" x14ac:dyDescent="0.35">
      <c r="B323" s="459">
        <f>BUDGET!AY323</f>
        <v>0</v>
      </c>
      <c r="C323" s="459" t="str">
        <f>BUDGET!BC323</f>
        <v>x</v>
      </c>
      <c r="D323" s="779" t="str">
        <f>BUDGET!A323</f>
        <v>TREE DEPARTMENT</v>
      </c>
      <c r="E323" s="1030"/>
      <c r="F323" s="2204">
        <f>BUDGET!AX323</f>
        <v>0</v>
      </c>
      <c r="G323" s="1030"/>
      <c r="H323" s="1420"/>
      <c r="I323" s="1663"/>
      <c r="J323" s="1030"/>
      <c r="K323" s="1420"/>
      <c r="L323" s="1420"/>
      <c r="M323" s="1420"/>
      <c r="N323" s="1768"/>
      <c r="O323" s="1420"/>
    </row>
    <row r="324" spans="1:15" hidden="1" x14ac:dyDescent="0.35">
      <c r="B324" s="459">
        <f>BUDGET!AY324</f>
        <v>0</v>
      </c>
      <c r="C324" s="459" t="str">
        <f>BUDGET!BC324</f>
        <v>x</v>
      </c>
      <c r="D324" s="779" t="str">
        <f>BUDGET!A324</f>
        <v xml:space="preserve">   SALARIES</v>
      </c>
      <c r="E324" s="1031"/>
      <c r="F324" s="2221">
        <f>BUDGET!AX324</f>
        <v>0</v>
      </c>
      <c r="G324" s="1031"/>
      <c r="H324" s="2051"/>
      <c r="I324" s="1679"/>
      <c r="J324" s="1031"/>
      <c r="K324" s="1031"/>
      <c r="L324" s="1031"/>
      <c r="M324" s="1031"/>
      <c r="N324" s="1789"/>
      <c r="O324" s="1031"/>
    </row>
    <row r="325" spans="1:15" hidden="1" x14ac:dyDescent="0.35">
      <c r="B325" s="459">
        <f>BUDGET!AY325</f>
        <v>0</v>
      </c>
      <c r="C325" s="459" t="str">
        <f>BUDGET!BC325</f>
        <v>x</v>
      </c>
      <c r="D325" s="779" t="str">
        <f>BUDGET!A325</f>
        <v xml:space="preserve">   WAGES</v>
      </c>
      <c r="E325" s="1031"/>
      <c r="F325" s="2221">
        <f>BUDGET!AX325</f>
        <v>0</v>
      </c>
      <c r="G325" s="1031"/>
      <c r="H325" s="2051"/>
      <c r="I325" s="1679"/>
      <c r="J325" s="1031"/>
      <c r="K325" s="1031"/>
      <c r="L325" s="1031"/>
      <c r="M325" s="1031"/>
      <c r="N325" s="1789"/>
      <c r="O325" s="1031"/>
    </row>
    <row r="326" spans="1:15" hidden="1" x14ac:dyDescent="0.35">
      <c r="B326" s="459">
        <f>BUDGET!AY326</f>
        <v>0</v>
      </c>
      <c r="C326" s="459" t="str">
        <f>BUDGET!BC326</f>
        <v>x</v>
      </c>
      <c r="D326" s="779" t="str">
        <f>BUDGET!A326</f>
        <v xml:space="preserve">   OTHER</v>
      </c>
      <c r="E326" s="1031"/>
      <c r="F326" s="2221">
        <f>BUDGET!AX326</f>
        <v>0</v>
      </c>
      <c r="G326" s="1031"/>
      <c r="H326" s="2051"/>
      <c r="I326" s="1679"/>
      <c r="J326" s="1031"/>
      <c r="K326" s="1031"/>
      <c r="L326" s="1031"/>
      <c r="M326" s="1031"/>
      <c r="N326" s="1789"/>
      <c r="O326" s="1031"/>
    </row>
    <row r="327" spans="1:15" hidden="1" x14ac:dyDescent="0.35">
      <c r="B327" s="459">
        <f>BUDGET!AY327</f>
        <v>0</v>
      </c>
      <c r="C327" s="459" t="str">
        <f>BUDGET!BC327</f>
        <v>x</v>
      </c>
      <c r="D327" s="842" t="str">
        <f>BUDGET!A327</f>
        <v xml:space="preserve">   TOTAL</v>
      </c>
      <c r="E327" s="1031"/>
      <c r="F327" s="2221">
        <f>BUDGET!AX327</f>
        <v>0</v>
      </c>
      <c r="G327" s="1031"/>
      <c r="H327" s="2051"/>
      <c r="I327" s="1679"/>
      <c r="J327" s="1031"/>
      <c r="K327" s="1031"/>
      <c r="L327" s="1031"/>
      <c r="M327" s="1031"/>
      <c r="N327" s="1789"/>
      <c r="O327" s="1031"/>
    </row>
    <row r="328" spans="1:15" hidden="1" x14ac:dyDescent="0.35">
      <c r="B328" s="459">
        <f>BUDGET!AY328</f>
        <v>0</v>
      </c>
      <c r="C328" s="459" t="str">
        <f>BUDGET!BC328</f>
        <v>x</v>
      </c>
      <c r="D328" s="821">
        <f>BUDGET!A328</f>
        <v>0</v>
      </c>
      <c r="E328" s="1034"/>
      <c r="F328" s="2206">
        <f>BUDGET!AX328</f>
        <v>0</v>
      </c>
      <c r="G328" s="1034"/>
      <c r="H328" s="1624"/>
      <c r="I328" s="1665"/>
      <c r="J328" s="1034"/>
      <c r="K328" s="1624"/>
      <c r="L328" s="1624"/>
      <c r="M328" s="1624"/>
      <c r="N328" s="1770"/>
      <c r="O328" s="1622"/>
    </row>
    <row r="329" spans="1:15" hidden="1" x14ac:dyDescent="0.35">
      <c r="A329" s="459" t="s">
        <v>499</v>
      </c>
      <c r="B329" s="459">
        <f>BUDGET!AY329</f>
        <v>0</v>
      </c>
      <c r="C329" s="459"/>
      <c r="D329" s="779" t="str">
        <f>BUDGET!A329</f>
        <v>MEMORIAL DAY &amp; VETERANS DAY</v>
      </c>
      <c r="E329" s="788"/>
      <c r="F329" s="2198">
        <f>BUDGET!AX329</f>
        <v>0</v>
      </c>
      <c r="G329" s="788"/>
      <c r="H329" s="841"/>
      <c r="I329" s="1656"/>
      <c r="J329" s="788"/>
      <c r="K329" s="841"/>
      <c r="L329" s="841"/>
      <c r="M329" s="841"/>
      <c r="N329" s="1761"/>
      <c r="O329" s="841"/>
    </row>
    <row r="330" spans="1:15" hidden="1" x14ac:dyDescent="0.35">
      <c r="A330" t="s">
        <v>499</v>
      </c>
      <c r="B330" s="459">
        <f>BUDGET!AY330</f>
        <v>0</v>
      </c>
      <c r="C330" s="459"/>
      <c r="D330" s="779" t="str">
        <f>BUDGET!A330</f>
        <v xml:space="preserve">   OTHER</v>
      </c>
      <c r="E330" s="810">
        <v>1850</v>
      </c>
      <c r="F330" s="2200">
        <f>BUDGET!AX330</f>
        <v>0</v>
      </c>
      <c r="G330" s="810"/>
      <c r="H330" s="1110"/>
      <c r="I330" s="1658"/>
      <c r="J330" s="810"/>
      <c r="K330" s="1410"/>
      <c r="L330" s="1410"/>
      <c r="M330" s="1410"/>
      <c r="N330" s="1763"/>
      <c r="O330" s="1410"/>
    </row>
    <row r="331" spans="1:15" ht="13.15" hidden="1" x14ac:dyDescent="0.4">
      <c r="A331" t="s">
        <v>499</v>
      </c>
      <c r="B331" s="459">
        <f>BUDGET!AY331</f>
        <v>0</v>
      </c>
      <c r="C331" s="459"/>
      <c r="D331" s="842" t="str">
        <f>BUDGET!A331</f>
        <v xml:space="preserve">   TOTAL</v>
      </c>
      <c r="E331" s="819">
        <v>1850</v>
      </c>
      <c r="F331" s="2223">
        <f>BUDGET!AX331</f>
        <v>0</v>
      </c>
      <c r="G331" s="2439" t="s">
        <v>1232</v>
      </c>
      <c r="H331" s="2058">
        <v>45363</v>
      </c>
      <c r="I331" s="1659"/>
      <c r="J331" s="819"/>
      <c r="K331" s="1057"/>
      <c r="L331" s="1057"/>
      <c r="M331" s="1057"/>
      <c r="N331" s="1772"/>
      <c r="O331" s="820"/>
    </row>
    <row r="332" spans="1:15" hidden="1" x14ac:dyDescent="0.35">
      <c r="B332" s="459">
        <f>BUDGET!AY332</f>
        <v>0</v>
      </c>
      <c r="C332" s="459"/>
      <c r="D332" s="821"/>
      <c r="E332" s="822"/>
      <c r="F332" s="2202">
        <f>BUDGET!AX332</f>
        <v>0</v>
      </c>
      <c r="G332" s="822"/>
      <c r="H332" s="1160"/>
      <c r="I332" s="1660"/>
      <c r="J332" s="822"/>
      <c r="K332" s="1160"/>
      <c r="L332" s="1160"/>
      <c r="M332" s="1160"/>
      <c r="N332" s="1765"/>
      <c r="O332" s="1110"/>
    </row>
    <row r="333" spans="1:15" hidden="1" x14ac:dyDescent="0.35">
      <c r="A333" s="459" t="s">
        <v>497</v>
      </c>
      <c r="B333" s="459">
        <f>BUDGET!AY333</f>
        <v>0</v>
      </c>
      <c r="C333" s="459"/>
      <c r="D333" s="779" t="str">
        <f>BUDGET!A333</f>
        <v>HISTORICAL COMMISSION</v>
      </c>
      <c r="E333" s="788"/>
      <c r="F333" s="2198">
        <f>BUDGET!AX333</f>
        <v>0</v>
      </c>
      <c r="G333" s="788"/>
      <c r="H333" s="841"/>
      <c r="I333" s="1656"/>
      <c r="J333" s="788"/>
      <c r="K333" s="841"/>
      <c r="L333" s="841"/>
      <c r="M333" s="841"/>
      <c r="N333" s="1761"/>
      <c r="O333" s="841"/>
    </row>
    <row r="334" spans="1:15" hidden="1" x14ac:dyDescent="0.35">
      <c r="A334" t="s">
        <v>497</v>
      </c>
      <c r="B334" s="459">
        <f>BUDGET!AY334</f>
        <v>0</v>
      </c>
      <c r="C334" s="459"/>
      <c r="D334" s="779" t="str">
        <f>BUDGET!A334</f>
        <v xml:space="preserve">   WAGES</v>
      </c>
      <c r="E334" s="788"/>
      <c r="F334" s="2198">
        <f>BUDGET!AX334</f>
        <v>0</v>
      </c>
      <c r="G334" s="788"/>
      <c r="H334" s="841"/>
      <c r="I334" s="1656"/>
      <c r="J334" s="788"/>
      <c r="K334" s="841"/>
      <c r="L334" s="841"/>
      <c r="M334" s="841"/>
      <c r="N334" s="1761"/>
      <c r="O334" s="841"/>
    </row>
    <row r="335" spans="1:15" hidden="1" x14ac:dyDescent="0.35">
      <c r="A335" t="s">
        <v>497</v>
      </c>
      <c r="B335" s="459">
        <f>BUDGET!AY335</f>
        <v>0</v>
      </c>
      <c r="C335" s="459"/>
      <c r="D335" s="779" t="str">
        <f>BUDGET!A335</f>
        <v xml:space="preserve">   OTHER</v>
      </c>
      <c r="E335" s="810">
        <v>300</v>
      </c>
      <c r="F335" s="2200">
        <f>BUDGET!AX335</f>
        <v>0</v>
      </c>
      <c r="G335" s="810"/>
      <c r="H335" s="1110"/>
      <c r="I335" s="1658"/>
      <c r="J335" s="810"/>
      <c r="K335" s="1410"/>
      <c r="L335" s="1410"/>
      <c r="M335" s="1410"/>
      <c r="N335" s="1763"/>
      <c r="O335" s="1410"/>
    </row>
    <row r="336" spans="1:15" ht="13.15" hidden="1" x14ac:dyDescent="0.4">
      <c r="A336" t="s">
        <v>497</v>
      </c>
      <c r="B336" s="459">
        <f>BUDGET!AY336</f>
        <v>0</v>
      </c>
      <c r="C336" s="459"/>
      <c r="D336" s="842" t="str">
        <f>BUDGET!A336</f>
        <v xml:space="preserve">   TOTAL</v>
      </c>
      <c r="E336" s="819">
        <v>300</v>
      </c>
      <c r="F336" s="2223">
        <f>BUDGET!AX336</f>
        <v>0</v>
      </c>
      <c r="G336" s="2439" t="s">
        <v>1232</v>
      </c>
      <c r="H336" s="2058">
        <v>45363</v>
      </c>
      <c r="I336" s="1659"/>
      <c r="J336" s="819"/>
      <c r="K336" s="1057"/>
      <c r="L336" s="1057"/>
      <c r="M336" s="1057"/>
      <c r="N336" s="1772"/>
      <c r="O336" s="820"/>
    </row>
    <row r="337" spans="1:15" hidden="1" x14ac:dyDescent="0.35">
      <c r="B337" s="459">
        <f>BUDGET!AY337</f>
        <v>0</v>
      </c>
      <c r="C337" s="459"/>
      <c r="D337" s="821"/>
      <c r="E337" s="800"/>
      <c r="F337" s="2199">
        <f>BUDGET!AX337</f>
        <v>0</v>
      </c>
      <c r="G337" s="800"/>
      <c r="H337" s="1621"/>
      <c r="I337" s="1657"/>
      <c r="J337" s="800"/>
      <c r="K337" s="1621"/>
      <c r="L337" s="1621"/>
      <c r="M337" s="1621"/>
      <c r="N337" s="1762"/>
      <c r="O337" s="1127"/>
    </row>
    <row r="338" spans="1:15" hidden="1" x14ac:dyDescent="0.35">
      <c r="A338" t="s">
        <v>497</v>
      </c>
      <c r="B338" s="459">
        <f>BUDGET!AY338</f>
        <v>0</v>
      </c>
      <c r="C338" s="459" t="str">
        <f>BUDGET!BC338</f>
        <v>x</v>
      </c>
      <c r="D338" s="771" t="str">
        <f>BUDGET!A338</f>
        <v>CULTURAL COUNCIL</v>
      </c>
      <c r="E338" s="788"/>
      <c r="F338" s="2198">
        <f>BUDGET!AX338</f>
        <v>0</v>
      </c>
      <c r="G338" s="788"/>
      <c r="H338" s="841"/>
      <c r="I338" s="1656"/>
      <c r="J338" s="788"/>
      <c r="K338" s="841"/>
      <c r="L338" s="841"/>
      <c r="M338" s="841"/>
      <c r="N338" s="1761"/>
      <c r="O338" s="841"/>
    </row>
    <row r="339" spans="1:15" hidden="1" x14ac:dyDescent="0.35">
      <c r="A339" t="s">
        <v>497</v>
      </c>
      <c r="B339" s="459">
        <f>BUDGET!AY339</f>
        <v>0</v>
      </c>
      <c r="C339" s="459" t="str">
        <f>BUDGET!BC339</f>
        <v>x</v>
      </c>
      <c r="D339" s="779" t="str">
        <f>BUDGET!A339</f>
        <v xml:space="preserve">   OTHER</v>
      </c>
      <c r="E339" s="827"/>
      <c r="F339" s="2207">
        <f>BUDGET!AX339</f>
        <v>0</v>
      </c>
      <c r="G339" s="827"/>
      <c r="H339" s="1127"/>
      <c r="I339" s="1666"/>
      <c r="J339" s="827"/>
      <c r="K339" s="1127"/>
      <c r="L339" s="1127"/>
      <c r="M339" s="1127"/>
      <c r="N339" s="1771"/>
      <c r="O339" s="1127"/>
    </row>
    <row r="340" spans="1:15" ht="13.15" hidden="1" x14ac:dyDescent="0.4">
      <c r="A340" t="s">
        <v>497</v>
      </c>
      <c r="B340" s="459">
        <f>BUDGET!AY340</f>
        <v>0</v>
      </c>
      <c r="C340" s="459" t="str">
        <f>BUDGET!BC340</f>
        <v>x</v>
      </c>
      <c r="D340" s="771" t="str">
        <f>BUDGET!A340</f>
        <v xml:space="preserve">   TOTAL</v>
      </c>
      <c r="E340" s="827"/>
      <c r="F340" s="2207">
        <f>BUDGET!AX340</f>
        <v>0</v>
      </c>
      <c r="G340" s="827"/>
      <c r="H340" s="2196"/>
      <c r="I340" s="1666"/>
      <c r="J340" s="827"/>
      <c r="K340" s="1127"/>
      <c r="L340" s="1127"/>
      <c r="M340" s="1127"/>
      <c r="N340" s="1771"/>
      <c r="O340" s="1127"/>
    </row>
    <row r="341" spans="1:15" hidden="1" x14ac:dyDescent="0.35">
      <c r="B341" s="459">
        <f>BUDGET!AY341</f>
        <v>0</v>
      </c>
      <c r="C341" s="459" t="str">
        <f>BUDGET!BC341</f>
        <v>x</v>
      </c>
      <c r="D341" s="821"/>
      <c r="E341" s="800"/>
      <c r="F341" s="2199">
        <f>BUDGET!AX341</f>
        <v>0</v>
      </c>
      <c r="G341" s="800"/>
      <c r="H341" s="1621"/>
      <c r="I341" s="1657"/>
      <c r="J341" s="800"/>
      <c r="K341" s="1621"/>
      <c r="L341" s="1621"/>
      <c r="M341" s="1621"/>
      <c r="N341" s="1762"/>
      <c r="O341" s="1127"/>
    </row>
    <row r="342" spans="1:15" hidden="1" x14ac:dyDescent="0.35">
      <c r="B342" s="459">
        <f>BUDGET!AY342</f>
        <v>0</v>
      </c>
      <c r="C342" s="459"/>
      <c r="D342" s="771" t="str">
        <f>BUDGET!A342</f>
        <v>CULTURAL &amp; RECREATION:  TOTAL</v>
      </c>
      <c r="E342" s="827"/>
      <c r="F342" s="2207">
        <f>BUDGET!AX342</f>
        <v>0</v>
      </c>
      <c r="G342" s="827"/>
      <c r="H342" s="1127"/>
      <c r="I342" s="1666"/>
      <c r="J342" s="827"/>
      <c r="K342" s="1127"/>
      <c r="L342" s="1127"/>
      <c r="M342" s="1127"/>
      <c r="N342" s="1771"/>
      <c r="O342" s="1127"/>
    </row>
    <row r="343" spans="1:15" hidden="1" x14ac:dyDescent="0.35">
      <c r="B343" s="459">
        <f>BUDGET!AY343</f>
        <v>0</v>
      </c>
      <c r="C343" s="459"/>
      <c r="D343" s="842" t="str">
        <f>BUDGET!A343</f>
        <v xml:space="preserve">   SALARIES</v>
      </c>
      <c r="E343" s="845">
        <v>288801</v>
      </c>
      <c r="F343" s="2219">
        <f>BUDGET!AX343</f>
        <v>0</v>
      </c>
      <c r="G343" s="845"/>
      <c r="H343" s="1057"/>
      <c r="I343" s="1668"/>
      <c r="J343" s="845"/>
      <c r="K343" s="1074"/>
      <c r="L343" s="1074"/>
      <c r="M343" s="1074"/>
      <c r="N343" s="1786"/>
      <c r="O343" s="1626"/>
    </row>
    <row r="344" spans="1:15" hidden="1" x14ac:dyDescent="0.35">
      <c r="B344" s="459">
        <f>BUDGET!AY344</f>
        <v>0</v>
      </c>
      <c r="C344" s="459"/>
      <c r="D344" s="842" t="str">
        <f>BUDGET!A344</f>
        <v xml:space="preserve">   WAGES</v>
      </c>
      <c r="E344" s="845">
        <v>261925</v>
      </c>
      <c r="F344" s="2219">
        <f>BUDGET!AX344</f>
        <v>0</v>
      </c>
      <c r="G344" s="845"/>
      <c r="H344" s="1057"/>
      <c r="I344" s="1668"/>
      <c r="J344" s="845"/>
      <c r="K344" s="1074"/>
      <c r="L344" s="1074"/>
      <c r="M344" s="1074"/>
      <c r="N344" s="1786"/>
      <c r="O344" s="1626"/>
    </row>
    <row r="345" spans="1:15" hidden="1" x14ac:dyDescent="0.35">
      <c r="B345" s="459">
        <f>BUDGET!AY345</f>
        <v>0</v>
      </c>
      <c r="C345" s="459"/>
      <c r="D345" s="842" t="str">
        <f>BUDGET!A345</f>
        <v xml:space="preserve">   OTHER</v>
      </c>
      <c r="E345" s="845">
        <v>188917</v>
      </c>
      <c r="F345" s="2219">
        <f>BUDGET!AX345</f>
        <v>0</v>
      </c>
      <c r="G345" s="845"/>
      <c r="H345" s="1057"/>
      <c r="I345" s="1668"/>
      <c r="J345" s="845"/>
      <c r="K345" s="1074"/>
      <c r="L345" s="1074"/>
      <c r="M345" s="1074"/>
      <c r="N345" s="1786"/>
      <c r="O345" s="1626"/>
    </row>
    <row r="346" spans="1:15" hidden="1" x14ac:dyDescent="0.35">
      <c r="B346" s="459">
        <f>BUDGET!AY346</f>
        <v>0</v>
      </c>
      <c r="C346" s="459"/>
      <c r="D346" s="842" t="str">
        <f>BUDGET!A346</f>
        <v xml:space="preserve">   BOOKS</v>
      </c>
      <c r="E346" s="785"/>
      <c r="F346" s="2201">
        <f>BUDGET!AX346</f>
        <v>0</v>
      </c>
      <c r="G346" s="785"/>
      <c r="H346" s="820"/>
      <c r="I346" s="1659"/>
      <c r="J346" s="785"/>
      <c r="K346" s="820"/>
      <c r="L346" s="820"/>
      <c r="M346" s="820"/>
      <c r="N346" s="1764"/>
      <c r="O346" s="820"/>
    </row>
    <row r="347" spans="1:15" hidden="1" x14ac:dyDescent="0.35">
      <c r="B347" s="459">
        <f>BUDGET!AY347</f>
        <v>0</v>
      </c>
      <c r="C347" s="459"/>
      <c r="D347" s="842" t="str">
        <f>BUDGET!A347</f>
        <v xml:space="preserve">   SUB-TOTAL</v>
      </c>
      <c r="E347" s="888">
        <v>739643</v>
      </c>
      <c r="F347" s="2209">
        <f>BUDGET!AX347</f>
        <v>0</v>
      </c>
      <c r="G347" s="888"/>
      <c r="H347" s="820"/>
      <c r="I347" s="1668"/>
      <c r="J347" s="888"/>
      <c r="K347" s="1626"/>
      <c r="L347" s="1626"/>
      <c r="M347" s="1626"/>
      <c r="N347" s="1774"/>
      <c r="O347" s="1626"/>
    </row>
    <row r="348" spans="1:15" hidden="1" x14ac:dyDescent="0.35">
      <c r="B348" s="459">
        <f>BUDGET!AY348</f>
        <v>0</v>
      </c>
      <c r="C348" s="459"/>
      <c r="D348" s="842" t="str">
        <f>BUDGET!A348</f>
        <v xml:space="preserve">   TRUST FUNDS</v>
      </c>
      <c r="E348" s="785"/>
      <c r="F348" s="2201">
        <f>BUDGET!AX348</f>
        <v>0</v>
      </c>
      <c r="G348" s="785"/>
      <c r="H348" s="820"/>
      <c r="I348" s="1659"/>
      <c r="J348" s="785"/>
      <c r="K348" s="820"/>
      <c r="L348" s="820"/>
      <c r="M348" s="820"/>
      <c r="N348" s="1764"/>
      <c r="O348" s="820"/>
    </row>
    <row r="349" spans="1:15" hidden="1" x14ac:dyDescent="0.35">
      <c r="B349" s="459">
        <f>BUDGET!AY349</f>
        <v>0</v>
      </c>
      <c r="C349" s="459"/>
      <c r="D349" s="842" t="str">
        <f>BUDGET!A349</f>
        <v xml:space="preserve">   SALE OF LOTS</v>
      </c>
      <c r="E349" s="785"/>
      <c r="F349" s="2201">
        <f>BUDGET!AX349</f>
        <v>0</v>
      </c>
      <c r="G349" s="785"/>
      <c r="H349" s="820"/>
      <c r="I349" s="1659"/>
      <c r="J349" s="785"/>
      <c r="K349" s="820"/>
      <c r="L349" s="820"/>
      <c r="M349" s="820"/>
      <c r="N349" s="1764"/>
      <c r="O349" s="820"/>
    </row>
    <row r="350" spans="1:15" ht="13.15" hidden="1" thickBot="1" x14ac:dyDescent="0.4">
      <c r="B350" s="459">
        <f>BUDGET!AY350</f>
        <v>0</v>
      </c>
      <c r="C350" s="459"/>
      <c r="D350" s="902" t="str">
        <f>BUDGET!A350</f>
        <v>CULTURE &amp; REC. : SUB-TOTAL</v>
      </c>
      <c r="E350" s="909">
        <v>739643</v>
      </c>
      <c r="F350" s="2210">
        <f>BUDGET!AX350</f>
        <v>0</v>
      </c>
      <c r="G350" s="909"/>
      <c r="H350" s="1646"/>
      <c r="I350" s="1669"/>
      <c r="J350" s="909"/>
      <c r="K350" s="1627"/>
      <c r="L350" s="1627"/>
      <c r="M350" s="1627"/>
      <c r="N350" s="1775"/>
      <c r="O350" s="2459"/>
    </row>
    <row r="351" spans="1:15" hidden="1" x14ac:dyDescent="0.35">
      <c r="A351" s="459"/>
      <c r="B351" s="459">
        <f>BUDGET!AY351</f>
        <v>0</v>
      </c>
      <c r="C351" s="459"/>
      <c r="D351" s="771" t="str">
        <f>BUDGET!A351</f>
        <v>DEBT SERVICE</v>
      </c>
      <c r="E351" s="825"/>
      <c r="F351" s="2197">
        <f>BUDGET!AX351</f>
        <v>0</v>
      </c>
      <c r="G351" s="825"/>
      <c r="H351" s="1110"/>
      <c r="I351" s="1661"/>
      <c r="J351" s="825"/>
      <c r="K351" s="1110"/>
      <c r="L351" s="1110"/>
      <c r="M351" s="1110"/>
      <c r="N351" s="1766"/>
      <c r="O351" s="1110"/>
    </row>
    <row r="352" spans="1:15" hidden="1" x14ac:dyDescent="0.35">
      <c r="A352" s="459" t="s">
        <v>753</v>
      </c>
      <c r="B352" s="459">
        <f>BUDGET!AY352</f>
        <v>0</v>
      </c>
      <c r="C352" s="459"/>
      <c r="D352" s="779" t="str">
        <f>BUDGET!A352</f>
        <v>LONG-TERM DEBT PRINCIPAL</v>
      </c>
      <c r="E352" s="825"/>
      <c r="F352" s="2197">
        <f>BUDGET!AX352</f>
        <v>0</v>
      </c>
      <c r="G352" s="825"/>
      <c r="H352" s="1110"/>
      <c r="I352" s="1661"/>
      <c r="J352" s="825"/>
      <c r="K352" s="1110"/>
      <c r="L352" s="1110"/>
      <c r="M352" s="1110"/>
      <c r="N352" s="1766"/>
      <c r="O352" s="1110"/>
    </row>
    <row r="353" spans="1:15" hidden="1" x14ac:dyDescent="0.35">
      <c r="A353" t="s">
        <v>753</v>
      </c>
      <c r="B353" s="459">
        <f>BUDGET!AY353</f>
        <v>0</v>
      </c>
      <c r="C353" s="459"/>
      <c r="D353" s="779" t="str">
        <f>BUDGET!A353</f>
        <v xml:space="preserve">      TOWN MAPS/ELEM. SCH RENOVA.     </v>
      </c>
      <c r="E353" s="825"/>
      <c r="F353" s="2197">
        <f>BUDGET!AX353</f>
        <v>0</v>
      </c>
      <c r="G353" s="825"/>
      <c r="H353" s="1110"/>
      <c r="I353" s="1661"/>
      <c r="J353" s="825"/>
      <c r="K353" s="1110"/>
      <c r="L353" s="1110"/>
      <c r="M353" s="1110"/>
      <c r="N353" s="1766"/>
      <c r="O353" s="1110"/>
    </row>
    <row r="354" spans="1:15" hidden="1" x14ac:dyDescent="0.35">
      <c r="A354" t="s">
        <v>753</v>
      </c>
      <c r="B354" s="459">
        <f>BUDGET!AY354</f>
        <v>0</v>
      </c>
      <c r="C354" s="459"/>
      <c r="D354" s="779" t="str">
        <f>BUDGET!A354</f>
        <v xml:space="preserve">       MULTI-PURPOSE MARCH 2001</v>
      </c>
      <c r="E354" s="788"/>
      <c r="F354" s="2198">
        <f>BUDGET!AX354</f>
        <v>0</v>
      </c>
      <c r="G354" s="788"/>
      <c r="H354" s="841"/>
      <c r="I354" s="1656"/>
      <c r="J354" s="788"/>
      <c r="K354" s="841"/>
      <c r="L354" s="841"/>
      <c r="M354" s="841"/>
      <c r="N354" s="1761"/>
      <c r="O354" s="841"/>
    </row>
    <row r="355" spans="1:15" hidden="1" x14ac:dyDescent="0.35">
      <c r="A355" t="s">
        <v>753</v>
      </c>
      <c r="B355" s="459">
        <f>BUDGET!AY355</f>
        <v>0</v>
      </c>
      <c r="C355" s="459"/>
      <c r="D355" s="1069" t="str">
        <f>BUDGET!A355</f>
        <v xml:space="preserve">       MULTIPURPOSE  MARCH 2002</v>
      </c>
      <c r="E355" s="891"/>
      <c r="F355" s="2224">
        <f>BUDGET!AX355</f>
        <v>0</v>
      </c>
      <c r="G355" s="891"/>
      <c r="H355" s="1080"/>
      <c r="I355" s="1656"/>
      <c r="J355" s="891"/>
      <c r="K355" s="1080"/>
      <c r="L355" s="1080"/>
      <c r="M355" s="1080"/>
      <c r="N355" s="1793"/>
      <c r="O355" s="841"/>
    </row>
    <row r="356" spans="1:15" hidden="1" x14ac:dyDescent="0.35">
      <c r="A356" t="s">
        <v>753</v>
      </c>
      <c r="B356" s="459">
        <f>BUDGET!AY356</f>
        <v>0</v>
      </c>
      <c r="C356" s="459"/>
      <c r="D356" s="1069" t="str">
        <f>BUDGET!A356</f>
        <v>MULTIPURPOSE 2011</v>
      </c>
      <c r="E356" s="788"/>
      <c r="F356" s="2198">
        <f>BUDGET!AX356</f>
        <v>0</v>
      </c>
      <c r="G356" s="788"/>
      <c r="H356" s="841"/>
      <c r="I356" s="1656"/>
      <c r="J356" s="788"/>
      <c r="K356" s="841"/>
      <c r="L356" s="841"/>
      <c r="M356" s="841"/>
      <c r="N356" s="1761"/>
      <c r="O356" s="841"/>
    </row>
    <row r="357" spans="1:15" hidden="1" x14ac:dyDescent="0.35">
      <c r="A357" t="s">
        <v>753</v>
      </c>
      <c r="B357" s="459">
        <f>BUDGET!AY357</f>
        <v>0</v>
      </c>
      <c r="C357" s="459"/>
      <c r="D357" s="1069" t="str">
        <f>BUDGET!A357</f>
        <v>MULTIPURPOSE 2012</v>
      </c>
      <c r="E357" s="788"/>
      <c r="F357" s="2198">
        <f>BUDGET!AX357</f>
        <v>0</v>
      </c>
      <c r="G357" s="788"/>
      <c r="H357" s="841"/>
      <c r="I357" s="1656"/>
      <c r="J357" s="788"/>
      <c r="K357" s="841"/>
      <c r="L357" s="841"/>
      <c r="M357" s="841"/>
      <c r="N357" s="1761"/>
      <c r="O357" s="841"/>
    </row>
    <row r="358" spans="1:15" hidden="1" x14ac:dyDescent="0.35">
      <c r="A358" t="s">
        <v>753</v>
      </c>
      <c r="B358" s="459">
        <f>BUDGET!AY358</f>
        <v>0</v>
      </c>
      <c r="C358" s="459"/>
      <c r="D358" s="1069" t="str">
        <f>BUDGET!A358</f>
        <v>MULTIPURPOSE 2015+2016 Principal Paydown</v>
      </c>
      <c r="E358" s="788"/>
      <c r="F358" s="2198">
        <f>BUDGET!AX358</f>
        <v>0</v>
      </c>
      <c r="G358" s="788"/>
      <c r="H358" s="841"/>
      <c r="I358" s="1656"/>
      <c r="J358" s="788"/>
      <c r="K358" s="841"/>
      <c r="L358" s="841"/>
      <c r="M358" s="841"/>
      <c r="N358" s="1761"/>
      <c r="O358" s="841"/>
    </row>
    <row r="359" spans="1:15" hidden="1" x14ac:dyDescent="0.35">
      <c r="A359" t="s">
        <v>753</v>
      </c>
      <c r="B359" s="459">
        <f>BUDGET!AY359</f>
        <v>0</v>
      </c>
      <c r="C359" s="459"/>
      <c r="D359" s="1069" t="str">
        <f>BUDGET!A359</f>
        <v>MULTIPURPOSE 2018</v>
      </c>
      <c r="E359" s="788">
        <v>155000</v>
      </c>
      <c r="F359" s="2198">
        <f>BUDGET!AX359</f>
        <v>0</v>
      </c>
      <c r="G359" s="788"/>
      <c r="H359" s="841"/>
      <c r="I359" s="1656"/>
      <c r="J359" s="788"/>
      <c r="K359" s="841"/>
      <c r="L359" s="841"/>
      <c r="M359" s="841"/>
      <c r="N359" s="1761"/>
      <c r="O359" s="841"/>
    </row>
    <row r="360" spans="1:15" hidden="1" x14ac:dyDescent="0.35">
      <c r="A360" t="s">
        <v>753</v>
      </c>
      <c r="B360" s="459">
        <f>BUDGET!AY360</f>
        <v>0</v>
      </c>
      <c r="C360" s="459"/>
      <c r="D360" s="1395" t="str">
        <f>BUDGET!A360</f>
        <v>MULTIPURPOSE 2019</v>
      </c>
      <c r="E360" s="788">
        <v>335000</v>
      </c>
      <c r="F360" s="2198">
        <f>BUDGET!AX360</f>
        <v>0</v>
      </c>
      <c r="G360" s="788"/>
      <c r="H360" s="841"/>
      <c r="I360" s="1656"/>
      <c r="J360" s="788"/>
      <c r="K360" s="841"/>
      <c r="L360" s="841"/>
      <c r="M360" s="841"/>
      <c r="N360" s="1761"/>
      <c r="O360" s="841"/>
    </row>
    <row r="361" spans="1:15" hidden="1" x14ac:dyDescent="0.35">
      <c r="A361" t="s">
        <v>753</v>
      </c>
      <c r="B361" s="459">
        <f>BUDGET!AY361</f>
        <v>0</v>
      </c>
      <c r="C361" s="459"/>
      <c r="D361" s="1395" t="str">
        <f>BUDGET!A361</f>
        <v>MULTIPUPRPOSE 2020</v>
      </c>
      <c r="E361" s="788">
        <v>145000</v>
      </c>
      <c r="F361" s="2198">
        <f>BUDGET!AX361</f>
        <v>0</v>
      </c>
      <c r="G361" s="788"/>
      <c r="H361" s="841"/>
      <c r="I361" s="1656"/>
      <c r="J361" s="788"/>
      <c r="K361" s="841"/>
      <c r="L361" s="841"/>
      <c r="M361" s="841"/>
      <c r="N361" s="1761"/>
      <c r="O361" s="841"/>
    </row>
    <row r="362" spans="1:15" hidden="1" x14ac:dyDescent="0.35">
      <c r="B362" s="459">
        <f>BUDGET!AY362</f>
        <v>0</v>
      </c>
      <c r="C362" s="459"/>
      <c r="D362" s="821"/>
      <c r="E362" s="788"/>
      <c r="F362" s="2198">
        <f>BUDGET!AX362</f>
        <v>0</v>
      </c>
      <c r="G362" s="788"/>
      <c r="H362" s="841"/>
      <c r="I362" s="1656"/>
      <c r="J362" s="788"/>
      <c r="K362" s="841"/>
      <c r="L362" s="841"/>
      <c r="M362" s="841"/>
      <c r="N362" s="1761"/>
      <c r="O362" s="841"/>
    </row>
    <row r="363" spans="1:15" ht="13.15" hidden="1" x14ac:dyDescent="0.4">
      <c r="A363">
        <v>0</v>
      </c>
      <c r="B363" s="459">
        <f>BUDGET!AY363</f>
        <v>0</v>
      </c>
      <c r="C363" s="459"/>
      <c r="D363" s="842" t="str">
        <f>BUDGET!A363</f>
        <v xml:space="preserve">       TOTAL</v>
      </c>
      <c r="E363" s="785">
        <v>635000</v>
      </c>
      <c r="F363" s="2201">
        <f>BUDGET!AX363</f>
        <v>0</v>
      </c>
      <c r="G363" s="2439" t="s">
        <v>1232</v>
      </c>
      <c r="H363" s="2058">
        <v>45363</v>
      </c>
      <c r="I363" s="1659"/>
      <c r="J363" s="785"/>
      <c r="K363" s="820"/>
      <c r="L363" s="820"/>
      <c r="M363" s="820"/>
      <c r="N363" s="1764"/>
      <c r="O363" s="820"/>
    </row>
    <row r="364" spans="1:15" hidden="1" x14ac:dyDescent="0.35">
      <c r="B364" s="459">
        <f>BUDGET!AY364</f>
        <v>0</v>
      </c>
      <c r="C364" s="459"/>
      <c r="D364" s="821"/>
      <c r="E364" s="823"/>
      <c r="F364" s="2212">
        <f>BUDGET!AX364</f>
        <v>0</v>
      </c>
      <c r="G364" s="823"/>
      <c r="H364" s="1629"/>
      <c r="I364" s="1660"/>
      <c r="J364" s="823"/>
      <c r="K364" s="1629"/>
      <c r="L364" s="1629"/>
      <c r="M364" s="1629"/>
      <c r="N364" s="1777"/>
      <c r="O364" s="1110"/>
    </row>
    <row r="365" spans="1:15" hidden="1" x14ac:dyDescent="0.35">
      <c r="A365" s="459" t="s">
        <v>627</v>
      </c>
      <c r="B365" s="459">
        <f>BUDGET!AY365</f>
        <v>0</v>
      </c>
      <c r="C365" s="459"/>
      <c r="D365" s="779" t="str">
        <f>BUDGET!A365</f>
        <v xml:space="preserve">    LONG-TERM DEBT INTEREST</v>
      </c>
      <c r="E365" s="825"/>
      <c r="F365" s="2197">
        <f>BUDGET!AX365</f>
        <v>0</v>
      </c>
      <c r="G365" s="825"/>
      <c r="H365" s="1110"/>
      <c r="I365" s="1661"/>
      <c r="J365" s="825"/>
      <c r="K365" s="1110"/>
      <c r="L365" s="1110"/>
      <c r="M365" s="1110"/>
      <c r="N365" s="1766"/>
      <c r="O365" s="1110"/>
    </row>
    <row r="366" spans="1:15" hidden="1" x14ac:dyDescent="0.35">
      <c r="A366" t="s">
        <v>627</v>
      </c>
      <c r="B366" s="459">
        <f>BUDGET!AY366</f>
        <v>0</v>
      </c>
      <c r="C366" s="459"/>
      <c r="D366" s="998" t="str">
        <f>BUDGET!A366</f>
        <v xml:space="preserve">       TOWN MAPS/ELEM. SCH RENOVA.</v>
      </c>
      <c r="E366" s="825"/>
      <c r="F366" s="2197">
        <f>BUDGET!AX366</f>
        <v>0</v>
      </c>
      <c r="G366" s="825"/>
      <c r="H366" s="1110"/>
      <c r="I366" s="1661"/>
      <c r="J366" s="825"/>
      <c r="K366" s="1110"/>
      <c r="L366" s="1110"/>
      <c r="M366" s="1110"/>
      <c r="N366" s="1766"/>
      <c r="O366" s="1110"/>
    </row>
    <row r="367" spans="1:15" hidden="1" x14ac:dyDescent="0.35">
      <c r="A367" t="s">
        <v>627</v>
      </c>
      <c r="B367" s="459">
        <f>BUDGET!AY367</f>
        <v>0</v>
      </c>
      <c r="C367" s="459"/>
      <c r="D367" s="998" t="str">
        <f>BUDGET!A367</f>
        <v xml:space="preserve">       MULTIPURPOSE MARCH 2001</v>
      </c>
      <c r="E367" s="825"/>
      <c r="F367" s="2197">
        <f>BUDGET!AX367</f>
        <v>0</v>
      </c>
      <c r="G367" s="825"/>
      <c r="H367" s="1110"/>
      <c r="I367" s="1661"/>
      <c r="J367" s="825"/>
      <c r="K367" s="1110"/>
      <c r="L367" s="1110"/>
      <c r="M367" s="1110"/>
      <c r="N367" s="1766"/>
      <c r="O367" s="1110"/>
    </row>
    <row r="368" spans="1:15" hidden="1" x14ac:dyDescent="0.35">
      <c r="A368" t="s">
        <v>627</v>
      </c>
      <c r="B368" s="459">
        <f>BUDGET!AY368</f>
        <v>0</v>
      </c>
      <c r="C368" s="459"/>
      <c r="D368" s="998" t="str">
        <f>BUDGET!A368</f>
        <v xml:space="preserve">       MULTIPURPOSE MARCH 2002</v>
      </c>
      <c r="E368" s="788"/>
      <c r="F368" s="2198">
        <f>BUDGET!AX368</f>
        <v>0</v>
      </c>
      <c r="G368" s="788"/>
      <c r="H368" s="841"/>
      <c r="I368" s="1656"/>
      <c r="J368" s="788"/>
      <c r="K368" s="841"/>
      <c r="L368" s="841"/>
      <c r="M368" s="841"/>
      <c r="N368" s="1761"/>
      <c r="O368" s="841"/>
    </row>
    <row r="369" spans="1:15" hidden="1" x14ac:dyDescent="0.35">
      <c r="A369" t="s">
        <v>627</v>
      </c>
      <c r="B369" s="459">
        <f>BUDGET!AY369</f>
        <v>0</v>
      </c>
      <c r="C369" s="459"/>
      <c r="D369" s="998" t="str">
        <f>BUDGET!A369</f>
        <v>MULTIPURPOSE 2011</v>
      </c>
      <c r="E369" s="1543"/>
      <c r="F369" s="2225">
        <f>BUDGET!AX369</f>
        <v>0</v>
      </c>
      <c r="G369" s="1543"/>
      <c r="H369" s="1640"/>
      <c r="I369" s="1683"/>
      <c r="J369" s="1543"/>
      <c r="K369" s="1640"/>
      <c r="L369" s="1640"/>
      <c r="M369" s="1640"/>
      <c r="N369" s="1794"/>
      <c r="O369" s="1640"/>
    </row>
    <row r="370" spans="1:15" hidden="1" x14ac:dyDescent="0.35">
      <c r="A370" t="s">
        <v>627</v>
      </c>
      <c r="B370" s="459">
        <f>BUDGET!AY370</f>
        <v>0</v>
      </c>
      <c r="C370" s="459"/>
      <c r="D370" s="998" t="str">
        <f>BUDGET!A370</f>
        <v>MULTIPURPOSE 2012</v>
      </c>
      <c r="E370" s="1543"/>
      <c r="F370" s="2225">
        <f>BUDGET!AX370</f>
        <v>0</v>
      </c>
      <c r="G370" s="1543"/>
      <c r="H370" s="1640"/>
      <c r="I370" s="1683"/>
      <c r="J370" s="1543"/>
      <c r="K370" s="1640"/>
      <c r="L370" s="1640"/>
      <c r="M370" s="1640"/>
      <c r="N370" s="1794"/>
      <c r="O370" s="1640"/>
    </row>
    <row r="371" spans="1:15" hidden="1" x14ac:dyDescent="0.35">
      <c r="A371" t="s">
        <v>627</v>
      </c>
      <c r="B371" s="459">
        <f>BUDGET!AY371</f>
        <v>0</v>
      </c>
      <c r="C371" s="459"/>
      <c r="D371" s="998" t="str">
        <f>BUDGET!A371</f>
        <v>MULTIPURPOSE 2015</v>
      </c>
      <c r="E371" s="1543"/>
      <c r="F371" s="2225">
        <f>BUDGET!AX371</f>
        <v>0</v>
      </c>
      <c r="G371" s="1543"/>
      <c r="H371" s="1640"/>
      <c r="I371" s="1683"/>
      <c r="J371" s="1543"/>
      <c r="K371" s="1640"/>
      <c r="L371" s="1640"/>
      <c r="M371" s="1640"/>
      <c r="N371" s="1794"/>
      <c r="O371" s="1640"/>
    </row>
    <row r="372" spans="1:15" hidden="1" x14ac:dyDescent="0.35">
      <c r="A372" t="s">
        <v>627</v>
      </c>
      <c r="B372" s="459">
        <f>BUDGET!AY372</f>
        <v>0</v>
      </c>
      <c r="C372" s="459"/>
      <c r="D372" s="1395" t="str">
        <f>BUDGET!A372</f>
        <v>MULTIPURPOSE 2018</v>
      </c>
      <c r="E372" s="1543">
        <v>65544</v>
      </c>
      <c r="F372" s="2225">
        <f>BUDGET!AX372</f>
        <v>0</v>
      </c>
      <c r="G372" s="1543"/>
      <c r="H372" s="1640"/>
      <c r="I372" s="1683"/>
      <c r="J372" s="1543"/>
      <c r="K372" s="1640"/>
      <c r="L372" s="1640"/>
      <c r="M372" s="1640"/>
      <c r="N372" s="1794"/>
      <c r="O372" s="1640"/>
    </row>
    <row r="373" spans="1:15" hidden="1" x14ac:dyDescent="0.35">
      <c r="A373" s="256" t="s">
        <v>627</v>
      </c>
      <c r="B373" s="459">
        <f>BUDGET!AY373</f>
        <v>0</v>
      </c>
      <c r="C373" s="459"/>
      <c r="D373" s="1395" t="str">
        <f>BUDGET!A373</f>
        <v>MULTIPURPOSE 2019</v>
      </c>
      <c r="E373" s="1543">
        <v>286463</v>
      </c>
      <c r="F373" s="2225">
        <f>BUDGET!AX373</f>
        <v>0</v>
      </c>
      <c r="G373" s="1543"/>
      <c r="H373" s="1640"/>
      <c r="I373" s="1683"/>
      <c r="J373" s="1543"/>
      <c r="K373" s="1640"/>
      <c r="L373" s="1640"/>
      <c r="M373" s="1640"/>
      <c r="N373" s="1794"/>
      <c r="O373" s="1640"/>
    </row>
    <row r="374" spans="1:15" hidden="1" x14ac:dyDescent="0.35">
      <c r="A374" s="256" t="s">
        <v>627</v>
      </c>
      <c r="B374" s="459">
        <f>BUDGET!AY374</f>
        <v>0</v>
      </c>
      <c r="C374" s="459"/>
      <c r="D374" s="1395" t="str">
        <f>BUDGET!A374</f>
        <v>MULTIPURPOSE 2020</v>
      </c>
      <c r="E374" s="1543">
        <v>94632</v>
      </c>
      <c r="F374" s="2225">
        <f>BUDGET!AX374</f>
        <v>0</v>
      </c>
      <c r="G374" s="1543"/>
      <c r="H374" s="1640"/>
      <c r="I374" s="1683"/>
      <c r="J374" s="1543"/>
      <c r="K374" s="1640"/>
      <c r="L374" s="1640"/>
      <c r="M374" s="1640"/>
      <c r="N374" s="1794"/>
      <c r="O374" s="1640"/>
    </row>
    <row r="375" spans="1:15" hidden="1" x14ac:dyDescent="0.35">
      <c r="B375" s="459">
        <f>BUDGET!AY375</f>
        <v>0</v>
      </c>
      <c r="C375" s="459"/>
      <c r="D375" s="821"/>
      <c r="E375" s="1543"/>
      <c r="F375" s="2225">
        <f>BUDGET!AX375</f>
        <v>0</v>
      </c>
      <c r="G375" s="1543"/>
      <c r="H375" s="1640"/>
      <c r="I375" s="1683"/>
      <c r="J375" s="1543"/>
      <c r="K375" s="1640"/>
      <c r="L375" s="1640"/>
      <c r="M375" s="1640"/>
      <c r="N375" s="1794"/>
      <c r="O375" s="1640"/>
    </row>
    <row r="376" spans="1:15" ht="13.15" hidden="1" x14ac:dyDescent="0.4">
      <c r="A376">
        <v>0</v>
      </c>
      <c r="B376" s="459">
        <f>BUDGET!AY376</f>
        <v>0</v>
      </c>
      <c r="C376" s="459"/>
      <c r="D376" s="856" t="str">
        <f>BUDGET!A376</f>
        <v xml:space="preserve">       TOTAL</v>
      </c>
      <c r="E376" s="1545">
        <v>446639</v>
      </c>
      <c r="F376" s="2226">
        <f>BUDGET!AX376</f>
        <v>0</v>
      </c>
      <c r="G376" s="2439" t="s">
        <v>1232</v>
      </c>
      <c r="H376" s="2058">
        <v>45363</v>
      </c>
      <c r="I376" s="1684"/>
      <c r="J376" s="1545"/>
      <c r="K376" s="1641"/>
      <c r="L376" s="1641"/>
      <c r="M376" s="1641"/>
      <c r="N376" s="1795"/>
      <c r="O376" s="1641"/>
    </row>
    <row r="377" spans="1:15" hidden="1" x14ac:dyDescent="0.35">
      <c r="B377" s="459">
        <f>BUDGET!AY377</f>
        <v>0</v>
      </c>
      <c r="C377" s="459"/>
      <c r="D377" s="821"/>
      <c r="E377" s="822"/>
      <c r="F377" s="2202">
        <f>BUDGET!AX377</f>
        <v>0</v>
      </c>
      <c r="G377" s="822"/>
      <c r="H377" s="1160"/>
      <c r="I377" s="1660"/>
      <c r="J377" s="822"/>
      <c r="K377" s="1160"/>
      <c r="L377" s="1160"/>
      <c r="M377" s="1160"/>
      <c r="N377" s="1765"/>
      <c r="O377" s="1110"/>
    </row>
    <row r="378" spans="1:15" hidden="1" x14ac:dyDescent="0.35">
      <c r="A378" s="459" t="s">
        <v>839</v>
      </c>
      <c r="B378" s="459">
        <f>BUDGET!AY378</f>
        <v>0</v>
      </c>
      <c r="C378" s="459"/>
      <c r="D378" s="779" t="str">
        <f>BUDGET!A378</f>
        <v>INTEREST FOR TEMPORARY LOANS</v>
      </c>
      <c r="E378" s="825"/>
      <c r="F378" s="2197">
        <f>BUDGET!AX378</f>
        <v>0</v>
      </c>
      <c r="G378" s="825"/>
      <c r="H378" s="1110"/>
      <c r="I378" s="1661"/>
      <c r="J378" s="825"/>
      <c r="K378" s="1110"/>
      <c r="L378" s="1110"/>
      <c r="M378" s="1110"/>
      <c r="N378" s="1766"/>
      <c r="O378" s="1110"/>
    </row>
    <row r="379" spans="1:15" hidden="1" x14ac:dyDescent="0.35">
      <c r="A379" t="s">
        <v>839</v>
      </c>
      <c r="B379" s="459">
        <f>BUDGET!AY379</f>
        <v>0</v>
      </c>
      <c r="C379" s="459"/>
      <c r="D379" s="779" t="str">
        <f>BUDGET!A379</f>
        <v xml:space="preserve">       DEBT SERVICE</v>
      </c>
      <c r="E379" s="1544"/>
      <c r="F379" s="2227">
        <f>BUDGET!AX379</f>
        <v>0</v>
      </c>
      <c r="G379" s="1544"/>
      <c r="H379" s="2053"/>
      <c r="I379" s="1685"/>
      <c r="J379" s="1544"/>
      <c r="K379" s="1642"/>
      <c r="L379" s="1642"/>
      <c r="M379" s="1642"/>
      <c r="N379" s="1796"/>
      <c r="O379" s="1642"/>
    </row>
    <row r="380" spans="1:15" ht="13.15" hidden="1" x14ac:dyDescent="0.4">
      <c r="A380" t="s">
        <v>839</v>
      </c>
      <c r="B380" s="459">
        <f>BUDGET!AY380</f>
        <v>0</v>
      </c>
      <c r="C380" s="459"/>
      <c r="D380" s="842" t="str">
        <f>BUDGET!A380</f>
        <v xml:space="preserve">       TOTAL</v>
      </c>
      <c r="E380" s="1545"/>
      <c r="F380" s="2226">
        <f>BUDGET!AX380</f>
        <v>0</v>
      </c>
      <c r="G380" s="2439" t="s">
        <v>1232</v>
      </c>
      <c r="H380" s="2058">
        <v>45363</v>
      </c>
      <c r="I380" s="1684"/>
      <c r="J380" s="1545"/>
      <c r="K380" s="1641"/>
      <c r="L380" s="1641"/>
      <c r="M380" s="1641"/>
      <c r="N380" s="1795"/>
      <c r="O380" s="1641"/>
    </row>
    <row r="381" spans="1:15" hidden="1" x14ac:dyDescent="0.35">
      <c r="B381" s="459">
        <f>BUDGET!AY381</f>
        <v>0</v>
      </c>
      <c r="C381" s="459"/>
      <c r="D381" s="821"/>
      <c r="E381" s="1546"/>
      <c r="F381" s="2228">
        <f>BUDGET!AX381</f>
        <v>0</v>
      </c>
      <c r="G381" s="1546"/>
      <c r="H381" s="1643"/>
      <c r="I381" s="1686"/>
      <c r="J381" s="1546"/>
      <c r="K381" s="1643"/>
      <c r="L381" s="1643"/>
      <c r="M381" s="1643"/>
      <c r="N381" s="1797"/>
      <c r="O381" s="1644"/>
    </row>
    <row r="382" spans="1:15" hidden="1" x14ac:dyDescent="0.35">
      <c r="A382" s="459" t="s">
        <v>682</v>
      </c>
      <c r="B382" s="459">
        <f>BUDGET!AY382</f>
        <v>0</v>
      </c>
      <c r="C382" s="459"/>
      <c r="D382" s="779" t="str">
        <f>BUDGET!A382</f>
        <v>BANK DISCLOSURE ISSUE COST</v>
      </c>
      <c r="E382" s="1547">
        <v>2500</v>
      </c>
      <c r="F382" s="2229">
        <f>BUDGET!AX382</f>
        <v>0</v>
      </c>
      <c r="G382" s="1547"/>
      <c r="H382" s="1644"/>
      <c r="I382" s="1687"/>
      <c r="J382" s="1547"/>
      <c r="K382" s="1644"/>
      <c r="L382" s="1644"/>
      <c r="M382" s="1644"/>
      <c r="N382" s="1798"/>
      <c r="O382" s="1644"/>
    </row>
    <row r="383" spans="1:15" hidden="1" x14ac:dyDescent="0.35">
      <c r="A383" t="s">
        <v>682</v>
      </c>
      <c r="B383" s="459">
        <f>BUDGET!AY383</f>
        <v>0</v>
      </c>
      <c r="C383" s="459"/>
      <c r="D383" s="771" t="str">
        <f>BUDGET!A383</f>
        <v>CERTIFICATION  of NOTES</v>
      </c>
      <c r="E383" s="1547"/>
      <c r="F383" s="2229">
        <f>BUDGET!AX383</f>
        <v>0</v>
      </c>
      <c r="G383" s="1547"/>
      <c r="H383" s="1644"/>
      <c r="I383" s="1687"/>
      <c r="J383" s="1547"/>
      <c r="K383" s="1644"/>
      <c r="L383" s="1644"/>
      <c r="M383" s="1644"/>
      <c r="N383" s="1798"/>
      <c r="O383" s="1644"/>
    </row>
    <row r="384" spans="1:15" ht="13.15" hidden="1" x14ac:dyDescent="0.4">
      <c r="A384" t="s">
        <v>682</v>
      </c>
      <c r="B384" s="459">
        <f>BUDGET!AY384</f>
        <v>0</v>
      </c>
      <c r="C384" s="459"/>
      <c r="D384" s="842" t="str">
        <f>BUDGET!A384</f>
        <v xml:space="preserve">      TOTAL</v>
      </c>
      <c r="E384" s="1545">
        <v>2500</v>
      </c>
      <c r="F384" s="2226">
        <f>BUDGET!AX384</f>
        <v>0</v>
      </c>
      <c r="G384" s="2439" t="s">
        <v>1232</v>
      </c>
      <c r="H384" s="2058">
        <v>45363</v>
      </c>
      <c r="I384" s="1684"/>
      <c r="J384" s="1545"/>
      <c r="K384" s="1641"/>
      <c r="L384" s="1641"/>
      <c r="M384" s="1641"/>
      <c r="N384" s="1795"/>
      <c r="O384" s="1641"/>
    </row>
    <row r="385" spans="1:15" hidden="1" x14ac:dyDescent="0.35">
      <c r="B385" s="459">
        <f>BUDGET!AY385</f>
        <v>0</v>
      </c>
      <c r="C385" s="459"/>
      <c r="D385" s="821"/>
      <c r="E385" s="827"/>
      <c r="F385" s="2207">
        <f>BUDGET!AX385</f>
        <v>0</v>
      </c>
      <c r="G385" s="827"/>
      <c r="H385" s="1127"/>
      <c r="I385" s="1666"/>
      <c r="J385" s="827"/>
      <c r="K385" s="1127"/>
      <c r="L385" s="1127"/>
      <c r="M385" s="1127"/>
      <c r="N385" s="1771"/>
      <c r="O385" s="1127"/>
    </row>
    <row r="386" spans="1:15" ht="13.15" hidden="1" thickBot="1" x14ac:dyDescent="0.4">
      <c r="A386" t="s">
        <v>682</v>
      </c>
      <c r="B386" s="459">
        <f>BUDGET!AY386</f>
        <v>0</v>
      </c>
      <c r="C386" s="459"/>
      <c r="D386" s="902" t="str">
        <f>BUDGET!A386</f>
        <v>DEBT SERVICE:  SUB-TOTAL</v>
      </c>
      <c r="E386" s="1017">
        <v>1084139</v>
      </c>
      <c r="F386" s="2215">
        <f>BUDGET!AX386</f>
        <v>0</v>
      </c>
      <c r="G386" s="1017"/>
      <c r="H386" s="2050"/>
      <c r="I386" s="1669"/>
      <c r="J386" s="1017"/>
      <c r="K386" s="1638"/>
      <c r="L386" s="1638"/>
      <c r="M386" s="1638"/>
      <c r="N386" s="1788"/>
      <c r="O386" s="2459"/>
    </row>
    <row r="387" spans="1:15" hidden="1" x14ac:dyDescent="0.35">
      <c r="B387" s="459">
        <f>BUDGET!AY387</f>
        <v>0</v>
      </c>
      <c r="C387" s="459"/>
      <c r="D387" s="771" t="str">
        <f>BUDGET!A387</f>
        <v>OTHER EXPENDITURES</v>
      </c>
      <c r="E387" s="825"/>
      <c r="F387" s="2197">
        <f>BUDGET!AX387</f>
        <v>0</v>
      </c>
      <c r="G387" s="825"/>
      <c r="H387" s="1110"/>
      <c r="I387" s="1661"/>
      <c r="J387" s="825"/>
      <c r="K387" s="1110"/>
      <c r="L387" s="1110"/>
      <c r="M387" s="1110"/>
      <c r="N387" s="1766"/>
      <c r="O387" s="1110"/>
    </row>
    <row r="388" spans="1:15" hidden="1" x14ac:dyDescent="0.35">
      <c r="A388" s="459" t="s">
        <v>426</v>
      </c>
      <c r="B388" s="459">
        <f>BUDGET!AY388</f>
        <v>0</v>
      </c>
      <c r="C388" s="459"/>
      <c r="D388" s="779" t="str">
        <f>BUDGET!A388</f>
        <v xml:space="preserve">   PENSIONS</v>
      </c>
      <c r="E388" s="788"/>
      <c r="F388" s="2198">
        <f>BUDGET!AX388</f>
        <v>0</v>
      </c>
      <c r="G388" s="788"/>
      <c r="H388" s="841"/>
      <c r="I388" s="1656"/>
      <c r="J388" s="788"/>
      <c r="K388" s="841"/>
      <c r="L388" s="841"/>
      <c r="M388" s="841"/>
      <c r="N388" s="1761"/>
      <c r="O388" s="841"/>
    </row>
    <row r="389" spans="1:15" hidden="1" x14ac:dyDescent="0.35">
      <c r="A389" t="s">
        <v>426</v>
      </c>
      <c r="B389" s="459">
        <f>BUDGET!AY389</f>
        <v>0</v>
      </c>
      <c r="C389" s="459"/>
      <c r="D389" s="779" t="str">
        <f>BUDGET!A389</f>
        <v xml:space="preserve">        CH. 412</v>
      </c>
      <c r="E389" s="788"/>
      <c r="F389" s="2198">
        <f>BUDGET!AX389</f>
        <v>0</v>
      </c>
      <c r="G389" s="788"/>
      <c r="H389" s="841"/>
      <c r="I389" s="1656"/>
      <c r="J389" s="788"/>
      <c r="K389" s="841"/>
      <c r="L389" s="841"/>
      <c r="M389" s="841"/>
      <c r="N389" s="1761"/>
      <c r="O389" s="841"/>
    </row>
    <row r="390" spans="1:15" hidden="1" x14ac:dyDescent="0.35">
      <c r="A390" t="s">
        <v>426</v>
      </c>
      <c r="B390" s="459">
        <f>BUDGET!AY390</f>
        <v>0</v>
      </c>
      <c r="C390" s="459"/>
      <c r="D390" s="779" t="str">
        <f>BUDGET!A390</f>
        <v xml:space="preserve">        ESSEX RETIREMENT</v>
      </c>
      <c r="E390" s="825">
        <v>1749960.9269999999</v>
      </c>
      <c r="F390" s="2197">
        <f>BUDGET!AX390</f>
        <v>0</v>
      </c>
      <c r="G390" s="825"/>
      <c r="H390" s="1110"/>
      <c r="I390" s="1661"/>
      <c r="J390" s="825"/>
      <c r="K390" s="1110"/>
      <c r="L390" s="1110"/>
      <c r="M390" s="1110"/>
      <c r="N390" s="1766"/>
      <c r="O390" s="1110"/>
    </row>
    <row r="391" spans="1:15" ht="13.15" hidden="1" x14ac:dyDescent="0.4">
      <c r="A391" t="s">
        <v>426</v>
      </c>
      <c r="B391" s="459">
        <f>BUDGET!AY391</f>
        <v>0</v>
      </c>
      <c r="C391" s="459"/>
      <c r="D391" s="842" t="str">
        <f>BUDGET!A391</f>
        <v xml:space="preserve">        TOTAL</v>
      </c>
      <c r="E391" s="785">
        <v>1749960.9269999999</v>
      </c>
      <c r="F391" s="2201">
        <f>BUDGET!AX391</f>
        <v>0</v>
      </c>
      <c r="G391" s="2439" t="s">
        <v>1232</v>
      </c>
      <c r="H391" s="2058">
        <v>45363</v>
      </c>
      <c r="I391" s="1659"/>
      <c r="J391" s="785"/>
      <c r="K391" s="820"/>
      <c r="L391" s="820"/>
      <c r="M391" s="820"/>
      <c r="N391" s="1764"/>
      <c r="O391" s="820"/>
    </row>
    <row r="392" spans="1:15" hidden="1" x14ac:dyDescent="0.35">
      <c r="B392" s="459">
        <f>BUDGET!AY392</f>
        <v>0</v>
      </c>
      <c r="C392" s="459"/>
      <c r="D392" s="821" t="str">
        <f>BUDGET!A392</f>
        <v xml:space="preserve">        </v>
      </c>
      <c r="E392" s="822"/>
      <c r="F392" s="2202">
        <f>BUDGET!AX392</f>
        <v>0</v>
      </c>
      <c r="G392" s="822"/>
      <c r="H392" s="1160"/>
      <c r="I392" s="1660"/>
      <c r="J392" s="822"/>
      <c r="K392" s="1160"/>
      <c r="L392" s="1160"/>
      <c r="M392" s="1160"/>
      <c r="N392" s="1765"/>
      <c r="O392" s="1110"/>
    </row>
    <row r="393" spans="1:15" hidden="1" x14ac:dyDescent="0.35">
      <c r="A393" s="459" t="s">
        <v>737</v>
      </c>
      <c r="B393" s="459">
        <f>BUDGET!AY393</f>
        <v>0</v>
      </c>
      <c r="C393" s="459"/>
      <c r="D393" s="779" t="str">
        <f>BUDGET!A393</f>
        <v xml:space="preserve">   INSURANCE</v>
      </c>
      <c r="E393" s="788"/>
      <c r="F393" s="2198">
        <f>BUDGET!AX393</f>
        <v>0</v>
      </c>
      <c r="G393" s="788"/>
      <c r="H393" s="841"/>
      <c r="I393" s="1656"/>
      <c r="J393" s="788"/>
      <c r="K393" s="841"/>
      <c r="L393" s="841"/>
      <c r="M393" s="841"/>
      <c r="N393" s="1761"/>
      <c r="O393" s="841"/>
    </row>
    <row r="394" spans="1:15" hidden="1" x14ac:dyDescent="0.35">
      <c r="A394" t="s">
        <v>737</v>
      </c>
      <c r="B394" s="459">
        <f>BUDGET!AY394</f>
        <v>0</v>
      </c>
      <c r="C394" s="459"/>
      <c r="D394" s="779" t="str">
        <f>BUDGET!A394</f>
        <v xml:space="preserve">   LIAB./ACC./WORKM'S COMP., S.BONDS</v>
      </c>
      <c r="E394" s="825">
        <v>429797</v>
      </c>
      <c r="F394" s="2197">
        <f>BUDGET!AX394</f>
        <v>0</v>
      </c>
      <c r="G394" s="825"/>
      <c r="H394" s="1110"/>
      <c r="I394" s="1661"/>
      <c r="J394" s="825"/>
      <c r="K394" s="1110"/>
      <c r="L394" s="1110"/>
      <c r="M394" s="1110"/>
      <c r="N394" s="1766"/>
      <c r="O394" s="1110"/>
    </row>
    <row r="395" spans="1:15" hidden="1" x14ac:dyDescent="0.35">
      <c r="B395" s="459">
        <f>BUDGET!AY395</f>
        <v>0</v>
      </c>
      <c r="C395" s="459"/>
      <c r="D395" s="821"/>
      <c r="E395" s="788"/>
      <c r="F395" s="2198">
        <f>BUDGET!AX395</f>
        <v>0</v>
      </c>
      <c r="G395" s="788"/>
      <c r="H395" s="841"/>
      <c r="I395" s="1656"/>
      <c r="J395" s="788"/>
      <c r="K395" s="841"/>
      <c r="L395" s="841"/>
      <c r="M395" s="841"/>
      <c r="N395" s="1761"/>
      <c r="O395" s="841"/>
    </row>
    <row r="396" spans="1:15" hidden="1" x14ac:dyDescent="0.35">
      <c r="A396" t="s">
        <v>737</v>
      </c>
      <c r="B396" s="459">
        <f>BUDGET!AY396</f>
        <v>0</v>
      </c>
      <c r="C396" s="459"/>
      <c r="D396" s="779" t="str">
        <f>BUDGET!A396</f>
        <v xml:space="preserve">   LIFE/MEDICAL/MEDICARE</v>
      </c>
      <c r="E396" s="825">
        <v>2626174</v>
      </c>
      <c r="F396" s="2197">
        <f>BUDGET!AX396</f>
        <v>0</v>
      </c>
      <c r="G396" s="825"/>
      <c r="H396" s="1110"/>
      <c r="I396" s="1661"/>
      <c r="J396" s="825"/>
      <c r="K396" s="1110"/>
      <c r="L396" s="1110"/>
      <c r="M396" s="1110"/>
      <c r="N396" s="1766"/>
      <c r="O396" s="1110"/>
    </row>
    <row r="397" spans="1:15" hidden="1" x14ac:dyDescent="0.35">
      <c r="A397" t="s">
        <v>737</v>
      </c>
      <c r="B397" s="459">
        <f>BUDGET!AY397</f>
        <v>0</v>
      </c>
      <c r="C397" s="459"/>
      <c r="D397" s="779" t="str">
        <f>BUDGET!A397</f>
        <v xml:space="preserve">  UNEMPLOYMENT</v>
      </c>
      <c r="E397" s="825"/>
      <c r="F397" s="2197">
        <f>BUDGET!AX397</f>
        <v>0</v>
      </c>
      <c r="G397" s="825"/>
      <c r="H397" s="1110"/>
      <c r="I397" s="1661"/>
      <c r="J397" s="825"/>
      <c r="K397" s="1110"/>
      <c r="L397" s="1110"/>
      <c r="M397" s="1110"/>
      <c r="N397" s="1766"/>
      <c r="O397" s="1110"/>
    </row>
    <row r="398" spans="1:15" ht="13.15" hidden="1" x14ac:dyDescent="0.4">
      <c r="A398" t="s">
        <v>737</v>
      </c>
      <c r="B398" s="459">
        <f>BUDGET!AY398</f>
        <v>0</v>
      </c>
      <c r="C398" s="459"/>
      <c r="D398" s="842" t="str">
        <f>BUDGET!A398</f>
        <v xml:space="preserve">        TOTAL</v>
      </c>
      <c r="E398" s="827">
        <v>3055971</v>
      </c>
      <c r="F398" s="2207">
        <f>BUDGET!AX398</f>
        <v>0</v>
      </c>
      <c r="G398" s="2439" t="s">
        <v>1232</v>
      </c>
      <c r="H398" s="2058">
        <v>45363</v>
      </c>
      <c r="I398" s="1666"/>
      <c r="J398" s="827"/>
      <c r="K398" s="1127"/>
      <c r="L398" s="1127"/>
      <c r="M398" s="1127"/>
      <c r="N398" s="1771"/>
      <c r="O398" s="1127"/>
    </row>
    <row r="399" spans="1:15" hidden="1" x14ac:dyDescent="0.35">
      <c r="A399" t="s">
        <v>102</v>
      </c>
      <c r="B399" s="459">
        <f>BUDGET!AY399</f>
        <v>0</v>
      </c>
      <c r="C399" s="459"/>
      <c r="D399" s="821"/>
      <c r="E399" s="1099"/>
      <c r="F399" s="2230">
        <f>BUDGET!AX399</f>
        <v>0</v>
      </c>
      <c r="G399" s="1099"/>
      <c r="H399" s="1645"/>
      <c r="I399" s="1688"/>
      <c r="J399" s="1099"/>
      <c r="K399" s="1645"/>
      <c r="L399" s="1645"/>
      <c r="M399" s="1645"/>
      <c r="N399" s="1799"/>
      <c r="O399" s="841"/>
    </row>
    <row r="400" spans="1:15" hidden="1" x14ac:dyDescent="0.35">
      <c r="A400" s="459" t="s">
        <v>912</v>
      </c>
      <c r="B400" s="459">
        <f>BUDGET!AY400</f>
        <v>0</v>
      </c>
      <c r="C400" s="459"/>
      <c r="D400" s="779" t="str">
        <f>BUDGET!A400</f>
        <v>SALARY RESERVE</v>
      </c>
      <c r="E400" s="788"/>
      <c r="F400" s="2198">
        <f>BUDGET!AX400</f>
        <v>0</v>
      </c>
      <c r="G400" s="788"/>
      <c r="H400" s="841"/>
      <c r="I400" s="1656"/>
      <c r="J400" s="788"/>
      <c r="K400" s="841"/>
      <c r="L400" s="841"/>
      <c r="M400" s="841"/>
      <c r="N400" s="1761"/>
      <c r="O400" s="841"/>
    </row>
    <row r="401" spans="1:15" x14ac:dyDescent="0.35">
      <c r="A401" t="s">
        <v>912</v>
      </c>
      <c r="B401" s="459">
        <f>BUDGET!AY401</f>
        <v>1</v>
      </c>
      <c r="C401" s="459"/>
      <c r="D401" s="1100" t="str">
        <f>BUDGET!A401</f>
        <v>TOTAL</v>
      </c>
      <c r="E401" s="785">
        <v>80000</v>
      </c>
      <c r="F401" s="2200">
        <f>IF(_xlfn.NUMBERVALUE(J401)=0,0,I401)+IF(_xlfn.NUMBERVALUE(L401)=0,0,K401)+IF(_xlfn.NUMBERVALUE(N401)=0,0,M401)</f>
        <v>10000</v>
      </c>
      <c r="G401" s="2439"/>
      <c r="I401" s="1958">
        <v>10000</v>
      </c>
      <c r="J401" s="2510">
        <v>45376</v>
      </c>
      <c r="K401" s="2480"/>
      <c r="L401" s="2480"/>
      <c r="M401" s="2480"/>
      <c r="N401" s="2243"/>
      <c r="O401" s="725"/>
    </row>
    <row r="402" spans="1:15" hidden="1" x14ac:dyDescent="0.35">
      <c r="B402" s="459">
        <f>BUDGET!AY402</f>
        <v>0</v>
      </c>
      <c r="C402" s="459"/>
      <c r="D402" s="821"/>
      <c r="E402" s="1099"/>
      <c r="F402" s="2230">
        <f>BUDGET!AX402</f>
        <v>0</v>
      </c>
      <c r="G402" s="1099"/>
      <c r="H402" s="1645"/>
      <c r="I402" s="1688"/>
      <c r="J402" s="1099"/>
      <c r="K402" s="1645"/>
      <c r="L402" s="1645"/>
      <c r="M402" s="1645"/>
      <c r="N402" s="1799"/>
      <c r="O402" s="841"/>
    </row>
    <row r="403" spans="1:15" hidden="1" x14ac:dyDescent="0.35">
      <c r="A403" s="459" t="s">
        <v>969</v>
      </c>
      <c r="B403" s="459">
        <f>BUDGET!AY403</f>
        <v>0</v>
      </c>
      <c r="C403" s="459"/>
      <c r="D403" s="1518" t="str">
        <f>BUDGET!A403</f>
        <v>TRANSFERS TO FUNDS</v>
      </c>
      <c r="E403" s="788"/>
      <c r="F403" s="2198">
        <f>BUDGET!AX403</f>
        <v>0</v>
      </c>
      <c r="G403" s="788"/>
      <c r="H403" s="841"/>
      <c r="I403" s="1656"/>
      <c r="J403" s="788"/>
      <c r="K403" s="841"/>
      <c r="L403" s="841"/>
      <c r="M403" s="841"/>
      <c r="N403" s="1761"/>
      <c r="O403" s="841"/>
    </row>
    <row r="404" spans="1:15" hidden="1" x14ac:dyDescent="0.35">
      <c r="A404" t="s">
        <v>969</v>
      </c>
      <c r="B404" s="459">
        <f>BUDGET!AY404</f>
        <v>0</v>
      </c>
      <c r="C404" s="459"/>
      <c r="D404" s="1436" t="str">
        <f>BUDGET!A404</f>
        <v xml:space="preserve">  UNEMPLOYMENT</v>
      </c>
      <c r="E404" s="788"/>
      <c r="F404" s="2198">
        <f>BUDGET!AX404</f>
        <v>0</v>
      </c>
      <c r="G404" s="788"/>
      <c r="H404" s="841"/>
      <c r="I404" s="1656"/>
      <c r="J404" s="788"/>
      <c r="K404" s="841"/>
      <c r="L404" s="841"/>
      <c r="M404" s="841"/>
      <c r="N404" s="1761"/>
      <c r="O404" s="841"/>
    </row>
    <row r="405" spans="1:15" hidden="1" x14ac:dyDescent="0.35">
      <c r="A405" t="s">
        <v>969</v>
      </c>
      <c r="B405" s="459">
        <f>BUDGET!AY405</f>
        <v>0</v>
      </c>
      <c r="C405" s="459"/>
      <c r="D405" s="1436" t="str">
        <f>BUDGET!A405</f>
        <v xml:space="preserve"> COMPENSATED ABSENSES</v>
      </c>
      <c r="E405" s="788"/>
      <c r="F405" s="2198">
        <f>BUDGET!AX405</f>
        <v>0</v>
      </c>
      <c r="G405" s="788"/>
      <c r="H405" s="841"/>
      <c r="I405" s="1656"/>
      <c r="J405" s="788"/>
      <c r="K405" s="841"/>
      <c r="L405" s="841"/>
      <c r="M405" s="841"/>
      <c r="N405" s="1761"/>
      <c r="O405" s="841"/>
    </row>
    <row r="406" spans="1:15" hidden="1" x14ac:dyDescent="0.35">
      <c r="A406" t="s">
        <v>969</v>
      </c>
      <c r="B406" s="459">
        <f>BUDGET!AY406</f>
        <v>0</v>
      </c>
      <c r="C406" s="459"/>
      <c r="D406" s="1436" t="str">
        <f>BUDGET!A406</f>
        <v xml:space="preserve"> POLICE/FIRE INDEMNITY</v>
      </c>
      <c r="E406" s="788"/>
      <c r="F406" s="2198">
        <f>BUDGET!AX406</f>
        <v>0</v>
      </c>
      <c r="G406" s="788"/>
      <c r="H406" s="841"/>
      <c r="I406" s="1656"/>
      <c r="J406" s="788"/>
      <c r="K406" s="841"/>
      <c r="L406" s="841"/>
      <c r="M406" s="841"/>
      <c r="N406" s="1761"/>
      <c r="O406" s="841"/>
    </row>
    <row r="407" spans="1:15" hidden="1" x14ac:dyDescent="0.35">
      <c r="A407" t="s">
        <v>969</v>
      </c>
      <c r="B407" s="459">
        <f>BUDGET!AY407</f>
        <v>0</v>
      </c>
      <c r="C407" s="459"/>
      <c r="D407" s="1100" t="str">
        <f>BUDGET!A407</f>
        <v>TOTAL</v>
      </c>
      <c r="E407" s="785"/>
      <c r="F407" s="2201">
        <f>BUDGET!AX407</f>
        <v>0</v>
      </c>
      <c r="G407" s="785"/>
      <c r="H407" s="820"/>
      <c r="I407" s="1659"/>
      <c r="J407" s="785"/>
      <c r="K407" s="820"/>
      <c r="L407" s="820"/>
      <c r="M407" s="820"/>
      <c r="N407" s="1764"/>
      <c r="O407" s="820"/>
    </row>
    <row r="408" spans="1:15" hidden="1" x14ac:dyDescent="0.35">
      <c r="B408" s="459">
        <f>BUDGET!AY408</f>
        <v>0</v>
      </c>
      <c r="C408" s="459"/>
      <c r="D408" s="821"/>
      <c r="E408" s="1099"/>
      <c r="F408" s="2230">
        <f>BUDGET!AX408</f>
        <v>0</v>
      </c>
      <c r="G408" s="1099"/>
      <c r="H408" s="1645"/>
      <c r="I408" s="1688"/>
      <c r="J408" s="1099"/>
      <c r="K408" s="1645"/>
      <c r="L408" s="1645"/>
      <c r="M408" s="1645"/>
      <c r="N408" s="1799"/>
      <c r="O408" s="841"/>
    </row>
    <row r="409" spans="1:15" hidden="1" x14ac:dyDescent="0.35">
      <c r="B409" s="459">
        <f>BUDGET!AY409</f>
        <v>0</v>
      </c>
      <c r="C409" s="459"/>
      <c r="D409" s="1518" t="str">
        <f>BUDGET!A409</f>
        <v xml:space="preserve">   MAPC</v>
      </c>
      <c r="E409" s="788"/>
      <c r="F409" s="2198">
        <f>BUDGET!AX409</f>
        <v>0</v>
      </c>
      <c r="G409" s="788"/>
      <c r="H409" s="841"/>
      <c r="I409" s="1656"/>
      <c r="J409" s="788"/>
      <c r="K409" s="841"/>
      <c r="L409" s="841"/>
      <c r="M409" s="841"/>
      <c r="N409" s="1761"/>
      <c r="O409" s="841"/>
    </row>
    <row r="410" spans="1:15" hidden="1" x14ac:dyDescent="0.35">
      <c r="A410">
        <v>0</v>
      </c>
      <c r="B410" s="459">
        <f>BUDGET!AY410</f>
        <v>0</v>
      </c>
      <c r="C410" s="459"/>
      <c r="D410" s="771" t="str">
        <f>BUDGET!A410</f>
        <v xml:space="preserve">             TOTAL</v>
      </c>
      <c r="E410" s="827"/>
      <c r="F410" s="2207">
        <f>BUDGET!AX410</f>
        <v>0</v>
      </c>
      <c r="G410" s="827"/>
      <c r="H410" s="1127"/>
      <c r="I410" s="1666"/>
      <c r="J410" s="827"/>
      <c r="K410" s="1127"/>
      <c r="L410" s="1127"/>
      <c r="M410" s="1127"/>
      <c r="N410" s="1771"/>
      <c r="O410" s="1127"/>
    </row>
    <row r="411" spans="1:15" hidden="1" x14ac:dyDescent="0.35">
      <c r="B411" s="459">
        <f>BUDGET!AY411</f>
        <v>0</v>
      </c>
      <c r="C411" s="459"/>
      <c r="D411" s="821"/>
      <c r="E411" s="827"/>
      <c r="F411" s="2207">
        <f>BUDGET!AX411</f>
        <v>0</v>
      </c>
      <c r="G411" s="827"/>
      <c r="H411" s="1127"/>
      <c r="I411" s="1666"/>
      <c r="J411" s="827"/>
      <c r="K411" s="1127"/>
      <c r="L411" s="1127"/>
      <c r="M411" s="1127"/>
      <c r="N411" s="1771"/>
      <c r="O411" s="1127"/>
    </row>
    <row r="412" spans="1:15" ht="13.15" hidden="1" thickBot="1" x14ac:dyDescent="0.4">
      <c r="B412" s="459">
        <f>BUDGET!AY412</f>
        <v>0</v>
      </c>
      <c r="C412" s="459"/>
      <c r="D412" s="902" t="str">
        <f>BUDGET!A412</f>
        <v>OTHER EXPEND.:  SUB-TOTAL</v>
      </c>
      <c r="E412" s="1066">
        <v>4885931.9270000001</v>
      </c>
      <c r="F412" s="2231"/>
      <c r="G412" s="1066"/>
      <c r="H412" s="1646"/>
      <c r="I412" s="1689"/>
      <c r="J412" s="1066"/>
      <c r="K412" s="1646"/>
      <c r="L412" s="1646"/>
      <c r="M412" s="1646"/>
      <c r="N412" s="1800"/>
      <c r="O412" s="2462"/>
    </row>
    <row r="413" spans="1:15" ht="13.15" hidden="1" thickBot="1" x14ac:dyDescent="0.4">
      <c r="B413" s="459">
        <f>BUDGET!AY413</f>
        <v>0</v>
      </c>
      <c r="C413" s="459"/>
      <c r="D413" s="902" t="str">
        <f>BUDGET!A413</f>
        <v>TOTAL ART 3RD OPERATING BGT</v>
      </c>
      <c r="E413" s="1108">
        <v>25603822.407000002</v>
      </c>
      <c r="F413" s="2232">
        <f>BUDGET!AX413</f>
        <v>0</v>
      </c>
      <c r="G413" s="1108"/>
      <c r="H413" s="2054"/>
      <c r="I413" s="1690"/>
      <c r="J413" s="1108"/>
      <c r="K413" s="1647"/>
      <c r="L413" s="1647"/>
      <c r="M413" s="1647"/>
      <c r="N413" s="1801"/>
      <c r="O413" s="2463"/>
    </row>
    <row r="414" spans="1:15" hidden="1" x14ac:dyDescent="0.35">
      <c r="B414" s="459">
        <f>BUDGET!AY414</f>
        <v>0</v>
      </c>
      <c r="C414" s="459"/>
      <c r="D414" s="711" t="str">
        <f>BUDGET!A414</f>
        <v xml:space="preserve"> </v>
      </c>
      <c r="E414" s="1110"/>
      <c r="F414" s="2233">
        <f>BUDGET!AX414</f>
        <v>0</v>
      </c>
      <c r="G414" s="1110"/>
      <c r="H414" s="1110"/>
      <c r="I414" s="1691"/>
      <c r="J414" s="1110"/>
      <c r="K414" s="1110"/>
      <c r="L414" s="1110"/>
      <c r="M414" s="1110"/>
      <c r="N414" s="1766"/>
      <c r="O414" s="1110"/>
    </row>
    <row r="415" spans="1:15" hidden="1" x14ac:dyDescent="0.35">
      <c r="B415" s="459">
        <f>BUDGET!AY415</f>
        <v>0</v>
      </c>
      <c r="C415" s="459"/>
      <c r="D415" s="821"/>
      <c r="E415" s="979"/>
      <c r="F415" s="2233">
        <f>BUDGET!AX415</f>
        <v>0</v>
      </c>
      <c r="G415" s="979"/>
      <c r="I415" s="1692"/>
      <c r="J415" s="979"/>
      <c r="K415" s="979"/>
      <c r="L415" s="979"/>
      <c r="M415" s="979"/>
      <c r="N415" s="1760"/>
      <c r="O415" s="979"/>
    </row>
    <row r="416" spans="1:15" hidden="1" x14ac:dyDescent="0.35">
      <c r="A416" t="s">
        <v>1069</v>
      </c>
      <c r="B416" s="459">
        <f>BUDGET!AY416</f>
        <v>0</v>
      </c>
      <c r="C416" s="459"/>
      <c r="D416" s="1111" t="str">
        <f>BUDGET!A416</f>
        <v>ART. 4TH: WATER DEP'T (ENTERPRISE)</v>
      </c>
      <c r="E416" s="1114"/>
      <c r="F416" s="2234">
        <f>BUDGET!AX416</f>
        <v>0</v>
      </c>
      <c r="G416" s="1114"/>
      <c r="H416" s="1648"/>
      <c r="I416" s="1693"/>
      <c r="J416" s="1114"/>
      <c r="K416" s="1648"/>
      <c r="L416" s="1648"/>
      <c r="M416" s="1648"/>
      <c r="N416" s="1802"/>
      <c r="O416" s="1110"/>
    </row>
    <row r="417" spans="1:15" hidden="1" x14ac:dyDescent="0.35">
      <c r="A417" t="s">
        <v>1069</v>
      </c>
      <c r="B417" s="459">
        <f>BUDGET!AY417</f>
        <v>0</v>
      </c>
      <c r="C417" s="459"/>
      <c r="D417" s="987" t="str">
        <f>BUDGET!A417</f>
        <v xml:space="preserve">   SALARIES</v>
      </c>
      <c r="E417" s="788">
        <v>119309</v>
      </c>
      <c r="F417" s="2198">
        <f>BUDGET!AX417</f>
        <v>0</v>
      </c>
      <c r="G417" s="788"/>
      <c r="H417" s="841"/>
      <c r="I417" s="1656"/>
      <c r="J417" s="788"/>
      <c r="K417" s="841"/>
      <c r="L417" s="841"/>
      <c r="M417" s="841"/>
      <c r="N417" s="1761"/>
      <c r="O417" s="841"/>
    </row>
    <row r="418" spans="1:15" hidden="1" x14ac:dyDescent="0.35">
      <c r="A418" t="s">
        <v>1069</v>
      </c>
      <c r="B418" s="459">
        <f>BUDGET!AY418</f>
        <v>0</v>
      </c>
      <c r="C418" s="459"/>
      <c r="D418" s="779" t="str">
        <f>BUDGET!A418</f>
        <v xml:space="preserve">   WAGES</v>
      </c>
      <c r="E418" s="788">
        <v>294476</v>
      </c>
      <c r="F418" s="2198">
        <f>BUDGET!AX418</f>
        <v>0</v>
      </c>
      <c r="G418" s="788"/>
      <c r="H418" s="841"/>
      <c r="I418" s="1656"/>
      <c r="J418" s="788"/>
      <c r="K418" s="841"/>
      <c r="L418" s="841"/>
      <c r="M418" s="841"/>
      <c r="N418" s="1761"/>
      <c r="O418" s="841"/>
    </row>
    <row r="419" spans="1:15" hidden="1" x14ac:dyDescent="0.35">
      <c r="A419" t="s">
        <v>1069</v>
      </c>
      <c r="B419" s="459">
        <f>BUDGET!AY419</f>
        <v>0</v>
      </c>
      <c r="C419" s="459"/>
      <c r="D419" s="779" t="str">
        <f>BUDGET!A419</f>
        <v xml:space="preserve">   OTHER</v>
      </c>
      <c r="E419" s="788">
        <v>441050</v>
      </c>
      <c r="F419" s="2198">
        <f>BUDGET!AX419</f>
        <v>0</v>
      </c>
      <c r="G419" s="788"/>
      <c r="H419" s="841"/>
      <c r="I419" s="1656"/>
      <c r="J419" s="788"/>
      <c r="K419" s="841"/>
      <c r="L419" s="841"/>
      <c r="M419" s="841"/>
      <c r="N419" s="1761"/>
      <c r="O419" s="841"/>
    </row>
    <row r="420" spans="1:15" hidden="1" x14ac:dyDescent="0.35">
      <c r="A420" t="s">
        <v>1069</v>
      </c>
      <c r="B420" s="459">
        <f>BUDGET!AY420</f>
        <v>0</v>
      </c>
      <c r="C420" s="459"/>
      <c r="D420" s="779" t="str">
        <f>BUDGET!A420</f>
        <v xml:space="preserve">   OTHER:  PUBLIC WORKS BLDG</v>
      </c>
      <c r="E420" s="788"/>
      <c r="F420" s="2198">
        <f>BUDGET!AX420</f>
        <v>0</v>
      </c>
      <c r="G420" s="788"/>
      <c r="H420" s="841"/>
      <c r="I420" s="1656"/>
      <c r="J420" s="788"/>
      <c r="K420" s="841"/>
      <c r="L420" s="841"/>
      <c r="M420" s="841"/>
      <c r="N420" s="1761"/>
      <c r="O420" s="841"/>
    </row>
    <row r="421" spans="1:15" hidden="1" x14ac:dyDescent="0.35">
      <c r="A421" t="s">
        <v>1069</v>
      </c>
      <c r="B421" s="459">
        <f>BUDGET!AY421</f>
        <v>0</v>
      </c>
      <c r="C421" s="459"/>
      <c r="D421" s="779" t="str">
        <f>BUDGET!A421</f>
        <v xml:space="preserve">   SPECIAL MAINTENANCE FUND</v>
      </c>
      <c r="E421" s="788"/>
      <c r="F421" s="2198">
        <f>BUDGET!AX421</f>
        <v>0</v>
      </c>
      <c r="G421" s="788"/>
      <c r="H421" s="841"/>
      <c r="I421" s="1656"/>
      <c r="J421" s="788"/>
      <c r="K421" s="841"/>
      <c r="L421" s="841"/>
      <c r="M421" s="841"/>
      <c r="N421" s="1761"/>
      <c r="O421" s="841"/>
    </row>
    <row r="422" spans="1:15" hidden="1" x14ac:dyDescent="0.35">
      <c r="A422" t="s">
        <v>1069</v>
      </c>
      <c r="B422" s="459">
        <f>BUDGET!AY422</f>
        <v>0</v>
      </c>
      <c r="C422" s="459"/>
      <c r="D422" s="779" t="str">
        <f>BUDGET!A422</f>
        <v xml:space="preserve">   DEBT SVS LONG-TERM DEBT PRIN.</v>
      </c>
      <c r="E422" s="788">
        <v>643600</v>
      </c>
      <c r="F422" s="2198">
        <f>BUDGET!AX422</f>
        <v>0</v>
      </c>
      <c r="G422" s="788"/>
      <c r="H422" s="841"/>
      <c r="I422" s="1656"/>
      <c r="J422" s="788"/>
      <c r="K422" s="841"/>
      <c r="L422" s="841"/>
      <c r="M422" s="841"/>
      <c r="N422" s="1761"/>
      <c r="O422" s="841"/>
    </row>
    <row r="423" spans="1:15" hidden="1" x14ac:dyDescent="0.35">
      <c r="A423" t="s">
        <v>1069</v>
      </c>
      <c r="B423" s="459">
        <f>BUDGET!AY423</f>
        <v>0</v>
      </c>
      <c r="C423" s="459"/>
      <c r="D423" s="779" t="str">
        <f>BUDGET!A423</f>
        <v xml:space="preserve">   S.T. PRINC. PAY-DOWN</v>
      </c>
      <c r="E423" s="788"/>
      <c r="F423" s="2198">
        <f>BUDGET!AX423</f>
        <v>0</v>
      </c>
      <c r="G423" s="788"/>
      <c r="H423" s="841"/>
      <c r="I423" s="1656"/>
      <c r="J423" s="788"/>
      <c r="K423" s="841"/>
      <c r="L423" s="841"/>
      <c r="M423" s="841"/>
      <c r="N423" s="1761"/>
      <c r="O423" s="841"/>
    </row>
    <row r="424" spans="1:15" hidden="1" x14ac:dyDescent="0.35">
      <c r="A424" t="s">
        <v>1069</v>
      </c>
      <c r="B424" s="459">
        <f>BUDGET!AY424</f>
        <v>0</v>
      </c>
      <c r="C424" s="459"/>
      <c r="D424" s="779" t="str">
        <f>BUDGET!A424</f>
        <v xml:space="preserve">  DEBT SVS LONG-TERM DEBT INT.</v>
      </c>
      <c r="E424" s="788">
        <v>284462</v>
      </c>
      <c r="F424" s="2198">
        <f>BUDGET!AX424</f>
        <v>0</v>
      </c>
      <c r="G424" s="788"/>
      <c r="H424" s="841"/>
      <c r="I424" s="1656"/>
      <c r="J424" s="788"/>
      <c r="K424" s="841"/>
      <c r="L424" s="841"/>
      <c r="M424" s="841"/>
      <c r="N424" s="1761"/>
      <c r="O424" s="841"/>
    </row>
    <row r="425" spans="1:15" hidden="1" x14ac:dyDescent="0.35">
      <c r="A425" t="s">
        <v>1069</v>
      </c>
      <c r="B425" s="459">
        <f>BUDGET!AY425</f>
        <v>0</v>
      </c>
      <c r="C425" s="459"/>
      <c r="D425" s="779" t="str">
        <f>BUDGET!A425</f>
        <v xml:space="preserve">  DEBT INSURANCE</v>
      </c>
      <c r="E425" s="788"/>
      <c r="F425" s="2198">
        <f>BUDGET!AX425</f>
        <v>0</v>
      </c>
      <c r="G425" s="788"/>
      <c r="H425" s="841"/>
      <c r="I425" s="1656"/>
      <c r="J425" s="788"/>
      <c r="K425" s="841"/>
      <c r="L425" s="841"/>
      <c r="M425" s="841"/>
      <c r="N425" s="1761"/>
      <c r="O425" s="841"/>
    </row>
    <row r="426" spans="1:15" hidden="1" x14ac:dyDescent="0.35">
      <c r="A426" t="s">
        <v>1069</v>
      </c>
      <c r="B426" s="459">
        <f>BUDGET!AY426</f>
        <v>0</v>
      </c>
      <c r="C426" s="459"/>
      <c r="D426" s="779" t="str">
        <f>BUDGET!A426</f>
        <v xml:space="preserve">   DEBT SVS INT. FOR TEMP. LOANS</v>
      </c>
      <c r="E426" s="788">
        <v>125000</v>
      </c>
      <c r="F426" s="2198">
        <f>BUDGET!AX426</f>
        <v>0</v>
      </c>
      <c r="G426" s="788"/>
      <c r="H426" s="841"/>
      <c r="I426" s="1656"/>
      <c r="J426" s="788"/>
      <c r="K426" s="841"/>
      <c r="L426" s="841"/>
      <c r="M426" s="841"/>
      <c r="N426" s="1761"/>
      <c r="O426" s="841"/>
    </row>
    <row r="427" spans="1:15" hidden="1" x14ac:dyDescent="0.35">
      <c r="A427" t="s">
        <v>1069</v>
      </c>
      <c r="B427" s="459">
        <f>BUDGET!AY427</f>
        <v>0</v>
      </c>
      <c r="C427" s="459"/>
      <c r="D427" s="779" t="str">
        <f>BUDGET!A427</f>
        <v>SUBTOTAL DEBT SERVICE</v>
      </c>
      <c r="E427" s="1123">
        <v>1053062</v>
      </c>
      <c r="F427" s="2235">
        <f>BUDGET!AX427</f>
        <v>0</v>
      </c>
      <c r="G427" s="1123"/>
      <c r="H427" s="1649"/>
      <c r="I427" s="1694"/>
      <c r="J427" s="1123"/>
      <c r="K427" s="1649"/>
      <c r="L427" s="1649"/>
      <c r="M427" s="1649"/>
      <c r="N427" s="1803"/>
      <c r="O427" s="820"/>
    </row>
    <row r="428" spans="1:15" hidden="1" x14ac:dyDescent="0.35">
      <c r="A428" t="s">
        <v>1069</v>
      </c>
      <c r="B428" s="459">
        <f>BUDGET!AY428</f>
        <v>0</v>
      </c>
      <c r="C428" s="459"/>
      <c r="D428" s="779" t="str">
        <f>BUDGET!A428</f>
        <v xml:space="preserve">   RESERVE FUND</v>
      </c>
      <c r="E428" s="788">
        <v>150000</v>
      </c>
      <c r="F428" s="2198">
        <f>BUDGET!AX428</f>
        <v>0</v>
      </c>
      <c r="G428" s="788"/>
      <c r="H428" s="841"/>
      <c r="I428" s="1656"/>
      <c r="J428" s="788"/>
      <c r="K428" s="841"/>
      <c r="L428" s="841"/>
      <c r="M428" s="841"/>
      <c r="N428" s="1761"/>
      <c r="O428" s="841"/>
    </row>
    <row r="429" spans="1:15" hidden="1" x14ac:dyDescent="0.35">
      <c r="A429" t="s">
        <v>1069</v>
      </c>
      <c r="B429" s="459">
        <f>BUDGET!AY429</f>
        <v>0</v>
      </c>
      <c r="C429" s="459"/>
      <c r="D429" s="779" t="str">
        <f>BUDGET!A429</f>
        <v xml:space="preserve">   UNANTICIPATED EMERGENCY</v>
      </c>
      <c r="E429" s="788">
        <v>140000</v>
      </c>
      <c r="F429" s="2198">
        <f>BUDGET!AX429</f>
        <v>0</v>
      </c>
      <c r="G429" s="788"/>
      <c r="H429" s="841"/>
      <c r="I429" s="1656"/>
      <c r="J429" s="788"/>
      <c r="K429" s="841"/>
      <c r="L429" s="841"/>
      <c r="M429" s="841"/>
      <c r="N429" s="1761"/>
      <c r="O429" s="841"/>
    </row>
    <row r="430" spans="1:15" hidden="1" x14ac:dyDescent="0.35">
      <c r="A430" t="s">
        <v>1069</v>
      </c>
      <c r="B430" s="459">
        <f>BUDGET!AY430</f>
        <v>0</v>
      </c>
      <c r="C430" s="459"/>
      <c r="D430" s="779" t="str">
        <f>BUDGET!A430</f>
        <v xml:space="preserve">         AMOUNT TRANSFERED*</v>
      </c>
      <c r="E430" s="825"/>
      <c r="F430" s="2197">
        <f>BUDGET!AX430</f>
        <v>0</v>
      </c>
      <c r="G430" s="825"/>
      <c r="H430" s="1110"/>
      <c r="I430" s="1661"/>
      <c r="J430" s="825"/>
      <c r="K430" s="1110"/>
      <c r="L430" s="1110"/>
      <c r="M430" s="1110"/>
      <c r="N430" s="1766"/>
      <c r="O430" s="1110"/>
    </row>
    <row r="431" spans="1:15" ht="13.15" hidden="1" thickBot="1" x14ac:dyDescent="0.4">
      <c r="A431" t="s">
        <v>1069</v>
      </c>
      <c r="B431" s="459">
        <f>BUDGET!AY431</f>
        <v>0</v>
      </c>
      <c r="C431" s="459"/>
      <c r="D431" s="902" t="str">
        <f>BUDGET!A431</f>
        <v>ART. 4TH WATER DEPT:  TOTAL</v>
      </c>
      <c r="E431" s="1105">
        <v>2197897</v>
      </c>
      <c r="F431" s="2210">
        <f>BUDGET!AX431</f>
        <v>0</v>
      </c>
      <c r="G431" s="1105"/>
      <c r="H431" s="2055"/>
      <c r="I431" s="1695"/>
      <c r="J431" s="1105"/>
      <c r="K431" s="1650"/>
      <c r="L431" s="1650"/>
      <c r="M431" s="1650"/>
      <c r="N431" s="1804"/>
      <c r="O431" s="2463"/>
    </row>
    <row r="432" spans="1:15" hidden="1" x14ac:dyDescent="0.35">
      <c r="B432" s="459">
        <f>BUDGET!AY432</f>
        <v>0</v>
      </c>
      <c r="C432" s="459"/>
      <c r="D432" s="821"/>
      <c r="E432" s="1127"/>
      <c r="F432" s="2236">
        <f>BUDGET!AX432</f>
        <v>0</v>
      </c>
      <c r="G432" s="1127"/>
      <c r="H432" s="1127"/>
      <c r="I432" s="1696"/>
      <c r="J432" s="1127"/>
      <c r="K432" s="1127"/>
      <c r="L432" s="1127"/>
      <c r="M432" s="1127"/>
      <c r="N432" s="1771"/>
      <c r="O432" s="1127"/>
    </row>
    <row r="433" spans="1:15" ht="13.15" hidden="1" thickBot="1" x14ac:dyDescent="0.4">
      <c r="B433" s="459">
        <f>BUDGET!AY433</f>
        <v>0</v>
      </c>
      <c r="C433" s="459"/>
      <c r="D433" s="967" t="str">
        <f>BUDGET!A433</f>
        <v>ART. 8TH NORTH SHORE VO-TECH</v>
      </c>
      <c r="E433" s="976">
        <v>487370.66666666669</v>
      </c>
      <c r="F433" s="2216">
        <f>BUDGET!AX433</f>
        <v>0</v>
      </c>
      <c r="G433" s="976"/>
      <c r="H433" s="1651"/>
      <c r="I433" s="1697"/>
      <c r="J433" s="976"/>
      <c r="K433" s="1651"/>
      <c r="L433" s="1651"/>
      <c r="M433" s="1651"/>
      <c r="N433" s="1805"/>
      <c r="O433" s="2464"/>
    </row>
    <row r="434" spans="1:15" ht="13.15" hidden="1" thickBot="1" x14ac:dyDescent="0.4">
      <c r="B434" s="459">
        <f>BUDGET!AY434</f>
        <v>0</v>
      </c>
      <c r="C434" s="459"/>
      <c r="D434" s="821"/>
      <c r="E434" s="1138"/>
      <c r="F434" s="2237">
        <f>BUDGET!AX434</f>
        <v>0</v>
      </c>
      <c r="G434" s="1138"/>
      <c r="H434" s="1138"/>
      <c r="I434" s="1698"/>
      <c r="J434" s="1138"/>
      <c r="K434" s="1138"/>
      <c r="L434" s="1138"/>
      <c r="M434" s="1138"/>
      <c r="N434" s="1806"/>
      <c r="O434" s="1127"/>
    </row>
    <row r="435" spans="1:15" hidden="1" x14ac:dyDescent="0.35">
      <c r="A435" t="s">
        <v>1068</v>
      </c>
      <c r="B435" s="459">
        <f>BUDGET!AY435</f>
        <v>0</v>
      </c>
      <c r="C435" s="459"/>
      <c r="D435" s="1142" t="str">
        <f>BUDGET!A435</f>
        <v xml:space="preserve">ART.5TH MASCONOMET </v>
      </c>
      <c r="E435" s="827"/>
      <c r="F435" s="2207">
        <f>BUDGET!AX435</f>
        <v>0</v>
      </c>
      <c r="G435" s="827"/>
      <c r="H435" s="1127"/>
      <c r="I435" s="1666"/>
      <c r="J435" s="827"/>
      <c r="K435" s="1127"/>
      <c r="L435" s="1127"/>
      <c r="M435" s="1127"/>
      <c r="N435" s="1771"/>
      <c r="O435" s="1127"/>
    </row>
    <row r="436" spans="1:15" hidden="1" x14ac:dyDescent="0.35">
      <c r="A436" t="s">
        <v>1068</v>
      </c>
      <c r="B436" s="459">
        <f>BUDGET!AY436</f>
        <v>0</v>
      </c>
      <c r="C436" s="459"/>
      <c r="D436" s="1142" t="str">
        <f>BUDGET!A436</f>
        <v xml:space="preserve">  SHARE OF OPER &amp; MAIN.</v>
      </c>
      <c r="E436" s="1563">
        <v>9794190.8355494421</v>
      </c>
      <c r="F436" s="2238">
        <f>BUDGET!AX436</f>
        <v>0</v>
      </c>
      <c r="G436" s="1149"/>
      <c r="H436" s="1652"/>
      <c r="I436" s="1699"/>
      <c r="J436" s="1149"/>
      <c r="K436" s="1652"/>
      <c r="L436" s="1652"/>
      <c r="M436" s="1652"/>
      <c r="N436" s="1807"/>
      <c r="O436" s="1652"/>
    </row>
    <row r="437" spans="1:15" hidden="1" x14ac:dyDescent="0.35">
      <c r="A437" t="s">
        <v>1068</v>
      </c>
      <c r="B437" s="459">
        <f>BUDGET!AY437</f>
        <v>0</v>
      </c>
      <c r="C437" s="459"/>
      <c r="D437" s="1150" t="str">
        <f>BUDGET!A437</f>
        <v xml:space="preserve">  DEBT SERVICE</v>
      </c>
      <c r="E437" s="827"/>
      <c r="F437" s="2207">
        <f>BUDGET!AX437</f>
        <v>0</v>
      </c>
      <c r="G437" s="827"/>
      <c r="H437" s="1127"/>
      <c r="I437" s="1666"/>
      <c r="J437" s="827"/>
      <c r="K437" s="1127"/>
      <c r="L437" s="1127"/>
      <c r="M437" s="1127"/>
      <c r="N437" s="1771"/>
      <c r="O437" s="1127"/>
    </row>
    <row r="438" spans="1:15" ht="13.15" hidden="1" thickBot="1" x14ac:dyDescent="0.4">
      <c r="B438" s="459">
        <f>BUDGET!AY438</f>
        <v>0</v>
      </c>
      <c r="C438" s="459"/>
      <c r="D438" s="1153" t="str">
        <f>BUDGET!A438</f>
        <v>TOTAL MASCO FIN COM ASSMNT</v>
      </c>
      <c r="E438" s="1105">
        <f>BUDGET!AT438</f>
        <v>9760623</v>
      </c>
      <c r="F438" s="2210">
        <f>BUDGET!AX438</f>
        <v>0</v>
      </c>
      <c r="G438" s="1105"/>
      <c r="H438" s="2055"/>
      <c r="I438" s="1695"/>
      <c r="J438" s="1105"/>
      <c r="K438" s="1650"/>
      <c r="L438" s="1650"/>
      <c r="M438" s="1650"/>
      <c r="N438" s="1804"/>
      <c r="O438" s="2463"/>
    </row>
    <row r="439" spans="1:15" ht="13.15" hidden="1" thickTop="1" x14ac:dyDescent="0.35">
      <c r="D439" s="1156"/>
      <c r="E439" s="1110" t="s">
        <v>1066</v>
      </c>
      <c r="F439" s="1110"/>
      <c r="G439" s="1110"/>
      <c r="H439" s="1110"/>
      <c r="I439" s="1691"/>
      <c r="J439" s="1110"/>
      <c r="K439" s="1110"/>
      <c r="L439" s="1110"/>
      <c r="M439" s="1110"/>
      <c r="N439" s="1110"/>
      <c r="O439" s="1110"/>
    </row>
    <row r="440" spans="1:15" hidden="1" x14ac:dyDescent="0.35">
      <c r="D440" s="1125"/>
      <c r="E440" s="1110"/>
      <c r="F440" s="459"/>
      <c r="G440"/>
      <c r="H440" s="2056"/>
      <c r="I440" s="459"/>
      <c r="J440"/>
      <c r="K440"/>
      <c r="L440"/>
      <c r="M440"/>
      <c r="N440"/>
      <c r="O440"/>
    </row>
    <row r="441" spans="1:15" hidden="1" x14ac:dyDescent="0.35">
      <c r="D441" s="1158"/>
      <c r="E441" s="1160"/>
      <c r="F441"/>
      <c r="G441"/>
      <c r="H441" s="2056"/>
      <c r="I441" s="459"/>
      <c r="J441"/>
      <c r="K441"/>
      <c r="L441"/>
      <c r="M441"/>
      <c r="N441"/>
      <c r="O441"/>
    </row>
    <row r="442" spans="1:15" x14ac:dyDescent="0.35">
      <c r="D442" s="1161"/>
      <c r="E442" s="1165"/>
      <c r="F442"/>
      <c r="G442"/>
      <c r="H442" s="2056"/>
      <c r="I442"/>
      <c r="J442"/>
      <c r="K442"/>
      <c r="L442"/>
      <c r="M442"/>
      <c r="N442"/>
      <c r="O442" s="725"/>
    </row>
    <row r="443" spans="1:15" ht="13.9" x14ac:dyDescent="0.4">
      <c r="D443" s="1170"/>
      <c r="E443" s="2514" t="s">
        <v>1278</v>
      </c>
      <c r="F443" s="459">
        <f>SUBTOTAL(109,F18:F401)</f>
        <v>192866</v>
      </c>
      <c r="G443"/>
      <c r="H443" s="2056"/>
      <c r="I443" s="459">
        <f>SUBTOTAL(109,I18:I401)</f>
        <v>192619</v>
      </c>
      <c r="J443"/>
      <c r="K443" s="459">
        <f>SUBTOTAL(109,K18:K401)</f>
        <v>1359</v>
      </c>
      <c r="L443"/>
      <c r="M443" s="459">
        <f>SUBTOTAL(109,M18:M401)</f>
        <v>7000</v>
      </c>
      <c r="N443"/>
      <c r="O443" s="725"/>
    </row>
    <row r="444" spans="1:15" x14ac:dyDescent="0.35">
      <c r="D444" s="1125"/>
      <c r="E444" s="825"/>
      <c r="F444"/>
      <c r="G444"/>
      <c r="H444" s="2056"/>
      <c r="I444" s="459">
        <f>I443+K443+M443</f>
        <v>200978</v>
      </c>
      <c r="J444"/>
      <c r="K444"/>
      <c r="L444"/>
      <c r="M444"/>
      <c r="N444"/>
      <c r="O444" s="725"/>
    </row>
    <row r="445" spans="1:15" x14ac:dyDescent="0.35">
      <c r="E445" s="1522"/>
      <c r="F445"/>
      <c r="G445"/>
      <c r="H445" s="2512" t="s">
        <v>1277</v>
      </c>
      <c r="I445" s="2513">
        <f>I444-F443</f>
        <v>8112</v>
      </c>
      <c r="J445" s="459"/>
      <c r="K445"/>
      <c r="L445"/>
      <c r="M445"/>
      <c r="N445"/>
      <c r="O445" s="725"/>
    </row>
    <row r="446" spans="1:15" x14ac:dyDescent="0.35">
      <c r="E446" s="1522"/>
      <c r="F446"/>
      <c r="G446"/>
      <c r="H446" s="2056"/>
      <c r="I446"/>
      <c r="J446"/>
      <c r="K446"/>
      <c r="L446"/>
      <c r="M446"/>
      <c r="N446"/>
      <c r="O446"/>
    </row>
    <row r="447" spans="1:15" x14ac:dyDescent="0.35">
      <c r="E447" s="1522"/>
      <c r="F447"/>
      <c r="G447"/>
      <c r="H447" s="2440"/>
      <c r="I447"/>
      <c r="J447"/>
      <c r="K447"/>
      <c r="L447"/>
      <c r="M447"/>
      <c r="N447"/>
      <c r="O447"/>
    </row>
    <row r="448" spans="1:15" x14ac:dyDescent="0.35">
      <c r="E448" s="1522"/>
      <c r="F448"/>
      <c r="G448"/>
      <c r="H448" s="2056"/>
      <c r="I448"/>
      <c r="J448"/>
      <c r="K448"/>
      <c r="L448"/>
      <c r="M448"/>
      <c r="N448"/>
      <c r="O448"/>
    </row>
    <row r="449" spans="4:15" x14ac:dyDescent="0.35">
      <c r="E449" s="1522"/>
      <c r="F449"/>
      <c r="G449"/>
      <c r="H449" s="2056"/>
      <c r="I449"/>
      <c r="J449"/>
      <c r="K449"/>
      <c r="L449"/>
      <c r="M449"/>
      <c r="N449"/>
      <c r="O449"/>
    </row>
    <row r="450" spans="4:15" x14ac:dyDescent="0.35">
      <c r="E450" s="1519"/>
      <c r="F450"/>
      <c r="G450"/>
      <c r="H450" s="2056"/>
      <c r="I450"/>
      <c r="J450"/>
      <c r="K450"/>
      <c r="L450"/>
      <c r="M450"/>
      <c r="N450"/>
      <c r="O450"/>
    </row>
    <row r="451" spans="4:15" x14ac:dyDescent="0.35">
      <c r="D451" s="1186"/>
      <c r="E451" s="1532"/>
      <c r="F451"/>
      <c r="G451"/>
      <c r="H451" s="2056"/>
      <c r="I451"/>
      <c r="J451"/>
      <c r="K451"/>
      <c r="L451"/>
      <c r="M451"/>
      <c r="N451"/>
      <c r="O451"/>
    </row>
    <row r="452" spans="4:15" ht="13.15" thickBot="1" x14ac:dyDescent="0.4">
      <c r="D452" s="1189"/>
      <c r="E452" s="1455"/>
      <c r="F452"/>
      <c r="G452"/>
      <c r="H452" s="2056"/>
      <c r="I452"/>
      <c r="J452"/>
      <c r="K452"/>
      <c r="L452"/>
      <c r="M452"/>
      <c r="N452"/>
      <c r="O452"/>
    </row>
    <row r="453" spans="4:15" ht="13.15" thickTop="1" x14ac:dyDescent="0.35">
      <c r="E453" s="979"/>
      <c r="F453"/>
      <c r="G453"/>
      <c r="H453" s="2056"/>
      <c r="I453"/>
      <c r="J453"/>
      <c r="K453"/>
      <c r="L453"/>
      <c r="M453"/>
      <c r="N453"/>
      <c r="O453"/>
    </row>
    <row r="454" spans="4:15" x14ac:dyDescent="0.35">
      <c r="D454" s="1195"/>
      <c r="E454" s="1199"/>
      <c r="F454"/>
      <c r="G454"/>
      <c r="H454" s="2056"/>
      <c r="I454"/>
      <c r="J454"/>
      <c r="K454"/>
      <c r="L454"/>
      <c r="M454"/>
      <c r="N454"/>
      <c r="O454"/>
    </row>
    <row r="455" spans="4:15" x14ac:dyDescent="0.35">
      <c r="D455" s="1201"/>
      <c r="E455" s="1203"/>
      <c r="F455"/>
      <c r="G455"/>
      <c r="H455" s="2056"/>
      <c r="I455"/>
      <c r="J455"/>
      <c r="K455"/>
      <c r="L455"/>
      <c r="M455"/>
      <c r="N455"/>
      <c r="O455"/>
    </row>
    <row r="456" spans="4:15" ht="13.15" thickBot="1" x14ac:dyDescent="0.4">
      <c r="D456" s="1205"/>
      <c r="E456" s="1207"/>
      <c r="F456"/>
      <c r="G456"/>
      <c r="H456" s="2056"/>
      <c r="I456"/>
      <c r="J456"/>
      <c r="K456"/>
      <c r="L456"/>
      <c r="M456"/>
      <c r="N456"/>
      <c r="O456"/>
    </row>
    <row r="457" spans="4:15" x14ac:dyDescent="0.35">
      <c r="E457" s="727" t="s">
        <v>1066</v>
      </c>
    </row>
    <row r="458" spans="4:15" ht="13.15" x14ac:dyDescent="0.4">
      <c r="E458" s="1523" t="s">
        <v>1066</v>
      </c>
      <c r="F458" s="1523"/>
      <c r="G458" s="1523"/>
      <c r="H458" s="1523"/>
      <c r="I458" s="1523"/>
      <c r="J458" s="1523"/>
      <c r="K458" s="1523"/>
      <c r="L458" s="1523"/>
      <c r="M458" s="1523"/>
      <c r="N458" s="1523"/>
      <c r="O458" s="1523"/>
    </row>
    <row r="459" spans="4:15" x14ac:dyDescent="0.35">
      <c r="E459" s="979" t="s">
        <v>1066</v>
      </c>
      <c r="F459" s="979"/>
      <c r="G459" s="979"/>
      <c r="I459" s="979"/>
      <c r="J459" s="979"/>
      <c r="K459" s="979"/>
      <c r="L459" s="979"/>
      <c r="M459" s="979"/>
      <c r="N459" s="979"/>
      <c r="O459" s="979"/>
    </row>
    <row r="460" spans="4:15" x14ac:dyDescent="0.35">
      <c r="E460" s="979" t="s">
        <v>1066</v>
      </c>
      <c r="F460" s="979"/>
      <c r="G460" s="979"/>
      <c r="I460" s="979"/>
      <c r="J460" s="979"/>
      <c r="K460" s="979"/>
      <c r="L460" s="979"/>
      <c r="M460" s="979"/>
      <c r="N460" s="979"/>
      <c r="O460" s="979"/>
    </row>
    <row r="461" spans="4:15" x14ac:dyDescent="0.35">
      <c r="E461" s="979" t="s">
        <v>1066</v>
      </c>
      <c r="F461" s="979"/>
      <c r="G461" s="979"/>
      <c r="I461" s="979"/>
      <c r="J461" s="979"/>
      <c r="K461" s="979"/>
      <c r="L461" s="979"/>
      <c r="M461" s="979"/>
      <c r="N461" s="979"/>
      <c r="O461" s="979"/>
    </row>
    <row r="462" spans="4:15" x14ac:dyDescent="0.35">
      <c r="E462" s="727" t="s">
        <v>1066</v>
      </c>
    </row>
    <row r="463" spans="4:15" x14ac:dyDescent="0.35">
      <c r="E463" s="727" t="s">
        <v>1066</v>
      </c>
    </row>
    <row r="464" spans="4:15" x14ac:dyDescent="0.35">
      <c r="E464" s="727" t="s">
        <v>1066</v>
      </c>
    </row>
    <row r="465" spans="4:5" x14ac:dyDescent="0.35">
      <c r="E465" s="727" t="s">
        <v>1066</v>
      </c>
    </row>
    <row r="466" spans="4:5" x14ac:dyDescent="0.35">
      <c r="D466" s="1524"/>
      <c r="E466" s="727" t="s">
        <v>1066</v>
      </c>
    </row>
    <row r="467" spans="4:5" x14ac:dyDescent="0.35">
      <c r="D467" s="1524"/>
      <c r="E467" s="727" t="s">
        <v>1066</v>
      </c>
    </row>
    <row r="468" spans="4:5" x14ac:dyDescent="0.35">
      <c r="D468" s="1524"/>
      <c r="E468" s="727" t="s">
        <v>1066</v>
      </c>
    </row>
    <row r="469" spans="4:5" x14ac:dyDescent="0.35">
      <c r="E469" s="727" t="s">
        <v>1066</v>
      </c>
    </row>
    <row r="470" spans="4:5" x14ac:dyDescent="0.35">
      <c r="E470" s="727" t="s">
        <v>1066</v>
      </c>
    </row>
    <row r="471" spans="4:5" x14ac:dyDescent="0.35">
      <c r="E471" s="727" t="s">
        <v>1066</v>
      </c>
    </row>
    <row r="472" spans="4:5" x14ac:dyDescent="0.35">
      <c r="E472" s="727" t="s">
        <v>1066</v>
      </c>
    </row>
    <row r="473" spans="4:5" x14ac:dyDescent="0.35">
      <c r="E473" s="727" t="s">
        <v>1066</v>
      </c>
    </row>
    <row r="474" spans="4:5" x14ac:dyDescent="0.35">
      <c r="E474" s="727" t="s">
        <v>1066</v>
      </c>
    </row>
    <row r="475" spans="4:5" x14ac:dyDescent="0.35">
      <c r="E475" s="727" t="s">
        <v>1066</v>
      </c>
    </row>
    <row r="476" spans="4:5" x14ac:dyDescent="0.35">
      <c r="E476" s="727" t="s">
        <v>1066</v>
      </c>
    </row>
    <row r="477" spans="4:5" x14ac:dyDescent="0.35">
      <c r="E477" s="727" t="s">
        <v>1066</v>
      </c>
    </row>
    <row r="478" spans="4:5" x14ac:dyDescent="0.35">
      <c r="E478" s="727" t="s">
        <v>1066</v>
      </c>
    </row>
    <row r="479" spans="4:5" x14ac:dyDescent="0.35">
      <c r="E479" s="727" t="s">
        <v>1066</v>
      </c>
    </row>
    <row r="480" spans="4:5" x14ac:dyDescent="0.35">
      <c r="E480" s="727" t="s">
        <v>1066</v>
      </c>
    </row>
    <row r="481" spans="5:5" x14ac:dyDescent="0.35">
      <c r="E481" s="727" t="s">
        <v>1066</v>
      </c>
    </row>
    <row r="482" spans="5:5" x14ac:dyDescent="0.35">
      <c r="E482" s="727" t="s">
        <v>1066</v>
      </c>
    </row>
    <row r="483" spans="5:5" x14ac:dyDescent="0.35">
      <c r="E483" s="727" t="s">
        <v>1066</v>
      </c>
    </row>
    <row r="484" spans="5:5" x14ac:dyDescent="0.35">
      <c r="E484" s="727" t="s">
        <v>1066</v>
      </c>
    </row>
    <row r="485" spans="5:5" x14ac:dyDescent="0.35">
      <c r="E485" s="727" t="s">
        <v>1066</v>
      </c>
    </row>
    <row r="486" spans="5:5" x14ac:dyDescent="0.35">
      <c r="E486" s="727" t="s">
        <v>1066</v>
      </c>
    </row>
    <row r="487" spans="5:5" x14ac:dyDescent="0.35">
      <c r="E487" s="727" t="s">
        <v>1066</v>
      </c>
    </row>
    <row r="488" spans="5:5" x14ac:dyDescent="0.35">
      <c r="E488" s="727" t="s">
        <v>1066</v>
      </c>
    </row>
    <row r="489" spans="5:5" x14ac:dyDescent="0.35">
      <c r="E489" s="727" t="s">
        <v>1066</v>
      </c>
    </row>
    <row r="490" spans="5:5" x14ac:dyDescent="0.35">
      <c r="E490" s="727" t="s">
        <v>1066</v>
      </c>
    </row>
    <row r="491" spans="5:5" x14ac:dyDescent="0.35">
      <c r="E491" s="727" t="s">
        <v>1066</v>
      </c>
    </row>
    <row r="492" spans="5:5" x14ac:dyDescent="0.35">
      <c r="E492" s="727" t="s">
        <v>1066</v>
      </c>
    </row>
    <row r="493" spans="5:5" x14ac:dyDescent="0.35">
      <c r="E493" s="727" t="s">
        <v>1066</v>
      </c>
    </row>
    <row r="494" spans="5:5" x14ac:dyDescent="0.35">
      <c r="E494" s="727" t="s">
        <v>1066</v>
      </c>
    </row>
    <row r="495" spans="5:5" x14ac:dyDescent="0.35">
      <c r="E495" s="727" t="s">
        <v>1066</v>
      </c>
    </row>
    <row r="496" spans="5:5" x14ac:dyDescent="0.35">
      <c r="E496" s="727" t="s">
        <v>1066</v>
      </c>
    </row>
    <row r="497" spans="5:5" x14ac:dyDescent="0.35">
      <c r="E497" s="727" t="s">
        <v>1066</v>
      </c>
    </row>
    <row r="498" spans="5:5" x14ac:dyDescent="0.35">
      <c r="E498" s="727" t="s">
        <v>1066</v>
      </c>
    </row>
    <row r="499" spans="5:5" x14ac:dyDescent="0.35">
      <c r="E499" s="727" t="s">
        <v>1066</v>
      </c>
    </row>
    <row r="500" spans="5:5" x14ac:dyDescent="0.35">
      <c r="E500" s="727" t="s">
        <v>1066</v>
      </c>
    </row>
    <row r="501" spans="5:5" x14ac:dyDescent="0.35">
      <c r="E501" s="727" t="s">
        <v>1066</v>
      </c>
    </row>
    <row r="502" spans="5:5" x14ac:dyDescent="0.35">
      <c r="E502" s="727" t="s">
        <v>1066</v>
      </c>
    </row>
    <row r="503" spans="5:5" x14ac:dyDescent="0.35">
      <c r="E503" s="727" t="s">
        <v>1066</v>
      </c>
    </row>
    <row r="504" spans="5:5" x14ac:dyDescent="0.35">
      <c r="E504" s="727" t="s">
        <v>1066</v>
      </c>
    </row>
    <row r="505" spans="5:5" x14ac:dyDescent="0.35">
      <c r="E505" s="727" t="s">
        <v>1066</v>
      </c>
    </row>
    <row r="506" spans="5:5" x14ac:dyDescent="0.35">
      <c r="E506" s="727" t="s">
        <v>1066</v>
      </c>
    </row>
    <row r="507" spans="5:5" x14ac:dyDescent="0.35">
      <c r="E507" s="727" t="s">
        <v>1066</v>
      </c>
    </row>
    <row r="508" spans="5:5" x14ac:dyDescent="0.35">
      <c r="E508" s="727" t="s">
        <v>1066</v>
      </c>
    </row>
    <row r="509" spans="5:5" x14ac:dyDescent="0.35">
      <c r="E509" s="727" t="s">
        <v>1066</v>
      </c>
    </row>
    <row r="510" spans="5:5" x14ac:dyDescent="0.35">
      <c r="E510" s="727" t="s">
        <v>1066</v>
      </c>
    </row>
    <row r="511" spans="5:5" x14ac:dyDescent="0.35">
      <c r="E511" s="727" t="s">
        <v>1066</v>
      </c>
    </row>
    <row r="512" spans="5:5" x14ac:dyDescent="0.35">
      <c r="E512" s="727" t="s">
        <v>1066</v>
      </c>
    </row>
    <row r="513" spans="5:5" x14ac:dyDescent="0.35">
      <c r="E513" s="727" t="s">
        <v>1066</v>
      </c>
    </row>
    <row r="514" spans="5:5" x14ac:dyDescent="0.35">
      <c r="E514" s="727" t="s">
        <v>1066</v>
      </c>
    </row>
    <row r="515" spans="5:5" x14ac:dyDescent="0.35">
      <c r="E515" s="727" t="s">
        <v>1066</v>
      </c>
    </row>
    <row r="516" spans="5:5" x14ac:dyDescent="0.35">
      <c r="E516" s="727" t="s">
        <v>1066</v>
      </c>
    </row>
    <row r="517" spans="5:5" x14ac:dyDescent="0.35">
      <c r="E517" s="727" t="s">
        <v>1066</v>
      </c>
    </row>
    <row r="518" spans="5:5" x14ac:dyDescent="0.35">
      <c r="E518" s="727" t="s">
        <v>1066</v>
      </c>
    </row>
    <row r="519" spans="5:5" x14ac:dyDescent="0.35">
      <c r="E519" s="727" t="s">
        <v>1066</v>
      </c>
    </row>
    <row r="520" spans="5:5" x14ac:dyDescent="0.35">
      <c r="E520" s="727" t="s">
        <v>1066</v>
      </c>
    </row>
    <row r="521" spans="5:5" x14ac:dyDescent="0.35">
      <c r="E521" s="727" t="s">
        <v>1066</v>
      </c>
    </row>
    <row r="522" spans="5:5" x14ac:dyDescent="0.35">
      <c r="E522" s="727" t="s">
        <v>1066</v>
      </c>
    </row>
    <row r="523" spans="5:5" x14ac:dyDescent="0.35">
      <c r="E523" s="727" t="s">
        <v>1066</v>
      </c>
    </row>
    <row r="524" spans="5:5" x14ac:dyDescent="0.35">
      <c r="E524" s="727" t="s">
        <v>1066</v>
      </c>
    </row>
    <row r="525" spans="5:5" x14ac:dyDescent="0.35">
      <c r="E525" s="727" t="s">
        <v>1066</v>
      </c>
    </row>
    <row r="526" spans="5:5" x14ac:dyDescent="0.35">
      <c r="E526" s="727" t="s">
        <v>1066</v>
      </c>
    </row>
    <row r="527" spans="5:5" x14ac:dyDescent="0.35">
      <c r="E527" s="727" t="s">
        <v>1066</v>
      </c>
    </row>
    <row r="528" spans="5:5" x14ac:dyDescent="0.35">
      <c r="E528" s="727" t="s">
        <v>1066</v>
      </c>
    </row>
    <row r="529" spans="5:5" x14ac:dyDescent="0.35">
      <c r="E529" s="727" t="s">
        <v>1066</v>
      </c>
    </row>
    <row r="530" spans="5:5" x14ac:dyDescent="0.35">
      <c r="E530" s="727" t="s">
        <v>1066</v>
      </c>
    </row>
    <row r="531" spans="5:5" x14ac:dyDescent="0.35">
      <c r="E531" s="727" t="s">
        <v>1066</v>
      </c>
    </row>
    <row r="532" spans="5:5" x14ac:dyDescent="0.35">
      <c r="E532" s="727" t="s">
        <v>1066</v>
      </c>
    </row>
    <row r="533" spans="5:5" x14ac:dyDescent="0.35">
      <c r="E533" s="727" t="s">
        <v>1066</v>
      </c>
    </row>
    <row r="534" spans="5:5" x14ac:dyDescent="0.35">
      <c r="E534" s="727" t="s">
        <v>1066</v>
      </c>
    </row>
    <row r="535" spans="5:5" x14ac:dyDescent="0.35">
      <c r="E535" s="727" t="s">
        <v>1066</v>
      </c>
    </row>
    <row r="536" spans="5:5" x14ac:dyDescent="0.35">
      <c r="E536" s="727" t="s">
        <v>1066</v>
      </c>
    </row>
    <row r="537" spans="5:5" x14ac:dyDescent="0.35">
      <c r="E537" s="727" t="s">
        <v>1066</v>
      </c>
    </row>
    <row r="538" spans="5:5" x14ac:dyDescent="0.35">
      <c r="E538" s="727" t="s">
        <v>1066</v>
      </c>
    </row>
    <row r="539" spans="5:5" x14ac:dyDescent="0.35">
      <c r="E539" s="727" t="s">
        <v>1066</v>
      </c>
    </row>
    <row r="540" spans="5:5" x14ac:dyDescent="0.35">
      <c r="E540" s="727" t="s">
        <v>1066</v>
      </c>
    </row>
    <row r="541" spans="5:5" x14ac:dyDescent="0.35">
      <c r="E541" s="727" t="s">
        <v>1066</v>
      </c>
    </row>
    <row r="542" spans="5:5" x14ac:dyDescent="0.35">
      <c r="E542" s="727" t="s">
        <v>1066</v>
      </c>
    </row>
    <row r="543" spans="5:5" x14ac:dyDescent="0.35">
      <c r="E543" s="727" t="s">
        <v>1066</v>
      </c>
    </row>
    <row r="544" spans="5:5" x14ac:dyDescent="0.35">
      <c r="E544" s="727" t="s">
        <v>1066</v>
      </c>
    </row>
    <row r="545" spans="5:5" x14ac:dyDescent="0.35">
      <c r="E545" s="727" t="s">
        <v>1066</v>
      </c>
    </row>
    <row r="546" spans="5:5" x14ac:dyDescent="0.35">
      <c r="E546" s="727" t="s">
        <v>1066</v>
      </c>
    </row>
    <row r="547" spans="5:5" x14ac:dyDescent="0.35">
      <c r="E547" s="727" t="s">
        <v>1066</v>
      </c>
    </row>
    <row r="548" spans="5:5" x14ac:dyDescent="0.35">
      <c r="E548" s="727" t="s">
        <v>1066</v>
      </c>
    </row>
    <row r="549" spans="5:5" x14ac:dyDescent="0.35">
      <c r="E549" s="727" t="s">
        <v>1066</v>
      </c>
    </row>
    <row r="550" spans="5:5" x14ac:dyDescent="0.35">
      <c r="E550" s="727" t="s">
        <v>1066</v>
      </c>
    </row>
    <row r="551" spans="5:5" x14ac:dyDescent="0.35">
      <c r="E551" s="727" t="s">
        <v>1066</v>
      </c>
    </row>
    <row r="552" spans="5:5" x14ac:dyDescent="0.35">
      <c r="E552" s="727" t="s">
        <v>1066</v>
      </c>
    </row>
    <row r="553" spans="5:5" x14ac:dyDescent="0.35">
      <c r="E553" s="727" t="s">
        <v>1066</v>
      </c>
    </row>
    <row r="554" spans="5:5" x14ac:dyDescent="0.35">
      <c r="E554" s="727" t="s">
        <v>1066</v>
      </c>
    </row>
    <row r="555" spans="5:5" x14ac:dyDescent="0.35">
      <c r="E555" s="727" t="s">
        <v>1066</v>
      </c>
    </row>
    <row r="556" spans="5:5" x14ac:dyDescent="0.35">
      <c r="E556" s="727" t="s">
        <v>1066</v>
      </c>
    </row>
    <row r="557" spans="5:5" x14ac:dyDescent="0.35">
      <c r="E557" s="727" t="s">
        <v>1066</v>
      </c>
    </row>
    <row r="558" spans="5:5" x14ac:dyDescent="0.35">
      <c r="E558" s="727" t="s">
        <v>1066</v>
      </c>
    </row>
    <row r="559" spans="5:5" x14ac:dyDescent="0.35">
      <c r="E559" s="727" t="s">
        <v>1066</v>
      </c>
    </row>
    <row r="560" spans="5:5" x14ac:dyDescent="0.35">
      <c r="E560" s="727" t="s">
        <v>1066</v>
      </c>
    </row>
    <row r="561" spans="5:5" x14ac:dyDescent="0.35">
      <c r="E561" s="727" t="s">
        <v>1066</v>
      </c>
    </row>
    <row r="562" spans="5:5" x14ac:dyDescent="0.35">
      <c r="E562" s="727" t="s">
        <v>1066</v>
      </c>
    </row>
    <row r="563" spans="5:5" x14ac:dyDescent="0.35">
      <c r="E563" s="727" t="s">
        <v>1066</v>
      </c>
    </row>
    <row r="564" spans="5:5" x14ac:dyDescent="0.35">
      <c r="E564" s="727" t="s">
        <v>1066</v>
      </c>
    </row>
    <row r="565" spans="5:5" x14ac:dyDescent="0.35">
      <c r="E565" s="727" t="s">
        <v>1066</v>
      </c>
    </row>
    <row r="566" spans="5:5" x14ac:dyDescent="0.35">
      <c r="E566" s="727" t="s">
        <v>1066</v>
      </c>
    </row>
    <row r="567" spans="5:5" x14ac:dyDescent="0.35">
      <c r="E567" s="727" t="s">
        <v>1066</v>
      </c>
    </row>
    <row r="568" spans="5:5" x14ac:dyDescent="0.35">
      <c r="E568" s="727" t="s">
        <v>1066</v>
      </c>
    </row>
    <row r="569" spans="5:5" x14ac:dyDescent="0.35">
      <c r="E569" s="727" t="s">
        <v>1066</v>
      </c>
    </row>
    <row r="570" spans="5:5" x14ac:dyDescent="0.35">
      <c r="E570" s="727" t="s">
        <v>1066</v>
      </c>
    </row>
    <row r="571" spans="5:5" x14ac:dyDescent="0.35">
      <c r="E571" s="727" t="s">
        <v>1066</v>
      </c>
    </row>
    <row r="572" spans="5:5" x14ac:dyDescent="0.35">
      <c r="E572" s="727" t="s">
        <v>1066</v>
      </c>
    </row>
  </sheetData>
  <sheetProtection selectLockedCells="1"/>
  <protectedRanges>
    <protectedRange sqref="H1:H400 H402:H1048576 F1:G1048576 I1:O1048576" name="Range1"/>
  </protectedRanges>
  <autoFilter ref="A10:N441" xr:uid="{00000000-0009-0000-0000-00000C000000}">
    <filterColumn colId="1">
      <filters>
        <filter val="1"/>
      </filters>
    </filterColumn>
  </autoFilter>
  <pageMargins left="0.7" right="0.7" top="0.75" bottom="0.75" header="0.3" footer="0.3"/>
  <pageSetup paperSize="9" scale="67" fitToHeight="0" orientation="portrait" horizontalDpi="4294967293" r:id="rId1"/>
  <headerFoot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B1:N2107"/>
  <sheetViews>
    <sheetView topLeftCell="A28" workbookViewId="0">
      <selection activeCell="C57" sqref="C57"/>
    </sheetView>
  </sheetViews>
  <sheetFormatPr defaultRowHeight="12.75" x14ac:dyDescent="0.35"/>
  <cols>
    <col min="2" max="2" width="5.6640625" style="1901" customWidth="1"/>
    <col min="3" max="3" width="65" style="1901" customWidth="1"/>
    <col min="4" max="4" width="10.33203125" style="1917" customWidth="1"/>
    <col min="5" max="5" width="10.1328125" style="1913" customWidth="1"/>
    <col min="6" max="6" width="9.6640625" style="1913" customWidth="1"/>
    <col min="7" max="7" width="9.53125" style="1913" customWidth="1"/>
    <col min="8" max="8" width="14.86328125" style="1913" customWidth="1"/>
    <col min="9" max="9" width="0" style="127" hidden="1" customWidth="1"/>
    <col min="10" max="10" width="2.6640625" style="127" hidden="1" customWidth="1"/>
    <col min="11" max="11" width="11.86328125" style="86" customWidth="1"/>
    <col min="12" max="12" width="11.86328125" style="2485" customWidth="1"/>
    <col min="13" max="13" width="11.86328125" customWidth="1"/>
    <col min="14" max="14" width="15.33203125" customWidth="1"/>
  </cols>
  <sheetData>
    <row r="1" spans="2:14" x14ac:dyDescent="0.35">
      <c r="D1" s="514"/>
      <c r="E1" s="487"/>
      <c r="F1" s="487"/>
      <c r="G1" s="487"/>
      <c r="H1" s="487"/>
      <c r="I1" s="487"/>
      <c r="J1" s="488"/>
      <c r="K1" s="494"/>
    </row>
    <row r="2" spans="2:14" x14ac:dyDescent="0.35">
      <c r="B2" s="1902"/>
      <c r="C2" s="1902"/>
      <c r="D2" s="503"/>
      <c r="E2" s="491"/>
      <c r="F2" s="492"/>
      <c r="G2" s="492"/>
      <c r="H2" s="492"/>
      <c r="I2" s="492"/>
      <c r="J2" s="493"/>
      <c r="K2" s="494"/>
    </row>
    <row r="3" spans="2:14" ht="13.15" thickBot="1" x14ac:dyDescent="0.4">
      <c r="D3" s="503"/>
      <c r="E3" s="491"/>
      <c r="F3" s="492"/>
      <c r="G3" s="492"/>
      <c r="H3" s="497"/>
      <c r="I3" s="497"/>
      <c r="J3" s="498"/>
      <c r="K3" s="499"/>
      <c r="L3" s="2486"/>
      <c r="M3" s="499"/>
    </row>
    <row r="4" spans="2:14" x14ac:dyDescent="0.35">
      <c r="B4" s="1903" t="s">
        <v>1066</v>
      </c>
      <c r="C4" s="1903" t="s">
        <v>1066</v>
      </c>
      <c r="D4" s="1903" t="s">
        <v>418</v>
      </c>
      <c r="E4" s="1903" t="s">
        <v>1066</v>
      </c>
      <c r="F4" s="1903" t="s">
        <v>1066</v>
      </c>
      <c r="G4" s="1903" t="s">
        <v>1066</v>
      </c>
      <c r="H4" s="1903" t="s">
        <v>1066</v>
      </c>
      <c r="I4" s="83" t="s">
        <v>419</v>
      </c>
      <c r="J4" s="83" t="s">
        <v>1066</v>
      </c>
      <c r="K4" s="1816"/>
      <c r="L4" s="2487"/>
      <c r="M4" s="1816"/>
      <c r="N4" s="1816"/>
    </row>
    <row r="5" spans="2:14" x14ac:dyDescent="0.35">
      <c r="B5" s="1904" t="s">
        <v>160</v>
      </c>
      <c r="C5" s="1904" t="s">
        <v>160</v>
      </c>
      <c r="D5" s="1904" t="s">
        <v>420</v>
      </c>
      <c r="E5" s="1904" t="s">
        <v>421</v>
      </c>
      <c r="F5" s="1904" t="s">
        <v>422</v>
      </c>
      <c r="G5" s="1904" t="s">
        <v>283</v>
      </c>
      <c r="H5" s="1904" t="s">
        <v>147</v>
      </c>
      <c r="I5" s="89" t="s">
        <v>274</v>
      </c>
      <c r="J5" s="89" t="s">
        <v>1066</v>
      </c>
      <c r="K5" s="1817"/>
      <c r="L5" s="2488"/>
      <c r="M5" s="1817"/>
      <c r="N5" s="1817"/>
    </row>
    <row r="6" spans="2:14" x14ac:dyDescent="0.35">
      <c r="B6" s="1904" t="s">
        <v>275</v>
      </c>
      <c r="C6" s="1904" t="s">
        <v>307</v>
      </c>
      <c r="D6" s="1904" t="s">
        <v>308</v>
      </c>
      <c r="E6" s="1904" t="s">
        <v>309</v>
      </c>
      <c r="F6" s="1904" t="s">
        <v>310</v>
      </c>
      <c r="G6" s="1904" t="s">
        <v>311</v>
      </c>
      <c r="H6" s="1904" t="s">
        <v>561</v>
      </c>
      <c r="I6" s="89" t="s">
        <v>562</v>
      </c>
      <c r="J6" s="89" t="s">
        <v>568</v>
      </c>
      <c r="K6" s="1817"/>
      <c r="L6" s="2488"/>
      <c r="M6" s="1817"/>
      <c r="N6" s="1817"/>
    </row>
    <row r="7" spans="2:14" x14ac:dyDescent="0.35">
      <c r="B7" s="1904" t="s">
        <v>275</v>
      </c>
      <c r="C7" s="1904" t="s">
        <v>39</v>
      </c>
      <c r="D7" s="1904" t="s">
        <v>787</v>
      </c>
      <c r="E7" s="1904" t="s">
        <v>763</v>
      </c>
      <c r="F7" s="1904" t="s">
        <v>764</v>
      </c>
      <c r="G7" s="1904" t="s">
        <v>765</v>
      </c>
      <c r="H7" s="1904" t="s">
        <v>651</v>
      </c>
      <c r="I7" s="89" t="s">
        <v>652</v>
      </c>
      <c r="J7" s="89" t="s">
        <v>654</v>
      </c>
      <c r="K7" s="1814"/>
      <c r="L7" s="2488"/>
      <c r="M7" s="1814" t="s">
        <v>1166</v>
      </c>
      <c r="N7" s="1814"/>
    </row>
    <row r="8" spans="2:14" x14ac:dyDescent="0.35">
      <c r="B8" s="1905" t="s">
        <v>831</v>
      </c>
      <c r="C8" s="1905" t="s">
        <v>976</v>
      </c>
      <c r="D8" s="1905" t="s">
        <v>832</v>
      </c>
      <c r="E8" s="1905" t="s">
        <v>833</v>
      </c>
      <c r="F8" s="1905" t="s">
        <v>431</v>
      </c>
      <c r="G8" s="1905" t="s">
        <v>303</v>
      </c>
      <c r="H8" s="1905" t="s">
        <v>304</v>
      </c>
      <c r="I8" s="95" t="s">
        <v>303</v>
      </c>
      <c r="J8" s="95" t="s">
        <v>563</v>
      </c>
      <c r="K8" s="1814"/>
      <c r="L8" s="2488"/>
      <c r="M8" s="1814" t="s">
        <v>1065</v>
      </c>
      <c r="N8" s="1814"/>
    </row>
    <row r="9" spans="2:14" ht="13.15" thickBot="1" x14ac:dyDescent="0.4">
      <c r="B9" s="1906" t="s">
        <v>565</v>
      </c>
      <c r="C9" s="1906" t="s">
        <v>1066</v>
      </c>
      <c r="D9" s="1906" t="s">
        <v>668</v>
      </c>
      <c r="E9" s="1906" t="s">
        <v>1066</v>
      </c>
      <c r="F9" s="1906" t="s">
        <v>1066</v>
      </c>
      <c r="G9" s="1906" t="s">
        <v>669</v>
      </c>
      <c r="H9" s="1906" t="s">
        <v>670</v>
      </c>
      <c r="I9" s="97" t="s">
        <v>602</v>
      </c>
      <c r="J9" s="97" t="s">
        <v>1066</v>
      </c>
      <c r="K9" s="1815"/>
      <c r="L9" s="2489" t="s">
        <v>1059</v>
      </c>
      <c r="M9" s="1815" t="s">
        <v>885</v>
      </c>
      <c r="N9" s="1815" t="s">
        <v>1060</v>
      </c>
    </row>
    <row r="10" spans="2:14" x14ac:dyDescent="0.35">
      <c r="B10" s="1907">
        <v>2</v>
      </c>
      <c r="C10" s="1908" t="s">
        <v>877</v>
      </c>
      <c r="D10" s="1908">
        <v>110476</v>
      </c>
      <c r="E10" s="1908" t="s">
        <v>1066</v>
      </c>
      <c r="F10" s="1908" t="s">
        <v>1066</v>
      </c>
      <c r="G10" s="1908">
        <v>110476</v>
      </c>
      <c r="H10" s="1908" t="s">
        <v>1066</v>
      </c>
      <c r="I10" s="1908" t="s">
        <v>1066</v>
      </c>
      <c r="J10" s="1908" t="s">
        <v>1066</v>
      </c>
      <c r="K10" s="1908" t="s">
        <v>1294</v>
      </c>
      <c r="L10" s="2490" t="s">
        <v>1300</v>
      </c>
      <c r="M10" s="2246"/>
      <c r="N10" s="2579">
        <v>45378</v>
      </c>
    </row>
    <row r="11" spans="2:14" x14ac:dyDescent="0.35">
      <c r="B11" s="1910">
        <v>3</v>
      </c>
      <c r="C11" s="1910" t="s">
        <v>606</v>
      </c>
      <c r="D11" s="1910">
        <v>25488895</v>
      </c>
      <c r="E11" s="1910">
        <v>25488895</v>
      </c>
      <c r="F11" s="1910" t="s">
        <v>1066</v>
      </c>
      <c r="G11" s="1910" t="s">
        <v>1066</v>
      </c>
      <c r="H11" s="1910" t="s">
        <v>1066</v>
      </c>
      <c r="I11" s="1910" t="s">
        <v>1066</v>
      </c>
      <c r="J11" s="1910" t="s">
        <v>1066</v>
      </c>
      <c r="K11" s="1910" t="s">
        <v>1295</v>
      </c>
      <c r="L11" s="2491" t="s">
        <v>1304</v>
      </c>
      <c r="M11" s="2247"/>
      <c r="N11" s="2579">
        <v>45378</v>
      </c>
    </row>
    <row r="12" spans="2:14" x14ac:dyDescent="0.35">
      <c r="B12" s="1910">
        <v>4</v>
      </c>
      <c r="C12" s="1910" t="s">
        <v>714</v>
      </c>
      <c r="D12" s="1910">
        <v>2197897</v>
      </c>
      <c r="E12" s="1910" t="s">
        <v>1066</v>
      </c>
      <c r="F12" s="1910" t="s">
        <v>1066</v>
      </c>
      <c r="G12" s="1910" t="s">
        <v>1066</v>
      </c>
      <c r="H12" s="1910">
        <v>2197897</v>
      </c>
      <c r="I12" s="1910" t="s">
        <v>1066</v>
      </c>
      <c r="J12" s="1910" t="s">
        <v>1066</v>
      </c>
      <c r="K12" s="1910" t="s">
        <v>1294</v>
      </c>
      <c r="L12" s="2491" t="s">
        <v>1300</v>
      </c>
      <c r="M12" s="2247"/>
      <c r="N12" s="2579">
        <v>45378</v>
      </c>
    </row>
    <row r="13" spans="2:14" x14ac:dyDescent="0.35">
      <c r="B13" s="1910">
        <v>5</v>
      </c>
      <c r="C13" s="1910" t="s">
        <v>1260</v>
      </c>
      <c r="D13" s="1910">
        <v>9424067.4500000011</v>
      </c>
      <c r="E13" s="1910">
        <v>9424067.4500000011</v>
      </c>
      <c r="F13" s="1910" t="s">
        <v>1066</v>
      </c>
      <c r="G13" s="1910" t="s">
        <v>1066</v>
      </c>
      <c r="H13" s="1910" t="s">
        <v>1066</v>
      </c>
      <c r="I13" s="1910" t="s">
        <v>1066</v>
      </c>
      <c r="J13" s="1910" t="s">
        <v>1066</v>
      </c>
      <c r="K13" s="1910" t="s">
        <v>1297</v>
      </c>
      <c r="L13" s="2491" t="s">
        <v>1303</v>
      </c>
      <c r="M13" s="2247"/>
      <c r="N13" s="2579">
        <v>45378</v>
      </c>
    </row>
    <row r="14" spans="2:14" x14ac:dyDescent="0.35">
      <c r="B14" s="1910">
        <v>6</v>
      </c>
      <c r="C14" s="1910" t="s">
        <v>1017</v>
      </c>
      <c r="D14" s="1910">
        <v>446717</v>
      </c>
      <c r="E14" s="1910">
        <v>446717</v>
      </c>
      <c r="F14" s="1910" t="s">
        <v>1066</v>
      </c>
      <c r="G14" s="1910" t="s">
        <v>1066</v>
      </c>
      <c r="H14" s="1910" t="s">
        <v>1066</v>
      </c>
      <c r="I14" s="1910" t="s">
        <v>1066</v>
      </c>
      <c r="J14" s="1910" t="s">
        <v>1066</v>
      </c>
      <c r="K14" s="1910" t="s">
        <v>1295</v>
      </c>
      <c r="L14" s="2492" t="s">
        <v>1232</v>
      </c>
      <c r="M14" s="2247"/>
      <c r="N14" s="2579">
        <v>45378</v>
      </c>
    </row>
    <row r="15" spans="2:14" x14ac:dyDescent="0.35">
      <c r="B15" s="1910">
        <v>7</v>
      </c>
      <c r="C15" s="1910" t="s">
        <v>987</v>
      </c>
      <c r="D15" s="1910" t="s">
        <v>1066</v>
      </c>
      <c r="E15" s="1910" t="s">
        <v>1066</v>
      </c>
      <c r="F15" s="1910" t="s">
        <v>1066</v>
      </c>
      <c r="G15" s="1910" t="s">
        <v>1066</v>
      </c>
      <c r="H15" s="1910" t="s">
        <v>1066</v>
      </c>
      <c r="I15" s="1910" t="s">
        <v>1066</v>
      </c>
      <c r="J15" s="1910" t="s">
        <v>1066</v>
      </c>
      <c r="K15" s="1910" t="s">
        <v>1244</v>
      </c>
      <c r="L15" s="2491" t="s">
        <v>1232</v>
      </c>
      <c r="M15" s="2247"/>
      <c r="N15" s="2579">
        <v>45369</v>
      </c>
    </row>
    <row r="16" spans="2:14" x14ac:dyDescent="0.35">
      <c r="B16" s="1910">
        <v>8</v>
      </c>
      <c r="C16" s="1910" t="s">
        <v>873</v>
      </c>
      <c r="D16" s="1910" t="s">
        <v>1066</v>
      </c>
      <c r="E16" s="1910" t="s">
        <v>1066</v>
      </c>
      <c r="F16" s="1910" t="s">
        <v>1066</v>
      </c>
      <c r="G16" s="1910" t="s">
        <v>1066</v>
      </c>
      <c r="H16" s="1910" t="s">
        <v>1066</v>
      </c>
      <c r="I16" s="1910" t="s">
        <v>1066</v>
      </c>
      <c r="J16" s="1910" t="s">
        <v>1066</v>
      </c>
      <c r="K16" s="1910" t="s">
        <v>1245</v>
      </c>
      <c r="L16" s="2491" t="s">
        <v>1232</v>
      </c>
      <c r="M16" s="2247"/>
      <c r="N16" s="2579">
        <v>45369</v>
      </c>
    </row>
    <row r="17" spans="2:14" x14ac:dyDescent="0.35">
      <c r="B17" s="1910">
        <v>9</v>
      </c>
      <c r="C17" s="1910" t="s">
        <v>1018</v>
      </c>
      <c r="D17" s="1910">
        <v>21525</v>
      </c>
      <c r="E17" s="1910" t="s">
        <v>1066</v>
      </c>
      <c r="F17" s="1910">
        <v>21525</v>
      </c>
      <c r="G17" s="1910" t="s">
        <v>1066</v>
      </c>
      <c r="H17" s="1910" t="s">
        <v>1066</v>
      </c>
      <c r="I17" s="1910" t="s">
        <v>1066</v>
      </c>
      <c r="J17" s="1910" t="s">
        <v>1066</v>
      </c>
      <c r="K17" s="1910" t="s">
        <v>1246</v>
      </c>
      <c r="L17" s="2491" t="s">
        <v>1232</v>
      </c>
      <c r="M17" s="2247"/>
      <c r="N17" s="2579">
        <v>45369</v>
      </c>
    </row>
    <row r="18" spans="2:14" x14ac:dyDescent="0.35">
      <c r="B18" s="1910">
        <v>10</v>
      </c>
      <c r="C18" s="1910" t="s">
        <v>1019</v>
      </c>
      <c r="D18" s="1910">
        <v>1500</v>
      </c>
      <c r="E18" s="1910" t="s">
        <v>1066</v>
      </c>
      <c r="F18" s="1910">
        <v>1500</v>
      </c>
      <c r="G18" s="1910" t="s">
        <v>1066</v>
      </c>
      <c r="H18" s="1910" t="s">
        <v>1066</v>
      </c>
      <c r="I18" s="1910" t="s">
        <v>1066</v>
      </c>
      <c r="J18" s="1910" t="s">
        <v>1066</v>
      </c>
      <c r="K18" s="1910" t="s">
        <v>1247</v>
      </c>
      <c r="L18" s="2491" t="s">
        <v>1232</v>
      </c>
      <c r="M18" s="2247"/>
      <c r="N18" s="2579">
        <v>45369</v>
      </c>
    </row>
    <row r="19" spans="2:14" x14ac:dyDescent="0.35">
      <c r="B19" s="1910">
        <v>11</v>
      </c>
      <c r="C19" s="1910" t="s">
        <v>1177</v>
      </c>
      <c r="D19" s="1910">
        <v>5000</v>
      </c>
      <c r="E19" s="1910" t="s">
        <v>1066</v>
      </c>
      <c r="F19" s="1910">
        <v>5000</v>
      </c>
      <c r="G19" s="1910" t="s">
        <v>1066</v>
      </c>
      <c r="H19" s="1910" t="s">
        <v>1066</v>
      </c>
      <c r="I19" s="1910" t="s">
        <v>1066</v>
      </c>
      <c r="J19" s="1910" t="s">
        <v>1066</v>
      </c>
      <c r="K19" s="1910" t="s">
        <v>1252</v>
      </c>
      <c r="L19" s="2491" t="s">
        <v>1232</v>
      </c>
      <c r="M19" s="2247"/>
      <c r="N19" s="2579">
        <v>45369</v>
      </c>
    </row>
    <row r="20" spans="2:14" x14ac:dyDescent="0.35">
      <c r="B20" s="1910">
        <v>12</v>
      </c>
      <c r="C20" s="1910" t="s">
        <v>1175</v>
      </c>
      <c r="D20" s="1910">
        <v>8500</v>
      </c>
      <c r="E20" s="1910" t="s">
        <v>1066</v>
      </c>
      <c r="F20" s="1910">
        <v>8500</v>
      </c>
      <c r="G20" s="1910" t="s">
        <v>1066</v>
      </c>
      <c r="H20" s="1910" t="s">
        <v>1066</v>
      </c>
      <c r="I20" s="1910" t="s">
        <v>1066</v>
      </c>
      <c r="J20" s="1910" t="s">
        <v>1066</v>
      </c>
      <c r="K20" s="1910" t="s">
        <v>1252</v>
      </c>
      <c r="L20" s="2491" t="s">
        <v>1232</v>
      </c>
      <c r="M20" s="2247"/>
      <c r="N20" s="2579">
        <v>45369</v>
      </c>
    </row>
    <row r="21" spans="2:14" x14ac:dyDescent="0.35">
      <c r="B21" s="1910">
        <v>13</v>
      </c>
      <c r="C21" s="1910" t="s">
        <v>1057</v>
      </c>
      <c r="D21" s="1910">
        <v>30000</v>
      </c>
      <c r="E21" s="1910" t="s">
        <v>1066</v>
      </c>
      <c r="F21" s="1910">
        <v>30000</v>
      </c>
      <c r="G21" s="1910" t="s">
        <v>1066</v>
      </c>
      <c r="H21" s="1910" t="s">
        <v>1066</v>
      </c>
      <c r="I21" s="1910"/>
      <c r="J21" s="1910"/>
      <c r="K21" s="1910" t="s">
        <v>1244</v>
      </c>
      <c r="L21" s="2491" t="s">
        <v>1232</v>
      </c>
      <c r="M21" s="2247"/>
      <c r="N21" s="2579">
        <v>45369</v>
      </c>
    </row>
    <row r="22" spans="2:14" x14ac:dyDescent="0.35">
      <c r="B22" s="1910">
        <v>14</v>
      </c>
      <c r="C22" s="1910" t="s">
        <v>1132</v>
      </c>
      <c r="D22" s="1910">
        <v>180000</v>
      </c>
      <c r="E22" s="1910" t="s">
        <v>1066</v>
      </c>
      <c r="F22" s="1910">
        <v>180000</v>
      </c>
      <c r="G22" s="1910" t="s">
        <v>1066</v>
      </c>
      <c r="H22" s="1910" t="s">
        <v>1066</v>
      </c>
      <c r="I22" s="1910" t="s">
        <v>1066</v>
      </c>
      <c r="J22" s="1910" t="s">
        <v>1066</v>
      </c>
      <c r="K22" s="1910" t="s">
        <v>1254</v>
      </c>
      <c r="L22" s="2491" t="s">
        <v>1285</v>
      </c>
      <c r="M22" s="2247"/>
      <c r="N22" s="2579">
        <v>45378</v>
      </c>
    </row>
    <row r="23" spans="2:14" x14ac:dyDescent="0.35">
      <c r="B23" s="1910">
        <v>15</v>
      </c>
      <c r="C23" s="1910" t="s">
        <v>1178</v>
      </c>
      <c r="D23" s="1910">
        <v>13000</v>
      </c>
      <c r="E23" s="1910" t="s">
        <v>1066</v>
      </c>
      <c r="F23" s="1910">
        <v>13000</v>
      </c>
      <c r="G23" s="1910" t="s">
        <v>1066</v>
      </c>
      <c r="H23" s="1910" t="s">
        <v>1066</v>
      </c>
      <c r="I23" s="1910" t="s">
        <v>1066</v>
      </c>
      <c r="J23" s="1910" t="s">
        <v>1066</v>
      </c>
      <c r="K23" s="1910" t="s">
        <v>1253</v>
      </c>
      <c r="L23" s="2491" t="s">
        <v>1232</v>
      </c>
      <c r="M23" s="2247"/>
      <c r="N23" s="2579">
        <v>45369</v>
      </c>
    </row>
    <row r="24" spans="2:14" x14ac:dyDescent="0.35">
      <c r="B24" s="1910">
        <v>16</v>
      </c>
      <c r="C24" s="1910" t="s">
        <v>1179</v>
      </c>
      <c r="D24" s="1910">
        <v>25000</v>
      </c>
      <c r="E24" s="1910" t="s">
        <v>1066</v>
      </c>
      <c r="F24" s="1910">
        <v>25000</v>
      </c>
      <c r="G24" s="1910" t="s">
        <v>1066</v>
      </c>
      <c r="H24" s="1910" t="s">
        <v>1066</v>
      </c>
      <c r="I24" s="1910" t="s">
        <v>1066</v>
      </c>
      <c r="J24" s="1910" t="s">
        <v>1066</v>
      </c>
      <c r="K24" s="1910" t="s">
        <v>1248</v>
      </c>
      <c r="L24" s="2491" t="s">
        <v>1232</v>
      </c>
      <c r="M24" s="2248"/>
      <c r="N24" s="2579">
        <v>45369</v>
      </c>
    </row>
    <row r="25" spans="2:14" x14ac:dyDescent="0.35">
      <c r="B25" s="1910">
        <v>17</v>
      </c>
      <c r="C25" s="1910" t="s">
        <v>1180</v>
      </c>
      <c r="D25" s="1910">
        <v>18000</v>
      </c>
      <c r="E25" s="1910" t="s">
        <v>1066</v>
      </c>
      <c r="F25" s="1910">
        <v>18000</v>
      </c>
      <c r="G25" s="1910" t="s">
        <v>1066</v>
      </c>
      <c r="H25" s="1910" t="s">
        <v>1066</v>
      </c>
      <c r="I25" s="1910" t="s">
        <v>1066</v>
      </c>
      <c r="J25" s="1910" t="s">
        <v>1066</v>
      </c>
      <c r="K25" s="1910" t="s">
        <v>1253</v>
      </c>
      <c r="L25" s="2491" t="s">
        <v>1232</v>
      </c>
      <c r="M25" s="2249"/>
      <c r="N25" s="2579">
        <v>45369</v>
      </c>
    </row>
    <row r="26" spans="2:14" x14ac:dyDescent="0.35">
      <c r="B26" s="1910">
        <v>18</v>
      </c>
      <c r="C26" s="1910" t="s">
        <v>1181</v>
      </c>
      <c r="D26" s="1910">
        <v>15000</v>
      </c>
      <c r="E26" s="1910" t="s">
        <v>1066</v>
      </c>
      <c r="F26" s="1910">
        <v>15000</v>
      </c>
      <c r="G26" s="1910" t="s">
        <v>1066</v>
      </c>
      <c r="H26" s="1910" t="s">
        <v>1066</v>
      </c>
      <c r="I26" s="1910" t="s">
        <v>1066</v>
      </c>
      <c r="J26" s="1910" t="s">
        <v>1066</v>
      </c>
      <c r="K26" s="1910" t="s">
        <v>1244</v>
      </c>
      <c r="L26" s="2491" t="s">
        <v>1232</v>
      </c>
      <c r="M26" s="2249"/>
      <c r="N26" s="2589">
        <v>45378</v>
      </c>
    </row>
    <row r="27" spans="2:14" x14ac:dyDescent="0.35">
      <c r="B27" s="1910">
        <v>19</v>
      </c>
      <c r="C27" s="1910" t="s">
        <v>1182</v>
      </c>
      <c r="D27" s="1910">
        <v>1015000</v>
      </c>
      <c r="E27" s="1910" t="s">
        <v>1066</v>
      </c>
      <c r="F27" s="1910">
        <v>350000</v>
      </c>
      <c r="G27" s="1910">
        <v>665000</v>
      </c>
      <c r="H27" s="1910" t="s">
        <v>1066</v>
      </c>
      <c r="I27" s="1910" t="s">
        <v>1066</v>
      </c>
      <c r="J27" s="1910" t="s">
        <v>1066</v>
      </c>
      <c r="K27" s="1910" t="s">
        <v>1296</v>
      </c>
      <c r="L27" s="2491" t="s">
        <v>1300</v>
      </c>
      <c r="M27" s="2249"/>
      <c r="N27" s="2579">
        <v>45378</v>
      </c>
    </row>
    <row r="28" spans="2:14" x14ac:dyDescent="0.35">
      <c r="B28" s="1910">
        <v>20</v>
      </c>
      <c r="C28" s="1910" t="s">
        <v>1183</v>
      </c>
      <c r="D28" s="1910" t="s">
        <v>1066</v>
      </c>
      <c r="E28" s="1910" t="s">
        <v>1066</v>
      </c>
      <c r="F28" s="1910" t="s">
        <v>1066</v>
      </c>
      <c r="G28" s="1910" t="s">
        <v>1066</v>
      </c>
      <c r="H28" s="1910" t="s">
        <v>1066</v>
      </c>
      <c r="I28" s="1910" t="s">
        <v>1066</v>
      </c>
      <c r="J28" s="1910" t="s">
        <v>1066</v>
      </c>
      <c r="K28" s="1910" t="s">
        <v>1254</v>
      </c>
      <c r="L28" s="2491" t="s">
        <v>1242</v>
      </c>
      <c r="M28" s="2249"/>
      <c r="N28" s="2579">
        <v>45369</v>
      </c>
    </row>
    <row r="29" spans="2:14" x14ac:dyDescent="0.35">
      <c r="B29" s="1910">
        <v>21</v>
      </c>
      <c r="C29" s="1910" t="s">
        <v>1184</v>
      </c>
      <c r="D29" s="1910">
        <v>38000</v>
      </c>
      <c r="E29" s="1910" t="s">
        <v>1066</v>
      </c>
      <c r="F29" s="1910">
        <v>38000</v>
      </c>
      <c r="G29" s="1910" t="s">
        <v>1066</v>
      </c>
      <c r="H29" s="1910" t="s">
        <v>1066</v>
      </c>
      <c r="I29" s="1910" t="s">
        <v>1066</v>
      </c>
      <c r="J29" s="1910" t="s">
        <v>1066</v>
      </c>
      <c r="K29" s="1910" t="s">
        <v>1250</v>
      </c>
      <c r="L29" s="2491" t="s">
        <v>1232</v>
      </c>
      <c r="M29" s="2249"/>
      <c r="N29" s="2579">
        <v>45369</v>
      </c>
    </row>
    <row r="30" spans="2:14" x14ac:dyDescent="0.35">
      <c r="B30" s="1910">
        <v>22</v>
      </c>
      <c r="C30" s="1910" t="s">
        <v>1185</v>
      </c>
      <c r="D30" s="1910">
        <v>33000</v>
      </c>
      <c r="E30" s="1910" t="s">
        <v>1066</v>
      </c>
      <c r="F30" s="1910">
        <v>33000</v>
      </c>
      <c r="G30" s="1910" t="s">
        <v>1066</v>
      </c>
      <c r="H30" s="1910" t="s">
        <v>1066</v>
      </c>
      <c r="I30" s="1910" t="s">
        <v>1066</v>
      </c>
      <c r="J30" s="1910" t="s">
        <v>1066</v>
      </c>
      <c r="K30" s="1910" t="s">
        <v>1244</v>
      </c>
      <c r="L30" s="2491" t="s">
        <v>1232</v>
      </c>
      <c r="M30" s="2249"/>
      <c r="N30" s="2579">
        <v>45369</v>
      </c>
    </row>
    <row r="31" spans="2:14" x14ac:dyDescent="0.35">
      <c r="B31" s="1910">
        <v>23</v>
      </c>
      <c r="C31" s="1910" t="s">
        <v>1186</v>
      </c>
      <c r="D31" s="1910">
        <v>40000</v>
      </c>
      <c r="E31" s="1910" t="s">
        <v>1066</v>
      </c>
      <c r="F31" s="1910">
        <v>40000</v>
      </c>
      <c r="G31" s="1910" t="s">
        <v>1066</v>
      </c>
      <c r="H31" s="1910" t="s">
        <v>1066</v>
      </c>
      <c r="I31" s="1910" t="s">
        <v>1066</v>
      </c>
      <c r="J31" s="1910" t="s">
        <v>1066</v>
      </c>
      <c r="K31" s="1910" t="s">
        <v>1307</v>
      </c>
      <c r="L31" s="2491" t="s">
        <v>1232</v>
      </c>
      <c r="M31" s="2249"/>
      <c r="N31" s="2579">
        <v>45369</v>
      </c>
    </row>
    <row r="32" spans="2:14" x14ac:dyDescent="0.35">
      <c r="B32" s="1910">
        <v>24</v>
      </c>
      <c r="C32" s="1910" t="s">
        <v>1187</v>
      </c>
      <c r="D32" s="1910">
        <v>15000</v>
      </c>
      <c r="E32" s="1910" t="s">
        <v>1066</v>
      </c>
      <c r="F32" s="1910">
        <v>15000</v>
      </c>
      <c r="G32" s="1910" t="s">
        <v>1066</v>
      </c>
      <c r="H32" s="1910" t="s">
        <v>1066</v>
      </c>
      <c r="I32" s="1910" t="s">
        <v>1066</v>
      </c>
      <c r="J32" s="1910" t="s">
        <v>1066</v>
      </c>
      <c r="K32" s="1910" t="s">
        <v>1307</v>
      </c>
      <c r="L32" s="2491" t="s">
        <v>1232</v>
      </c>
      <c r="M32" s="2249"/>
      <c r="N32" s="2579">
        <v>45369</v>
      </c>
    </row>
    <row r="33" spans="2:14" x14ac:dyDescent="0.35">
      <c r="B33" s="1910">
        <v>25</v>
      </c>
      <c r="C33" s="1910" t="s">
        <v>1188</v>
      </c>
      <c r="D33" s="1910">
        <v>20000</v>
      </c>
      <c r="E33" s="1910" t="s">
        <v>1066</v>
      </c>
      <c r="F33" s="1910">
        <v>20000</v>
      </c>
      <c r="G33" s="1910" t="s">
        <v>1066</v>
      </c>
      <c r="H33" s="1910" t="s">
        <v>1066</v>
      </c>
      <c r="I33" s="1910" t="s">
        <v>1066</v>
      </c>
      <c r="J33" s="1910" t="s">
        <v>1066</v>
      </c>
      <c r="K33" s="1910" t="s">
        <v>1307</v>
      </c>
      <c r="L33" s="2491" t="s">
        <v>1232</v>
      </c>
      <c r="M33" s="2249"/>
      <c r="N33" s="2579">
        <v>45369</v>
      </c>
    </row>
    <row r="34" spans="2:14" x14ac:dyDescent="0.35">
      <c r="B34" s="1910">
        <v>26</v>
      </c>
      <c r="C34" s="1910" t="s">
        <v>1189</v>
      </c>
      <c r="D34" s="1910">
        <v>175000</v>
      </c>
      <c r="E34" s="1910" t="s">
        <v>1066</v>
      </c>
      <c r="F34" s="1910" t="s">
        <v>1066</v>
      </c>
      <c r="G34" s="1910" t="s">
        <v>1066</v>
      </c>
      <c r="H34" s="1910">
        <v>175000</v>
      </c>
      <c r="I34" s="1910" t="s">
        <v>1066</v>
      </c>
      <c r="J34" s="1910" t="s">
        <v>1066</v>
      </c>
      <c r="K34" s="1910" t="s">
        <v>1255</v>
      </c>
      <c r="L34" s="2491" t="s">
        <v>1232</v>
      </c>
      <c r="M34" s="2249"/>
      <c r="N34" s="2579">
        <v>45369</v>
      </c>
    </row>
    <row r="35" spans="2:14" x14ac:dyDescent="0.35">
      <c r="B35" s="1910">
        <v>27</v>
      </c>
      <c r="C35" s="1910" t="s">
        <v>1190</v>
      </c>
      <c r="D35" s="1910">
        <v>75000</v>
      </c>
      <c r="E35" s="1910" t="s">
        <v>1066</v>
      </c>
      <c r="F35" s="1910" t="s">
        <v>1066</v>
      </c>
      <c r="G35" s="1910" t="s">
        <v>1066</v>
      </c>
      <c r="H35" s="1910">
        <v>75000</v>
      </c>
      <c r="I35" s="1910" t="s">
        <v>1066</v>
      </c>
      <c r="J35" s="1910" t="s">
        <v>1066</v>
      </c>
      <c r="K35" s="1910" t="s">
        <v>1256</v>
      </c>
      <c r="L35" s="2491" t="s">
        <v>1232</v>
      </c>
      <c r="M35" s="2249"/>
      <c r="N35" s="2579">
        <v>45369</v>
      </c>
    </row>
    <row r="36" spans="2:14" x14ac:dyDescent="0.35">
      <c r="B36" s="1910">
        <v>28</v>
      </c>
      <c r="C36" s="1910" t="s">
        <v>1191</v>
      </c>
      <c r="D36" s="1910">
        <v>100000</v>
      </c>
      <c r="E36" s="1910" t="s">
        <v>1066</v>
      </c>
      <c r="F36" s="1910" t="s">
        <v>1066</v>
      </c>
      <c r="G36" s="1910" t="s">
        <v>1066</v>
      </c>
      <c r="H36" s="1910">
        <v>100000</v>
      </c>
      <c r="I36" s="1910" t="s">
        <v>1066</v>
      </c>
      <c r="J36" s="1910" t="s">
        <v>1066</v>
      </c>
      <c r="K36" s="1910" t="s">
        <v>1244</v>
      </c>
      <c r="L36" s="2491" t="s">
        <v>1232</v>
      </c>
      <c r="M36" s="2249"/>
      <c r="N36" s="2579">
        <v>45369</v>
      </c>
    </row>
    <row r="37" spans="2:14" x14ac:dyDescent="0.35">
      <c r="B37" s="1910">
        <v>29</v>
      </c>
      <c r="C37" s="1910" t="s">
        <v>1192</v>
      </c>
      <c r="D37" s="1910">
        <v>25000</v>
      </c>
      <c r="E37" s="1910" t="s">
        <v>1066</v>
      </c>
      <c r="F37" s="1910" t="s">
        <v>1066</v>
      </c>
      <c r="G37" s="1910" t="s">
        <v>1066</v>
      </c>
      <c r="H37" s="1910">
        <v>25000</v>
      </c>
      <c r="I37" s="1910" t="e">
        <v>#REF!</v>
      </c>
      <c r="J37" s="1910" t="e">
        <v>#REF!</v>
      </c>
      <c r="K37" s="1910" t="s">
        <v>1253</v>
      </c>
      <c r="L37" s="2491" t="s">
        <v>1232</v>
      </c>
      <c r="M37" s="2249"/>
      <c r="N37" s="2579">
        <v>45369</v>
      </c>
    </row>
    <row r="38" spans="2:14" x14ac:dyDescent="0.35">
      <c r="B38" s="1910">
        <v>30</v>
      </c>
      <c r="C38" s="1910" t="s">
        <v>1193</v>
      </c>
      <c r="D38" s="1910">
        <v>10000</v>
      </c>
      <c r="E38" s="1910" t="s">
        <v>1066</v>
      </c>
      <c r="F38" s="1910">
        <v>10000</v>
      </c>
      <c r="G38" s="1910" t="s">
        <v>1066</v>
      </c>
      <c r="H38" s="1910" t="s">
        <v>1066</v>
      </c>
      <c r="I38" s="1910" t="e">
        <v>#REF!</v>
      </c>
      <c r="J38" s="1910" t="e">
        <v>#REF!</v>
      </c>
      <c r="K38" s="1910" t="s">
        <v>1248</v>
      </c>
      <c r="L38" s="2491" t="s">
        <v>1232</v>
      </c>
      <c r="M38" s="2249"/>
      <c r="N38" s="2579">
        <v>45369</v>
      </c>
    </row>
    <row r="39" spans="2:14" x14ac:dyDescent="0.35">
      <c r="B39" s="1910">
        <v>31</v>
      </c>
      <c r="C39" s="1910" t="s">
        <v>1194</v>
      </c>
      <c r="D39" s="1910">
        <v>50000</v>
      </c>
      <c r="E39" s="1910" t="s">
        <v>1066</v>
      </c>
      <c r="F39" s="1910" t="s">
        <v>1066</v>
      </c>
      <c r="G39" s="1910" t="s">
        <v>1066</v>
      </c>
      <c r="H39" s="1910">
        <v>50000</v>
      </c>
      <c r="I39" s="1910" t="e">
        <v>#REF!</v>
      </c>
      <c r="J39" s="1910" t="e">
        <v>#REF!</v>
      </c>
      <c r="K39" s="1910" t="s">
        <v>1255</v>
      </c>
      <c r="L39" s="2491" t="s">
        <v>1232</v>
      </c>
      <c r="M39" s="2249"/>
      <c r="N39" s="2579">
        <v>45369</v>
      </c>
    </row>
    <row r="40" spans="2:14" x14ac:dyDescent="0.35">
      <c r="B40" s="1910">
        <v>32</v>
      </c>
      <c r="C40" s="1910" t="s">
        <v>1267</v>
      </c>
      <c r="D40" s="1910" t="s">
        <v>1066</v>
      </c>
      <c r="E40" s="1910" t="s">
        <v>1066</v>
      </c>
      <c r="F40" s="1910" t="s">
        <v>1066</v>
      </c>
      <c r="G40" s="1910" t="s">
        <v>1066</v>
      </c>
      <c r="H40" s="1910" t="s">
        <v>1066</v>
      </c>
      <c r="I40" s="1910" t="e">
        <v>#REF!</v>
      </c>
      <c r="J40" s="1910" t="e">
        <v>#REF!</v>
      </c>
      <c r="K40" s="1910" t="s">
        <v>1297</v>
      </c>
      <c r="L40" s="2491" t="s">
        <v>1298</v>
      </c>
      <c r="M40" s="2249"/>
      <c r="N40" s="2579">
        <v>45378</v>
      </c>
    </row>
    <row r="41" spans="2:14" x14ac:dyDescent="0.35">
      <c r="B41" s="1910">
        <v>33</v>
      </c>
      <c r="C41" s="1910" t="s">
        <v>1266</v>
      </c>
      <c r="D41" s="1910" t="s">
        <v>1066</v>
      </c>
      <c r="E41" s="1910" t="s">
        <v>1066</v>
      </c>
      <c r="F41" s="1910" t="s">
        <v>1066</v>
      </c>
      <c r="G41" s="1910" t="s">
        <v>1066</v>
      </c>
      <c r="H41" s="1910" t="s">
        <v>1066</v>
      </c>
      <c r="I41" s="1910" t="e">
        <v>#REF!</v>
      </c>
      <c r="J41" s="1910" t="e">
        <v>#REF!</v>
      </c>
      <c r="K41" s="1910" t="s">
        <v>1295</v>
      </c>
      <c r="L41" s="2491" t="s">
        <v>1299</v>
      </c>
      <c r="M41" s="2247"/>
      <c r="N41" s="2579">
        <v>45376</v>
      </c>
    </row>
    <row r="42" spans="2:14" x14ac:dyDescent="0.35">
      <c r="B42" s="1910">
        <v>34</v>
      </c>
      <c r="C42" s="1910" t="s">
        <v>1268</v>
      </c>
      <c r="D42" s="1910" t="s">
        <v>1066</v>
      </c>
      <c r="E42" s="1910" t="s">
        <v>1066</v>
      </c>
      <c r="F42" s="1910" t="s">
        <v>1066</v>
      </c>
      <c r="G42" s="1910" t="s">
        <v>1066</v>
      </c>
      <c r="H42" s="1910" t="s">
        <v>1066</v>
      </c>
      <c r="I42" s="1910" t="e">
        <v>#REF!</v>
      </c>
      <c r="J42" s="1910" t="e">
        <v>#REF!</v>
      </c>
      <c r="K42" s="1910" t="s">
        <v>1295</v>
      </c>
      <c r="L42" s="2491" t="s">
        <v>1300</v>
      </c>
      <c r="M42" s="2247"/>
      <c r="N42" s="2579">
        <v>45378</v>
      </c>
    </row>
    <row r="43" spans="2:14" x14ac:dyDescent="0.35">
      <c r="B43" s="1910">
        <v>35</v>
      </c>
      <c r="C43" s="1910" t="s">
        <v>1269</v>
      </c>
      <c r="D43" s="1910" t="s">
        <v>1066</v>
      </c>
      <c r="E43" s="1910" t="s">
        <v>1066</v>
      </c>
      <c r="F43" s="1910" t="s">
        <v>1066</v>
      </c>
      <c r="G43" s="1910" t="s">
        <v>1066</v>
      </c>
      <c r="H43" s="1910" t="s">
        <v>1066</v>
      </c>
      <c r="I43" s="1910" t="e">
        <v>#REF!</v>
      </c>
      <c r="J43" s="1910" t="e">
        <v>#REF!</v>
      </c>
      <c r="K43" s="1910" t="s">
        <v>1281</v>
      </c>
      <c r="L43" s="2491" t="s">
        <v>1300</v>
      </c>
      <c r="M43" s="2247"/>
      <c r="N43" s="2579">
        <v>45378</v>
      </c>
    </row>
    <row r="44" spans="2:14" x14ac:dyDescent="0.35">
      <c r="B44" s="1910">
        <v>36</v>
      </c>
      <c r="C44" s="1910" t="s">
        <v>1272</v>
      </c>
      <c r="D44" s="1910" t="s">
        <v>1066</v>
      </c>
      <c r="E44" s="1910" t="s">
        <v>1066</v>
      </c>
      <c r="F44" s="1910" t="s">
        <v>1066</v>
      </c>
      <c r="G44" s="1910" t="s">
        <v>1066</v>
      </c>
      <c r="H44" s="1910" t="s">
        <v>1066</v>
      </c>
      <c r="I44" s="1910" t="e">
        <v>#REF!</v>
      </c>
      <c r="J44" s="1910" t="e">
        <v>#REF!</v>
      </c>
      <c r="K44" s="1910" t="s">
        <v>1282</v>
      </c>
      <c r="L44" s="2491" t="s">
        <v>1300</v>
      </c>
      <c r="M44" s="2247"/>
      <c r="N44" s="2579">
        <v>45378</v>
      </c>
    </row>
    <row r="45" spans="2:14" x14ac:dyDescent="0.35">
      <c r="B45" s="1910">
        <v>37</v>
      </c>
      <c r="C45" s="1910" t="s">
        <v>1270</v>
      </c>
      <c r="D45" s="1910" t="s">
        <v>1066</v>
      </c>
      <c r="E45" s="1910" t="s">
        <v>1066</v>
      </c>
      <c r="F45" s="1910" t="s">
        <v>1066</v>
      </c>
      <c r="G45" s="1910" t="s">
        <v>1066</v>
      </c>
      <c r="H45" s="1910" t="s">
        <v>1066</v>
      </c>
      <c r="I45" s="1910" t="e">
        <v>#REF!</v>
      </c>
      <c r="J45" s="1910" t="e">
        <v>#REF!</v>
      </c>
      <c r="K45" s="1910" t="s">
        <v>1282</v>
      </c>
      <c r="L45" s="2491" t="s">
        <v>1300</v>
      </c>
      <c r="M45" s="2247"/>
      <c r="N45" s="2579">
        <v>45378</v>
      </c>
    </row>
    <row r="46" spans="2:14" x14ac:dyDescent="0.35">
      <c r="B46" s="1910">
        <v>38</v>
      </c>
      <c r="C46" s="1910" t="s">
        <v>1271</v>
      </c>
      <c r="D46" s="1910" t="s">
        <v>1066</v>
      </c>
      <c r="E46" s="1910" t="s">
        <v>1066</v>
      </c>
      <c r="F46" s="1910" t="s">
        <v>1066</v>
      </c>
      <c r="G46" s="1910" t="s">
        <v>1066</v>
      </c>
      <c r="H46" s="1910" t="s">
        <v>1066</v>
      </c>
      <c r="I46" s="1910" t="e">
        <v>#REF!</v>
      </c>
      <c r="J46" s="1910" t="e">
        <v>#REF!</v>
      </c>
      <c r="K46" s="1910" t="s">
        <v>1282</v>
      </c>
      <c r="L46" s="2491" t="s">
        <v>1300</v>
      </c>
      <c r="M46" s="2247"/>
      <c r="N46" s="2579">
        <v>45378</v>
      </c>
    </row>
    <row r="47" spans="2:14" ht="13.9" x14ac:dyDescent="0.4">
      <c r="B47" s="1910">
        <v>39</v>
      </c>
      <c r="C47" s="1910" t="s">
        <v>1274</v>
      </c>
      <c r="D47" s="1910" t="s">
        <v>1066</v>
      </c>
      <c r="E47" s="1910" t="s">
        <v>1066</v>
      </c>
      <c r="F47" s="1910" t="s">
        <v>1066</v>
      </c>
      <c r="G47" s="1910" t="s">
        <v>1066</v>
      </c>
      <c r="H47" s="1910" t="s">
        <v>1066</v>
      </c>
      <c r="I47" s="1891" t="e">
        <v>#REF!</v>
      </c>
      <c r="J47" s="1891" t="e">
        <v>#REF!</v>
      </c>
      <c r="K47" s="2474" t="s">
        <v>1283</v>
      </c>
      <c r="L47" s="2493" t="s">
        <v>1284</v>
      </c>
      <c r="M47" s="2060"/>
      <c r="N47" s="2579">
        <v>45378</v>
      </c>
    </row>
    <row r="48" spans="2:14" ht="13.9" x14ac:dyDescent="0.4">
      <c r="B48" s="1910">
        <v>40</v>
      </c>
      <c r="C48" s="1910" t="s">
        <v>1273</v>
      </c>
      <c r="D48" s="2468" t="s">
        <v>1066</v>
      </c>
      <c r="E48" s="2469" t="s">
        <v>1066</v>
      </c>
      <c r="F48" s="2471" t="s">
        <v>1066</v>
      </c>
      <c r="G48" s="2471" t="s">
        <v>1066</v>
      </c>
      <c r="H48" s="2471" t="s">
        <v>1066</v>
      </c>
      <c r="I48" s="2473" t="s">
        <v>1066</v>
      </c>
      <c r="J48" s="2473" t="s">
        <v>1066</v>
      </c>
      <c r="K48" s="2474" t="s">
        <v>1294</v>
      </c>
      <c r="L48" s="2493" t="s">
        <v>1300</v>
      </c>
      <c r="M48" s="2475"/>
      <c r="N48" s="2579">
        <v>45378</v>
      </c>
    </row>
    <row r="49" spans="2:14" x14ac:dyDescent="0.35">
      <c r="B49" s="1910">
        <v>41</v>
      </c>
      <c r="C49" s="1910" t="s">
        <v>1258</v>
      </c>
      <c r="D49" s="1910">
        <v>116704</v>
      </c>
      <c r="E49" s="1910" t="s">
        <v>1066</v>
      </c>
      <c r="F49" s="1910">
        <v>116704</v>
      </c>
      <c r="G49" s="1910" t="s">
        <v>1066</v>
      </c>
      <c r="H49" s="1910" t="s">
        <v>1066</v>
      </c>
      <c r="I49" s="1910" t="s">
        <v>1066</v>
      </c>
      <c r="J49" s="1910" t="s">
        <v>1066</v>
      </c>
      <c r="K49" s="1910" t="s">
        <v>1294</v>
      </c>
      <c r="L49" s="2491" t="s">
        <v>1300</v>
      </c>
      <c r="M49" s="2247"/>
      <c r="N49" s="2579">
        <v>45369</v>
      </c>
    </row>
    <row r="50" spans="2:14" x14ac:dyDescent="0.35">
      <c r="B50" s="1910">
        <v>42</v>
      </c>
      <c r="C50" s="1910" t="s">
        <v>1275</v>
      </c>
      <c r="D50" s="1910" t="s">
        <v>1066</v>
      </c>
      <c r="E50" s="1910" t="s">
        <v>1066</v>
      </c>
      <c r="F50" s="1910" t="s">
        <v>1066</v>
      </c>
      <c r="G50" s="1910" t="s">
        <v>1066</v>
      </c>
      <c r="H50" s="1910" t="s">
        <v>1066</v>
      </c>
      <c r="I50" s="1910" t="s">
        <v>1066</v>
      </c>
      <c r="J50" s="1910" t="s">
        <v>1066</v>
      </c>
      <c r="K50" s="1910" t="s">
        <v>1301</v>
      </c>
      <c r="L50" s="2491" t="s">
        <v>1300</v>
      </c>
      <c r="M50" s="2247"/>
      <c r="N50" s="2579">
        <v>45378</v>
      </c>
    </row>
    <row r="51" spans="2:14" x14ac:dyDescent="0.35">
      <c r="B51" s="1910">
        <v>43</v>
      </c>
      <c r="C51" s="1910" t="s">
        <v>1276</v>
      </c>
      <c r="D51" s="1910" t="s">
        <v>1066</v>
      </c>
      <c r="E51" s="1910" t="s">
        <v>1066</v>
      </c>
      <c r="F51" s="1910" t="s">
        <v>1066</v>
      </c>
      <c r="G51" s="1910" t="s">
        <v>1066</v>
      </c>
      <c r="H51" s="1910" t="s">
        <v>1066</v>
      </c>
      <c r="I51" s="1910" t="s">
        <v>1066</v>
      </c>
      <c r="J51" s="1910" t="s">
        <v>1066</v>
      </c>
      <c r="K51" s="1910" t="s">
        <v>1305</v>
      </c>
      <c r="L51" s="2491" t="s">
        <v>1306</v>
      </c>
      <c r="M51" s="2247"/>
      <c r="N51" s="2579">
        <v>45378</v>
      </c>
    </row>
    <row r="52" spans="2:14" x14ac:dyDescent="0.35">
      <c r="B52" s="1910">
        <v>44</v>
      </c>
      <c r="C52" s="1910" t="s">
        <v>1195</v>
      </c>
      <c r="D52" s="1910">
        <v>31542.6</v>
      </c>
      <c r="E52" s="1910" t="s">
        <v>1066</v>
      </c>
      <c r="F52" s="1910">
        <v>31542.6</v>
      </c>
      <c r="G52" s="1910" t="s">
        <v>1066</v>
      </c>
      <c r="H52" s="1910" t="s">
        <v>1066</v>
      </c>
      <c r="I52" s="1910" t="s">
        <v>1066</v>
      </c>
      <c r="J52" s="1910" t="s">
        <v>1066</v>
      </c>
      <c r="K52" s="1910" t="s">
        <v>1254</v>
      </c>
      <c r="L52" s="2491" t="s">
        <v>1259</v>
      </c>
      <c r="M52" s="2249"/>
      <c r="N52" s="2579">
        <v>45378</v>
      </c>
    </row>
    <row r="53" spans="2:14" x14ac:dyDescent="0.35">
      <c r="B53" s="1910">
        <v>45</v>
      </c>
      <c r="C53" s="1910" t="s">
        <v>1029</v>
      </c>
      <c r="D53" s="1910">
        <v>400000</v>
      </c>
      <c r="E53" s="1910" t="s">
        <v>1066</v>
      </c>
      <c r="F53" s="1910">
        <v>400000</v>
      </c>
      <c r="G53" s="1910" t="s">
        <v>1066</v>
      </c>
      <c r="H53" s="1910" t="s">
        <v>1066</v>
      </c>
      <c r="I53" s="1910" t="s">
        <v>1066</v>
      </c>
      <c r="J53" s="1910" t="s">
        <v>1066</v>
      </c>
      <c r="K53" s="1910" t="s">
        <v>1294</v>
      </c>
      <c r="L53" s="2491" t="s">
        <v>1300</v>
      </c>
      <c r="M53" s="2249"/>
      <c r="N53" s="2579">
        <v>45378</v>
      </c>
    </row>
    <row r="54" spans="2:14" x14ac:dyDescent="0.35">
      <c r="B54" s="1910">
        <v>46</v>
      </c>
      <c r="C54" s="1910" t="s">
        <v>1028</v>
      </c>
      <c r="D54" s="1910">
        <v>100000</v>
      </c>
      <c r="E54" s="1910" t="s">
        <v>1066</v>
      </c>
      <c r="F54" s="1910">
        <v>100000</v>
      </c>
      <c r="G54" s="1910" t="s">
        <v>1066</v>
      </c>
      <c r="H54" s="1910" t="s">
        <v>1066</v>
      </c>
      <c r="I54" s="1910" t="s">
        <v>1066</v>
      </c>
      <c r="J54" s="1910" t="s">
        <v>1066</v>
      </c>
      <c r="K54" s="1910" t="s">
        <v>1294</v>
      </c>
      <c r="L54" s="2491" t="s">
        <v>1300</v>
      </c>
      <c r="M54" s="2249"/>
      <c r="N54" s="2579">
        <v>45378</v>
      </c>
    </row>
    <row r="55" spans="2:14" x14ac:dyDescent="0.35">
      <c r="B55" s="1910">
        <v>47</v>
      </c>
      <c r="C55" s="1910" t="s">
        <v>1027</v>
      </c>
      <c r="D55" s="1910">
        <v>25000</v>
      </c>
      <c r="E55" s="1910" t="s">
        <v>1066</v>
      </c>
      <c r="F55" s="1910">
        <v>25000</v>
      </c>
      <c r="G55" s="1910" t="s">
        <v>1066</v>
      </c>
      <c r="H55" s="1910" t="s">
        <v>1066</v>
      </c>
      <c r="I55" s="1910"/>
      <c r="J55" s="1910"/>
      <c r="K55" s="1910" t="s">
        <v>1294</v>
      </c>
      <c r="L55" s="2491" t="s">
        <v>1300</v>
      </c>
      <c r="M55" s="2249"/>
      <c r="N55" s="2579">
        <v>45378</v>
      </c>
    </row>
    <row r="56" spans="2:14" x14ac:dyDescent="0.35">
      <c r="B56" s="1910">
        <v>48</v>
      </c>
      <c r="C56" s="1910" t="s">
        <v>1308</v>
      </c>
      <c r="D56" s="1910" t="s">
        <v>1066</v>
      </c>
      <c r="E56" s="1910" t="s">
        <v>1066</v>
      </c>
      <c r="F56" s="1910" t="s">
        <v>1066</v>
      </c>
      <c r="G56" s="1910" t="s">
        <v>1066</v>
      </c>
      <c r="H56" s="1910" t="s">
        <v>1066</v>
      </c>
      <c r="I56" s="1910"/>
      <c r="J56" s="1910"/>
      <c r="K56" s="1910" t="s">
        <v>1294</v>
      </c>
      <c r="L56" s="2491" t="s">
        <v>1300</v>
      </c>
      <c r="M56" s="2249"/>
      <c r="N56" s="2579">
        <v>45378</v>
      </c>
    </row>
    <row r="57" spans="2:14" x14ac:dyDescent="0.35">
      <c r="B57" s="1909"/>
      <c r="C57" s="1910"/>
      <c r="D57" s="1910" t="s">
        <v>1066</v>
      </c>
      <c r="E57" s="1910" t="s">
        <v>1066</v>
      </c>
      <c r="F57" s="1910" t="s">
        <v>1066</v>
      </c>
      <c r="G57" s="1910" t="s">
        <v>1066</v>
      </c>
      <c r="H57" s="1910" t="s">
        <v>1066</v>
      </c>
      <c r="I57" s="1910" t="e">
        <v>#REF!</v>
      </c>
      <c r="J57" s="1910" t="e">
        <v>#REF!</v>
      </c>
      <c r="K57" s="1910"/>
      <c r="L57" s="2491"/>
      <c r="M57" s="2247"/>
      <c r="N57" s="2579" t="s">
        <v>1066</v>
      </c>
    </row>
    <row r="58" spans="2:14" x14ac:dyDescent="0.35">
      <c r="B58" s="1909" t="s">
        <v>1066</v>
      </c>
      <c r="C58" s="1910" t="s">
        <v>1066</v>
      </c>
      <c r="D58" s="1910" t="s">
        <v>1066</v>
      </c>
      <c r="E58" s="1910" t="s">
        <v>1066</v>
      </c>
      <c r="F58" s="1910" t="s">
        <v>1066</v>
      </c>
      <c r="G58" s="1910" t="s">
        <v>1066</v>
      </c>
      <c r="H58" s="1910" t="s">
        <v>1066</v>
      </c>
      <c r="I58" s="1910" t="e">
        <v>#REF!</v>
      </c>
      <c r="J58" s="1910" t="e">
        <v>#REF!</v>
      </c>
      <c r="K58" s="2247"/>
      <c r="L58" s="2494"/>
      <c r="M58" s="2247"/>
      <c r="N58" s="2579" t="s">
        <v>1066</v>
      </c>
    </row>
    <row r="59" spans="2:14" ht="13.15" thickBot="1" x14ac:dyDescent="0.4">
      <c r="B59" s="1909" t="s">
        <v>1066</v>
      </c>
      <c r="C59" s="1909" t="s">
        <v>1066</v>
      </c>
      <c r="D59" s="2465" t="s">
        <v>1066</v>
      </c>
      <c r="E59" s="2470" t="s">
        <v>1066</v>
      </c>
      <c r="F59" s="2465" t="s">
        <v>1066</v>
      </c>
      <c r="G59" s="2465" t="s">
        <v>1066</v>
      </c>
      <c r="H59" s="2472" t="s">
        <v>1066</v>
      </c>
      <c r="I59" s="1909" t="s">
        <v>1066</v>
      </c>
      <c r="J59" s="1909" t="s">
        <v>1066</v>
      </c>
      <c r="K59" s="2465"/>
      <c r="L59" s="2495"/>
      <c r="M59" s="2465"/>
      <c r="N59" s="2579" t="s">
        <v>1066</v>
      </c>
    </row>
    <row r="60" spans="2:14" ht="13.15" hidden="1" thickBot="1" x14ac:dyDescent="0.4">
      <c r="B60" s="1911" t="s">
        <v>1066</v>
      </c>
      <c r="C60" s="1911" t="s">
        <v>1066</v>
      </c>
      <c r="D60" s="1912" t="s">
        <v>1066</v>
      </c>
      <c r="E60" s="1916" t="s">
        <v>1066</v>
      </c>
      <c r="F60" s="1914" t="s">
        <v>1066</v>
      </c>
      <c r="G60" s="1914" t="s">
        <v>1066</v>
      </c>
      <c r="H60" s="1917" t="s">
        <v>1066</v>
      </c>
      <c r="I60" s="396" t="s">
        <v>1066</v>
      </c>
      <c r="J60" s="409" t="s">
        <v>1066</v>
      </c>
      <c r="K60" s="107"/>
      <c r="L60" s="416"/>
      <c r="M60" s="107"/>
      <c r="N60" t="s">
        <v>1066</v>
      </c>
    </row>
    <row r="61" spans="2:14" ht="13.15" hidden="1" thickBot="1" x14ac:dyDescent="0.4">
      <c r="B61" s="1911" t="s">
        <v>1066</v>
      </c>
      <c r="C61" s="1911"/>
      <c r="D61" s="1912"/>
      <c r="E61" s="1916"/>
      <c r="F61" s="1914"/>
      <c r="G61" s="1914"/>
      <c r="H61" s="1918"/>
      <c r="I61" s="396"/>
      <c r="J61" s="396"/>
      <c r="K61" s="107"/>
      <c r="L61" s="416"/>
      <c r="M61" s="107"/>
    </row>
    <row r="62" spans="2:14" ht="13.15" hidden="1" thickBot="1" x14ac:dyDescent="0.4">
      <c r="B62" s="1911"/>
      <c r="C62" s="1911"/>
      <c r="D62" s="1912"/>
      <c r="F62" s="1919"/>
      <c r="G62" s="1914"/>
      <c r="H62" s="1920"/>
      <c r="I62" s="396"/>
      <c r="J62" s="396"/>
      <c r="K62" s="107"/>
      <c r="L62" s="416"/>
      <c r="M62" s="107"/>
    </row>
    <row r="63" spans="2:14" ht="13.15" hidden="1" thickBot="1" x14ac:dyDescent="0.4">
      <c r="B63" s="1911"/>
      <c r="C63" s="1911"/>
      <c r="D63" s="1912"/>
      <c r="F63" s="1919"/>
      <c r="G63" s="1914"/>
      <c r="H63" s="1915"/>
      <c r="I63" s="396"/>
      <c r="J63" s="396"/>
      <c r="K63" s="416"/>
      <c r="L63" s="416"/>
      <c r="M63" s="416"/>
    </row>
    <row r="64" spans="2:14" ht="13.15" hidden="1" thickBot="1" x14ac:dyDescent="0.4">
      <c r="B64" s="1911"/>
      <c r="C64" s="1911"/>
      <c r="D64" s="1912"/>
      <c r="E64" s="1916"/>
      <c r="F64" s="1919"/>
      <c r="G64" s="1914"/>
      <c r="H64" s="1915"/>
      <c r="I64" s="396"/>
      <c r="J64" s="396"/>
      <c r="K64" s="107"/>
      <c r="L64" s="416"/>
      <c r="M64" s="107"/>
    </row>
    <row r="65" spans="2:13" ht="13.15" hidden="1" thickBot="1" x14ac:dyDescent="0.4">
      <c r="B65" s="1911"/>
      <c r="C65" s="1911"/>
      <c r="D65" s="1912"/>
      <c r="E65" s="1921"/>
      <c r="F65" s="1919"/>
      <c r="G65" s="1922"/>
      <c r="H65" s="1923"/>
      <c r="I65" s="396"/>
      <c r="J65" s="396"/>
      <c r="K65" s="107"/>
      <c r="L65" s="416"/>
      <c r="M65" s="107"/>
    </row>
    <row r="66" spans="2:13" ht="13.15" hidden="1" thickBot="1" x14ac:dyDescent="0.4">
      <c r="B66" s="1911"/>
      <c r="C66" s="1911"/>
      <c r="D66" s="1924"/>
      <c r="E66" s="1924"/>
      <c r="F66" s="1924"/>
      <c r="G66" s="1924"/>
      <c r="H66" s="1924"/>
      <c r="I66" s="396"/>
      <c r="J66" s="396"/>
      <c r="K66" s="107"/>
      <c r="L66" s="416"/>
      <c r="M66" s="107"/>
    </row>
    <row r="67" spans="2:13" ht="13.15" hidden="1" thickBot="1" x14ac:dyDescent="0.4">
      <c r="B67" s="1925"/>
      <c r="C67" s="1925"/>
      <c r="D67" s="1926"/>
      <c r="E67" s="1927"/>
      <c r="F67" s="1928"/>
      <c r="G67" s="1929"/>
      <c r="H67" s="1930"/>
      <c r="I67" s="396"/>
      <c r="J67" s="396"/>
      <c r="K67" s="381"/>
      <c r="L67" s="2496"/>
      <c r="M67" s="381"/>
    </row>
    <row r="68" spans="2:13" ht="13.15" hidden="1" thickBot="1" x14ac:dyDescent="0.4">
      <c r="B68" s="1931"/>
      <c r="C68" s="1931"/>
      <c r="D68" s="1926"/>
      <c r="E68" s="1932"/>
      <c r="F68" s="1933"/>
      <c r="G68" s="1926"/>
      <c r="H68" s="1932"/>
      <c r="I68" s="415"/>
      <c r="J68" s="382"/>
      <c r="K68" s="112"/>
      <c r="L68" s="2497"/>
      <c r="M68" s="112"/>
    </row>
    <row r="69" spans="2:13" ht="13.15" hidden="1" thickBot="1" x14ac:dyDescent="0.4">
      <c r="B69" s="1934"/>
      <c r="C69" s="1934"/>
      <c r="D69" s="1935"/>
      <c r="E69" s="1935"/>
      <c r="F69" s="1919"/>
      <c r="G69" s="1935"/>
      <c r="H69" s="1935"/>
      <c r="I69" s="106"/>
      <c r="J69" s="106"/>
      <c r="K69" s="107"/>
      <c r="L69" s="416"/>
      <c r="M69" s="107"/>
    </row>
    <row r="70" spans="2:13" ht="13.15" hidden="1" thickBot="1" x14ac:dyDescent="0.4">
      <c r="B70" s="1936"/>
      <c r="C70" s="1936"/>
      <c r="D70" s="1937"/>
      <c r="E70" s="1935"/>
      <c r="F70" s="1919"/>
      <c r="G70" s="1935"/>
      <c r="H70" s="1935"/>
      <c r="I70" s="114"/>
      <c r="J70" s="114"/>
      <c r="K70" s="115"/>
      <c r="L70" s="2498"/>
      <c r="M70" s="115"/>
    </row>
    <row r="71" spans="2:13" ht="13.15" hidden="1" thickBot="1" x14ac:dyDescent="0.4">
      <c r="B71" s="1938"/>
      <c r="C71" s="1938"/>
      <c r="D71" s="1935"/>
      <c r="E71" s="1935"/>
      <c r="F71" s="1919"/>
      <c r="G71" s="1935"/>
      <c r="H71" s="1935"/>
      <c r="I71" s="106"/>
      <c r="J71" s="106"/>
      <c r="K71" s="115"/>
      <c r="L71" s="2498"/>
      <c r="M71" s="115"/>
    </row>
    <row r="72" spans="2:13" ht="13.15" hidden="1" thickBot="1" x14ac:dyDescent="0.4">
      <c r="B72" s="1939"/>
      <c r="C72" s="1939"/>
      <c r="D72" s="1940"/>
      <c r="E72" s="1935"/>
      <c r="F72" s="1919"/>
      <c r="G72" s="1935"/>
      <c r="H72" s="1935"/>
      <c r="I72" s="106"/>
      <c r="J72" s="106"/>
      <c r="K72" s="107"/>
      <c r="L72" s="416"/>
      <c r="M72" s="107"/>
    </row>
    <row r="73" spans="2:13" ht="13.15" hidden="1" thickBot="1" x14ac:dyDescent="0.4">
      <c r="B73" s="1939"/>
      <c r="C73" s="1939"/>
      <c r="D73" s="1940"/>
      <c r="E73" s="1935"/>
      <c r="F73" s="1919"/>
      <c r="G73" s="1941"/>
      <c r="H73" s="1935"/>
      <c r="I73" s="106"/>
      <c r="J73" s="106"/>
      <c r="K73" s="107"/>
      <c r="L73" s="416"/>
      <c r="M73" s="107"/>
    </row>
    <row r="74" spans="2:13" ht="13.15" hidden="1" thickBot="1" x14ac:dyDescent="0.4">
      <c r="B74" s="588"/>
      <c r="C74" s="588"/>
      <c r="D74" s="1912"/>
      <c r="E74" s="1935"/>
      <c r="F74" s="1942"/>
      <c r="G74" s="1943"/>
      <c r="H74" s="1935"/>
      <c r="I74" s="106"/>
      <c r="J74" s="106"/>
      <c r="K74" s="417"/>
      <c r="L74" s="2499"/>
      <c r="M74" s="417"/>
    </row>
    <row r="75" spans="2:13" ht="13.15" hidden="1" thickBot="1" x14ac:dyDescent="0.4">
      <c r="B75" s="588"/>
      <c r="C75" s="588"/>
      <c r="D75" s="1912"/>
      <c r="E75" s="1935"/>
      <c r="F75" s="1942"/>
      <c r="G75" s="1941"/>
      <c r="H75" s="1935"/>
      <c r="I75" s="106"/>
      <c r="J75" s="106"/>
      <c r="K75" s="417"/>
      <c r="L75" s="2499"/>
      <c r="M75" s="417"/>
    </row>
    <row r="76" spans="2:13" ht="13.15" hidden="1" thickBot="1" x14ac:dyDescent="0.4">
      <c r="B76" s="588"/>
      <c r="C76" s="588"/>
      <c r="D76" s="1912"/>
      <c r="E76" s="1921"/>
      <c r="G76" s="1941"/>
      <c r="H76" s="1935"/>
      <c r="I76" s="106"/>
      <c r="J76" s="106"/>
      <c r="K76" s="417"/>
      <c r="L76" s="2499"/>
      <c r="M76" s="417"/>
    </row>
    <row r="77" spans="2:13" ht="13.15" hidden="1" thickBot="1" x14ac:dyDescent="0.4">
      <c r="B77" s="588"/>
      <c r="C77" s="588"/>
      <c r="D77" s="1912"/>
      <c r="E77" s="1921"/>
      <c r="F77" s="1922"/>
      <c r="G77" s="1941"/>
      <c r="H77" s="1935"/>
      <c r="I77" s="106"/>
      <c r="J77" s="106"/>
      <c r="K77" s="417"/>
      <c r="L77" s="2499"/>
      <c r="M77" s="417"/>
    </row>
    <row r="78" spans="2:13" ht="13.15" hidden="1" thickBot="1" x14ac:dyDescent="0.4">
      <c r="B78" s="588"/>
      <c r="C78" s="588"/>
      <c r="D78" s="1912"/>
      <c r="E78" s="1935"/>
      <c r="F78" s="1944"/>
      <c r="G78" s="1941"/>
      <c r="H78" s="1935"/>
      <c r="I78" s="106"/>
      <c r="J78" s="106"/>
      <c r="K78" s="417"/>
      <c r="L78" s="2499"/>
      <c r="M78" s="417"/>
    </row>
    <row r="79" spans="2:13" ht="13.15" hidden="1" thickBot="1" x14ac:dyDescent="0.4">
      <c r="B79" s="588"/>
      <c r="C79" s="588"/>
      <c r="D79" s="1912"/>
      <c r="E79" s="1935"/>
      <c r="F79" s="1942"/>
      <c r="G79" s="1941"/>
      <c r="H79" s="1935"/>
      <c r="I79" s="106"/>
      <c r="J79" s="106"/>
      <c r="K79" s="417"/>
      <c r="L79" s="2499"/>
      <c r="M79" s="417"/>
    </row>
    <row r="80" spans="2:13" ht="13.15" hidden="1" thickBot="1" x14ac:dyDescent="0.4">
      <c r="B80" s="588"/>
      <c r="C80" s="588"/>
      <c r="D80" s="1912"/>
      <c r="E80" s="1935"/>
      <c r="F80" s="1942"/>
      <c r="G80" s="1941"/>
      <c r="H80" s="1935"/>
      <c r="I80" s="106"/>
      <c r="J80" s="106"/>
      <c r="K80" s="581"/>
      <c r="L80" s="2500"/>
      <c r="M80" s="581"/>
    </row>
    <row r="81" spans="2:13" ht="13.15" hidden="1" thickBot="1" x14ac:dyDescent="0.4">
      <c r="B81" s="588"/>
      <c r="C81" s="588"/>
      <c r="D81" s="1912"/>
      <c r="E81" s="1935"/>
      <c r="F81" s="1942"/>
      <c r="G81" s="1941"/>
      <c r="H81" s="1935"/>
      <c r="I81" s="106"/>
      <c r="J81" s="106"/>
      <c r="K81" s="417"/>
      <c r="L81" s="2499"/>
      <c r="M81" s="417"/>
    </row>
    <row r="82" spans="2:13" ht="13.15" hidden="1" thickBot="1" x14ac:dyDescent="0.4">
      <c r="D82" s="1941"/>
      <c r="E82" s="1935"/>
      <c r="F82" s="1942"/>
      <c r="G82" s="1941"/>
      <c r="H82" s="1935"/>
      <c r="I82" s="106"/>
      <c r="J82" s="106"/>
      <c r="K82" s="417"/>
      <c r="L82" s="2499"/>
      <c r="M82" s="417"/>
    </row>
    <row r="83" spans="2:13" ht="13.15" hidden="1" thickBot="1" x14ac:dyDescent="0.4">
      <c r="B83" s="1939"/>
      <c r="C83" s="1939"/>
      <c r="D83" s="1945"/>
      <c r="E83" s="1935"/>
      <c r="F83" s="1919"/>
      <c r="G83" s="1935"/>
      <c r="H83" s="1935"/>
      <c r="I83" s="106"/>
      <c r="J83" s="106"/>
      <c r="K83" s="107"/>
      <c r="L83" s="416"/>
      <c r="M83" s="107"/>
    </row>
    <row r="84" spans="2:13" ht="13.15" hidden="1" thickBot="1" x14ac:dyDescent="0.4">
      <c r="B84" s="1946"/>
      <c r="C84" s="1946"/>
      <c r="D84" s="1937"/>
      <c r="E84" s="1947"/>
      <c r="F84" s="1947"/>
      <c r="G84" s="1947"/>
      <c r="H84" s="1947"/>
      <c r="I84" s="113"/>
      <c r="J84" s="113"/>
      <c r="K84" s="107"/>
      <c r="L84" s="416"/>
      <c r="M84" s="107"/>
    </row>
    <row r="85" spans="2:13" ht="13.15" thickBot="1" x14ac:dyDescent="0.4">
      <c r="B85" s="1948"/>
      <c r="C85" s="1948"/>
      <c r="D85" s="1949"/>
      <c r="E85" s="1949"/>
      <c r="F85" s="1949"/>
      <c r="G85" s="1949"/>
      <c r="H85" s="1949"/>
      <c r="I85" s="121"/>
      <c r="J85" s="121"/>
      <c r="K85" s="122"/>
      <c r="L85" s="2501"/>
      <c r="M85" s="122"/>
    </row>
    <row r="86" spans="2:13" x14ac:dyDescent="0.35">
      <c r="B86" s="1950"/>
      <c r="C86" s="1950"/>
      <c r="E86" s="1951"/>
      <c r="F86" s="1917"/>
      <c r="G86" s="1917"/>
      <c r="H86" s="1917"/>
      <c r="I86" s="108"/>
      <c r="J86" s="108"/>
      <c r="K86" s="124"/>
    </row>
    <row r="87" spans="2:13" x14ac:dyDescent="0.35">
      <c r="B87" s="1950"/>
      <c r="C87" s="1950"/>
      <c r="D87" s="1951"/>
      <c r="E87" s="1917"/>
      <c r="F87" s="1917"/>
      <c r="G87" s="1917"/>
      <c r="H87" s="1951"/>
      <c r="I87" s="125"/>
      <c r="J87" s="108"/>
    </row>
    <row r="88" spans="2:13" x14ac:dyDescent="0.35">
      <c r="B88" s="1950"/>
      <c r="C88" s="1950"/>
      <c r="D88" s="1952"/>
      <c r="E88" s="1917"/>
      <c r="F88" s="1917"/>
      <c r="G88" s="1917"/>
      <c r="H88" s="1952"/>
      <c r="I88" s="125"/>
      <c r="J88" s="125"/>
    </row>
    <row r="89" spans="2:13" x14ac:dyDescent="0.35">
      <c r="B89" s="1950"/>
      <c r="C89" s="1950"/>
      <c r="D89" s="1951"/>
      <c r="E89" s="1917"/>
      <c r="F89" s="1917"/>
      <c r="G89" s="1951"/>
      <c r="H89" s="1951"/>
      <c r="I89" s="108"/>
      <c r="J89" s="125"/>
      <c r="K89" s="125"/>
    </row>
    <row r="90" spans="2:13" x14ac:dyDescent="0.35">
      <c r="B90" s="1953"/>
      <c r="C90" s="1953"/>
      <c r="D90" s="1953"/>
      <c r="E90" s="1954"/>
      <c r="F90" s="1953"/>
      <c r="G90" s="1953"/>
      <c r="H90" s="1953"/>
      <c r="I90"/>
      <c r="J90" s="108"/>
      <c r="K90" s="125"/>
    </row>
    <row r="91" spans="2:13" x14ac:dyDescent="0.35">
      <c r="B91" s="1953"/>
      <c r="C91" s="1953"/>
      <c r="D91" s="1955"/>
      <c r="E91" s="1953"/>
      <c r="F91" s="1953"/>
      <c r="G91" s="1953"/>
      <c r="H91" s="1953"/>
      <c r="I91"/>
      <c r="J91"/>
      <c r="K91"/>
    </row>
    <row r="92" spans="2:13" x14ac:dyDescent="0.35">
      <c r="B92" s="1955"/>
      <c r="C92" s="1955"/>
      <c r="D92" s="1953"/>
      <c r="E92" s="1953"/>
      <c r="F92" s="1953"/>
      <c r="G92" s="1953"/>
      <c r="H92" s="1953"/>
      <c r="I92"/>
      <c r="J92"/>
      <c r="K92"/>
    </row>
    <row r="93" spans="2:13" x14ac:dyDescent="0.35">
      <c r="B93" s="1953"/>
      <c r="C93" s="1953"/>
      <c r="D93" s="1953"/>
      <c r="E93" s="1953"/>
      <c r="F93" s="1953"/>
      <c r="G93" s="1953"/>
      <c r="H93" s="1953"/>
      <c r="I93"/>
      <c r="J93"/>
      <c r="K93"/>
    </row>
    <row r="94" spans="2:13" x14ac:dyDescent="0.35">
      <c r="B94" s="1953"/>
      <c r="C94" s="1953"/>
      <c r="D94" s="1953"/>
      <c r="E94" s="1953"/>
      <c r="F94" s="1953"/>
      <c r="G94" s="1953"/>
      <c r="H94" s="1953"/>
      <c r="I94"/>
      <c r="J94"/>
      <c r="K94"/>
    </row>
    <row r="95" spans="2:13" x14ac:dyDescent="0.35">
      <c r="B95" s="1953"/>
      <c r="C95" s="1953"/>
      <c r="D95" s="1953"/>
      <c r="E95" s="1953"/>
      <c r="F95" s="1953"/>
      <c r="G95" s="1953"/>
      <c r="H95" s="1953"/>
      <c r="I95"/>
      <c r="J95"/>
      <c r="K95"/>
    </row>
    <row r="96" spans="2:13" x14ac:dyDescent="0.35">
      <c r="B96" s="1953"/>
      <c r="C96" s="1953"/>
      <c r="D96" s="1953"/>
      <c r="E96" s="1953"/>
      <c r="F96" s="1953"/>
      <c r="G96" s="1953"/>
      <c r="H96" s="1953"/>
      <c r="I96"/>
      <c r="J96"/>
      <c r="K96"/>
    </row>
    <row r="97" spans="2:11" x14ac:dyDescent="0.35">
      <c r="B97" s="1953"/>
      <c r="C97" s="1953"/>
      <c r="D97" s="1953"/>
      <c r="E97" s="1953"/>
      <c r="F97" s="1953"/>
      <c r="G97" s="1953"/>
      <c r="H97" s="1953"/>
      <c r="I97"/>
      <c r="J97"/>
      <c r="K97"/>
    </row>
    <row r="98" spans="2:11" x14ac:dyDescent="0.35">
      <c r="B98" s="1953"/>
      <c r="C98" s="1953"/>
      <c r="D98" s="1953"/>
      <c r="E98" s="1953"/>
      <c r="F98" s="1953"/>
      <c r="G98" s="1953"/>
      <c r="H98" s="1953"/>
      <c r="I98"/>
      <c r="J98"/>
      <c r="K98"/>
    </row>
    <row r="99" spans="2:11" x14ac:dyDescent="0.35">
      <c r="B99" s="1953"/>
      <c r="C99" s="1953"/>
      <c r="D99" s="1953"/>
      <c r="E99" s="1953"/>
      <c r="F99" s="1953"/>
      <c r="G99" s="1953"/>
      <c r="H99" s="1953"/>
      <c r="I99"/>
      <c r="J99"/>
      <c r="K99"/>
    </row>
    <row r="100" spans="2:11" x14ac:dyDescent="0.35">
      <c r="B100" s="1953"/>
      <c r="C100" s="1953"/>
      <c r="D100" s="1953"/>
      <c r="E100" s="1953"/>
      <c r="F100" s="1953"/>
      <c r="G100" s="1953"/>
      <c r="H100" s="1953"/>
      <c r="I100"/>
      <c r="J100"/>
      <c r="K100"/>
    </row>
    <row r="101" spans="2:11" x14ac:dyDescent="0.35">
      <c r="B101" s="1953"/>
      <c r="C101" s="1953"/>
      <c r="D101" s="1953"/>
      <c r="E101" s="1953"/>
      <c r="F101" s="1953"/>
      <c r="G101" s="1953"/>
      <c r="H101" s="1953"/>
      <c r="I101"/>
      <c r="J101"/>
      <c r="K101"/>
    </row>
    <row r="102" spans="2:11" x14ac:dyDescent="0.35">
      <c r="B102" s="1953"/>
      <c r="C102" s="1953"/>
      <c r="D102" s="1953"/>
      <c r="E102" s="1953"/>
      <c r="F102" s="1953"/>
      <c r="G102" s="1953"/>
      <c r="H102" s="1953"/>
      <c r="I102"/>
      <c r="J102"/>
      <c r="K102"/>
    </row>
    <row r="103" spans="2:11" x14ac:dyDescent="0.35">
      <c r="B103" s="1953"/>
      <c r="C103" s="1953"/>
      <c r="D103" s="1953"/>
      <c r="E103" s="1953"/>
      <c r="F103" s="1953"/>
      <c r="G103" s="1953"/>
      <c r="H103" s="1953"/>
      <c r="I103"/>
      <c r="J103"/>
      <c r="K103"/>
    </row>
    <row r="104" spans="2:11" x14ac:dyDescent="0.35">
      <c r="B104" s="1953"/>
      <c r="C104" s="1953"/>
      <c r="D104" s="1953"/>
      <c r="E104" s="1953"/>
      <c r="F104" s="1953"/>
      <c r="G104" s="1953"/>
      <c r="H104" s="1953"/>
      <c r="I104"/>
      <c r="J104"/>
      <c r="K104"/>
    </row>
    <row r="105" spans="2:11" x14ac:dyDescent="0.35">
      <c r="B105" s="1953"/>
      <c r="C105" s="1953"/>
      <c r="D105" s="1953"/>
      <c r="E105" s="1953"/>
      <c r="F105" s="1953"/>
      <c r="G105" s="1953"/>
      <c r="H105" s="1953"/>
      <c r="I105"/>
      <c r="J105"/>
      <c r="K105"/>
    </row>
    <row r="106" spans="2:11" x14ac:dyDescent="0.35">
      <c r="B106" s="1953"/>
      <c r="C106" s="1953"/>
      <c r="D106" s="1953"/>
      <c r="E106" s="1953"/>
      <c r="F106" s="1953"/>
      <c r="G106" s="1953"/>
      <c r="H106" s="1953"/>
      <c r="I106"/>
      <c r="J106"/>
      <c r="K106"/>
    </row>
    <row r="107" spans="2:11" x14ac:dyDescent="0.35">
      <c r="B107" s="1953"/>
      <c r="C107" s="1953"/>
      <c r="D107" s="1953"/>
      <c r="E107" s="1953"/>
      <c r="F107" s="1953"/>
      <c r="G107" s="1953"/>
      <c r="H107" s="1953"/>
      <c r="I107"/>
      <c r="J107"/>
      <c r="K107"/>
    </row>
    <row r="108" spans="2:11" x14ac:dyDescent="0.35">
      <c r="B108" s="1953"/>
      <c r="C108" s="1953"/>
      <c r="D108" s="1953"/>
      <c r="E108" s="1953"/>
      <c r="F108" s="1953"/>
      <c r="G108" s="1953"/>
      <c r="H108" s="1953"/>
      <c r="I108"/>
      <c r="J108"/>
      <c r="K108"/>
    </row>
    <row r="109" spans="2:11" x14ac:dyDescent="0.35">
      <c r="B109" s="1953"/>
      <c r="C109" s="1953"/>
      <c r="D109" s="1953"/>
      <c r="E109" s="1953"/>
      <c r="F109" s="1953"/>
      <c r="G109" s="1953"/>
      <c r="H109" s="1953"/>
      <c r="I109"/>
      <c r="J109"/>
      <c r="K109"/>
    </row>
    <row r="110" spans="2:11" x14ac:dyDescent="0.35">
      <c r="B110" s="1953"/>
      <c r="C110" s="1953"/>
      <c r="D110" s="1953"/>
      <c r="E110" s="1953"/>
      <c r="F110" s="1953"/>
      <c r="G110" s="1953"/>
      <c r="H110" s="1953"/>
      <c r="I110"/>
      <c r="J110"/>
      <c r="K110"/>
    </row>
    <row r="111" spans="2:11" x14ac:dyDescent="0.35">
      <c r="B111" s="1953"/>
      <c r="C111" s="1953"/>
      <c r="D111" s="1953"/>
      <c r="E111" s="1953"/>
      <c r="F111" s="1953"/>
      <c r="G111" s="1953"/>
      <c r="H111" s="1953"/>
      <c r="I111"/>
      <c r="J111"/>
      <c r="K111"/>
    </row>
    <row r="112" spans="2:11" x14ac:dyDescent="0.35">
      <c r="B112" s="1953"/>
      <c r="C112" s="1953"/>
      <c r="D112" s="1953"/>
      <c r="E112" s="1953"/>
      <c r="F112" s="1953"/>
      <c r="G112" s="1953"/>
      <c r="H112" s="1953"/>
      <c r="I112"/>
      <c r="J112"/>
      <c r="K112"/>
    </row>
    <row r="113" spans="2:11" x14ac:dyDescent="0.35">
      <c r="B113" s="1953"/>
      <c r="C113" s="1953"/>
      <c r="D113" s="1953"/>
      <c r="E113" s="1953"/>
      <c r="F113" s="1953"/>
      <c r="G113" s="1953"/>
      <c r="H113" s="1953"/>
      <c r="I113"/>
      <c r="J113"/>
      <c r="K113"/>
    </row>
    <row r="114" spans="2:11" x14ac:dyDescent="0.35">
      <c r="B114" s="1953"/>
      <c r="C114" s="1953"/>
      <c r="D114" s="1953"/>
      <c r="E114" s="1953"/>
      <c r="F114" s="1953"/>
      <c r="G114" s="1953"/>
      <c r="H114" s="1953"/>
      <c r="I114"/>
      <c r="J114"/>
      <c r="K114"/>
    </row>
    <row r="115" spans="2:11" x14ac:dyDescent="0.35">
      <c r="B115" s="1953"/>
      <c r="C115" s="1953"/>
      <c r="D115" s="1953"/>
      <c r="E115" s="1953"/>
      <c r="F115" s="1953"/>
      <c r="G115" s="1953"/>
      <c r="H115" s="1953"/>
      <c r="I115"/>
      <c r="J115"/>
      <c r="K115"/>
    </row>
    <row r="116" spans="2:11" x14ac:dyDescent="0.35">
      <c r="B116" s="1953"/>
      <c r="C116" s="1953"/>
      <c r="D116" s="1953"/>
      <c r="E116" s="1953"/>
      <c r="F116" s="1953"/>
      <c r="G116" s="1953"/>
      <c r="H116" s="1953"/>
      <c r="I116"/>
      <c r="J116"/>
      <c r="K116"/>
    </row>
    <row r="117" spans="2:11" x14ac:dyDescent="0.35">
      <c r="B117" s="1953"/>
      <c r="C117" s="1953"/>
      <c r="D117" s="1953"/>
      <c r="E117" s="1953"/>
      <c r="F117" s="1953"/>
      <c r="G117" s="1953"/>
      <c r="H117" s="1953"/>
      <c r="I117"/>
      <c r="J117"/>
      <c r="K117"/>
    </row>
    <row r="118" spans="2:11" x14ac:dyDescent="0.35">
      <c r="B118" s="1953"/>
      <c r="C118" s="1953"/>
      <c r="D118" s="1953"/>
      <c r="E118" s="1953"/>
      <c r="F118" s="1953"/>
      <c r="G118" s="1953"/>
      <c r="H118" s="1953"/>
      <c r="I118"/>
      <c r="J118"/>
      <c r="K118"/>
    </row>
    <row r="119" spans="2:11" x14ac:dyDescent="0.35">
      <c r="B119" s="1953"/>
      <c r="C119" s="1953"/>
      <c r="D119" s="1953"/>
      <c r="E119" s="1953"/>
      <c r="F119" s="1953"/>
      <c r="G119" s="1953"/>
      <c r="H119" s="1953"/>
      <c r="I119"/>
      <c r="J119"/>
      <c r="K119"/>
    </row>
    <row r="120" spans="2:11" x14ac:dyDescent="0.35">
      <c r="B120" s="1953"/>
      <c r="C120" s="1953"/>
      <c r="D120" s="1953"/>
      <c r="E120" s="1953"/>
      <c r="F120" s="1953"/>
      <c r="G120" s="1953"/>
      <c r="H120" s="1953"/>
      <c r="I120"/>
      <c r="J120"/>
      <c r="K120"/>
    </row>
    <row r="121" spans="2:11" x14ac:dyDescent="0.35">
      <c r="B121" s="1953"/>
      <c r="C121" s="1953"/>
      <c r="D121" s="1953"/>
      <c r="E121" s="1953"/>
      <c r="F121" s="1953"/>
      <c r="G121" s="1953"/>
      <c r="H121" s="1953"/>
      <c r="I121"/>
      <c r="J121"/>
      <c r="K121"/>
    </row>
    <row r="122" spans="2:11" x14ac:dyDescent="0.35">
      <c r="B122" s="1953"/>
      <c r="C122" s="1953"/>
      <c r="D122" s="1953"/>
      <c r="E122" s="1953"/>
      <c r="F122" s="1953"/>
      <c r="G122" s="1953"/>
      <c r="H122" s="1953"/>
      <c r="I122"/>
      <c r="J122"/>
      <c r="K122"/>
    </row>
    <row r="123" spans="2:11" x14ac:dyDescent="0.35">
      <c r="B123" s="1953"/>
      <c r="C123" s="1953"/>
      <c r="D123" s="1953"/>
      <c r="E123" s="1953"/>
      <c r="F123" s="1953"/>
      <c r="G123" s="1953"/>
      <c r="H123" s="1953"/>
      <c r="I123"/>
      <c r="J123"/>
      <c r="K123"/>
    </row>
    <row r="124" spans="2:11" x14ac:dyDescent="0.35">
      <c r="B124" s="1953"/>
      <c r="C124" s="1953"/>
      <c r="D124" s="1953"/>
      <c r="E124" s="1953"/>
      <c r="F124" s="1953"/>
      <c r="G124" s="1953"/>
      <c r="H124" s="1953"/>
      <c r="I124"/>
      <c r="J124"/>
      <c r="K124"/>
    </row>
    <row r="125" spans="2:11" x14ac:dyDescent="0.35">
      <c r="B125" s="1953"/>
      <c r="C125" s="1953"/>
      <c r="D125" s="1953"/>
      <c r="E125" s="1953"/>
      <c r="F125" s="1953"/>
      <c r="G125" s="1953"/>
      <c r="H125" s="1953"/>
      <c r="I125"/>
      <c r="J125"/>
      <c r="K125"/>
    </row>
    <row r="126" spans="2:11" x14ac:dyDescent="0.35">
      <c r="B126" s="1953"/>
      <c r="C126" s="1953"/>
      <c r="D126" s="1953"/>
      <c r="E126" s="1953"/>
      <c r="F126" s="1953"/>
      <c r="G126" s="1953"/>
      <c r="H126" s="1953"/>
      <c r="I126"/>
      <c r="J126"/>
      <c r="K126"/>
    </row>
    <row r="127" spans="2:11" x14ac:dyDescent="0.35">
      <c r="B127" s="1953"/>
      <c r="C127" s="1953"/>
      <c r="D127" s="1953"/>
      <c r="E127" s="1953"/>
      <c r="F127" s="1953"/>
      <c r="G127" s="1953"/>
      <c r="H127" s="1953"/>
      <c r="I127"/>
      <c r="J127"/>
      <c r="K127"/>
    </row>
    <row r="128" spans="2:11" x14ac:dyDescent="0.35">
      <c r="B128" s="1953"/>
      <c r="C128" s="1953"/>
      <c r="D128" s="1953"/>
      <c r="E128" s="1953"/>
      <c r="F128" s="1953"/>
      <c r="G128" s="1953"/>
      <c r="H128" s="1953"/>
      <c r="I128"/>
      <c r="J128"/>
      <c r="K128"/>
    </row>
    <row r="129" spans="2:11" x14ac:dyDescent="0.35">
      <c r="B129" s="1953"/>
      <c r="C129" s="1953"/>
      <c r="D129" s="1953"/>
      <c r="E129" s="1953"/>
      <c r="F129" s="1953"/>
      <c r="G129" s="1953"/>
      <c r="H129" s="1953"/>
      <c r="I129"/>
      <c r="J129"/>
      <c r="K129"/>
    </row>
    <row r="130" spans="2:11" x14ac:dyDescent="0.35">
      <c r="B130" s="1953"/>
      <c r="C130" s="1953"/>
      <c r="D130" s="1953"/>
      <c r="E130" s="1953"/>
      <c r="F130" s="1953"/>
      <c r="G130" s="1953"/>
      <c r="H130" s="1953"/>
      <c r="I130"/>
      <c r="J130"/>
      <c r="K130"/>
    </row>
    <row r="131" spans="2:11" x14ac:dyDescent="0.35">
      <c r="B131" s="1953"/>
      <c r="C131" s="1953"/>
      <c r="D131" s="1953"/>
      <c r="E131" s="1953"/>
      <c r="F131" s="1953"/>
      <c r="G131" s="1953"/>
      <c r="H131" s="1953"/>
      <c r="I131"/>
      <c r="J131"/>
      <c r="K131"/>
    </row>
    <row r="132" spans="2:11" x14ac:dyDescent="0.35">
      <c r="B132" s="1953"/>
      <c r="C132" s="1953"/>
      <c r="D132" s="1953"/>
      <c r="E132" s="1953"/>
      <c r="F132" s="1953"/>
      <c r="G132" s="1953"/>
      <c r="H132" s="1953"/>
      <c r="I132"/>
      <c r="J132"/>
      <c r="K132"/>
    </row>
    <row r="133" spans="2:11" x14ac:dyDescent="0.35">
      <c r="B133" s="1953"/>
      <c r="C133" s="1953"/>
      <c r="D133" s="1953"/>
      <c r="E133" s="1953"/>
      <c r="F133" s="1953"/>
      <c r="G133" s="1953"/>
      <c r="H133" s="1953"/>
      <c r="I133"/>
      <c r="J133"/>
      <c r="K133"/>
    </row>
    <row r="134" spans="2:11" x14ac:dyDescent="0.35">
      <c r="B134" s="1953"/>
      <c r="C134" s="1953"/>
      <c r="D134" s="1953"/>
      <c r="E134" s="1953"/>
      <c r="F134" s="1953"/>
      <c r="G134" s="1953"/>
      <c r="H134" s="1953"/>
      <c r="I134"/>
      <c r="J134"/>
      <c r="K134"/>
    </row>
    <row r="135" spans="2:11" x14ac:dyDescent="0.35">
      <c r="B135" s="1953"/>
      <c r="C135" s="1953"/>
      <c r="D135" s="1953"/>
      <c r="E135" s="1953"/>
      <c r="F135" s="1953"/>
      <c r="G135" s="1953"/>
      <c r="H135" s="1953"/>
      <c r="I135"/>
      <c r="J135"/>
      <c r="K135"/>
    </row>
    <row r="136" spans="2:11" x14ac:dyDescent="0.35">
      <c r="B136" s="1953"/>
      <c r="C136" s="1953"/>
      <c r="D136" s="1953"/>
      <c r="E136" s="1953"/>
      <c r="F136" s="1953"/>
      <c r="G136" s="1953"/>
      <c r="H136" s="1953"/>
      <c r="I136"/>
      <c r="J136"/>
      <c r="K136"/>
    </row>
    <row r="137" spans="2:11" x14ac:dyDescent="0.35">
      <c r="B137" s="1953"/>
      <c r="C137" s="1953"/>
      <c r="D137" s="1953"/>
      <c r="E137" s="1953"/>
      <c r="F137" s="1953"/>
      <c r="G137" s="1953"/>
      <c r="H137" s="1953"/>
      <c r="I137"/>
      <c r="J137"/>
      <c r="K137"/>
    </row>
    <row r="138" spans="2:11" x14ac:dyDescent="0.35">
      <c r="B138" s="1953"/>
      <c r="C138" s="1953"/>
      <c r="D138" s="1953"/>
      <c r="E138" s="1953"/>
      <c r="F138" s="1953"/>
      <c r="G138" s="1953"/>
      <c r="H138" s="1953"/>
      <c r="I138"/>
      <c r="J138"/>
      <c r="K138"/>
    </row>
    <row r="139" spans="2:11" x14ac:dyDescent="0.35">
      <c r="B139" s="1953"/>
      <c r="C139" s="1953"/>
      <c r="D139" s="1953"/>
      <c r="E139" s="1953"/>
      <c r="F139" s="1953"/>
      <c r="G139" s="1953"/>
      <c r="H139" s="1953"/>
      <c r="I139"/>
      <c r="J139"/>
      <c r="K139"/>
    </row>
    <row r="140" spans="2:11" x14ac:dyDescent="0.35">
      <c r="B140" s="1953"/>
      <c r="C140" s="1953"/>
      <c r="D140" s="1953"/>
      <c r="E140" s="1953"/>
      <c r="F140" s="1953"/>
      <c r="G140" s="1953"/>
      <c r="H140" s="1953"/>
      <c r="I140"/>
      <c r="J140"/>
      <c r="K140"/>
    </row>
    <row r="141" spans="2:11" x14ac:dyDescent="0.35">
      <c r="B141" s="1953"/>
      <c r="C141" s="1953"/>
      <c r="D141" s="1953"/>
      <c r="E141" s="1953"/>
      <c r="F141" s="1953"/>
      <c r="G141" s="1953"/>
      <c r="H141" s="1953"/>
      <c r="I141"/>
      <c r="J141"/>
      <c r="K141"/>
    </row>
    <row r="142" spans="2:11" x14ac:dyDescent="0.35">
      <c r="B142" s="1953"/>
      <c r="C142" s="1953"/>
      <c r="D142" s="1953"/>
      <c r="E142" s="1953"/>
      <c r="F142" s="1953"/>
      <c r="G142" s="1953"/>
      <c r="H142" s="1953"/>
      <c r="I142"/>
      <c r="J142"/>
      <c r="K142"/>
    </row>
    <row r="143" spans="2:11" x14ac:dyDescent="0.35">
      <c r="B143" s="1953"/>
      <c r="C143" s="1953"/>
      <c r="D143" s="1953"/>
      <c r="E143" s="1953"/>
      <c r="F143" s="1953"/>
      <c r="G143" s="1953"/>
      <c r="H143" s="1953"/>
      <c r="I143"/>
      <c r="J143"/>
      <c r="K143"/>
    </row>
    <row r="144" spans="2:11" x14ac:dyDescent="0.35">
      <c r="B144" s="1953"/>
      <c r="C144" s="1953"/>
      <c r="D144" s="1953"/>
      <c r="E144" s="1953"/>
      <c r="F144" s="1953"/>
      <c r="G144" s="1953"/>
      <c r="H144" s="1953"/>
      <c r="I144"/>
      <c r="J144"/>
      <c r="K144"/>
    </row>
    <row r="145" spans="2:11" x14ac:dyDescent="0.35">
      <c r="B145" s="1953"/>
      <c r="C145" s="1953"/>
      <c r="D145" s="1953"/>
      <c r="E145" s="1953"/>
      <c r="F145" s="1953"/>
      <c r="G145" s="1953"/>
      <c r="H145" s="1953"/>
      <c r="I145"/>
      <c r="J145"/>
      <c r="K145"/>
    </row>
    <row r="146" spans="2:11" x14ac:dyDescent="0.35">
      <c r="B146" s="1953"/>
      <c r="C146" s="1953"/>
      <c r="D146" s="1953"/>
      <c r="E146" s="1953"/>
      <c r="F146" s="1953"/>
      <c r="G146" s="1953"/>
      <c r="H146" s="1953"/>
      <c r="I146"/>
      <c r="J146"/>
      <c r="K146"/>
    </row>
    <row r="147" spans="2:11" x14ac:dyDescent="0.35">
      <c r="B147" s="1953"/>
      <c r="C147" s="1953"/>
      <c r="D147" s="1953"/>
      <c r="E147" s="1953"/>
      <c r="F147" s="1953"/>
      <c r="G147" s="1953"/>
      <c r="H147" s="1953"/>
      <c r="I147"/>
      <c r="J147"/>
      <c r="K147"/>
    </row>
    <row r="148" spans="2:11" x14ac:dyDescent="0.35">
      <c r="B148" s="1953"/>
      <c r="C148" s="1953"/>
      <c r="D148" s="1953"/>
      <c r="E148" s="1953"/>
      <c r="F148" s="1953"/>
      <c r="G148" s="1953"/>
      <c r="H148" s="1953"/>
      <c r="I148"/>
      <c r="J148"/>
      <c r="K148"/>
    </row>
    <row r="149" spans="2:11" x14ac:dyDescent="0.35">
      <c r="B149" s="1953"/>
      <c r="C149" s="1953"/>
      <c r="D149" s="1953"/>
      <c r="E149" s="1953"/>
      <c r="F149" s="1953"/>
      <c r="G149" s="1953"/>
      <c r="H149" s="1953"/>
      <c r="I149"/>
      <c r="J149"/>
      <c r="K149"/>
    </row>
    <row r="150" spans="2:11" x14ac:dyDescent="0.35">
      <c r="B150" s="1953"/>
      <c r="C150" s="1953"/>
      <c r="D150" s="1953"/>
      <c r="E150" s="1953"/>
      <c r="F150" s="1953"/>
      <c r="G150" s="1953"/>
      <c r="H150" s="1953"/>
      <c r="I150"/>
      <c r="J150"/>
      <c r="K150"/>
    </row>
    <row r="151" spans="2:11" x14ac:dyDescent="0.35">
      <c r="B151" s="1953"/>
      <c r="C151" s="1953"/>
      <c r="D151" s="1953"/>
      <c r="E151" s="1953"/>
      <c r="F151" s="1953"/>
      <c r="G151" s="1953"/>
      <c r="H151" s="1953"/>
      <c r="I151"/>
      <c r="J151"/>
      <c r="K151"/>
    </row>
    <row r="152" spans="2:11" x14ac:dyDescent="0.35">
      <c r="B152" s="1953"/>
      <c r="C152" s="1953"/>
      <c r="D152" s="1953"/>
      <c r="E152" s="1953"/>
      <c r="F152" s="1953"/>
      <c r="G152" s="1953"/>
      <c r="H152" s="1953"/>
      <c r="I152"/>
      <c r="J152"/>
      <c r="K152"/>
    </row>
    <row r="153" spans="2:11" x14ac:dyDescent="0.35">
      <c r="B153" s="1953"/>
      <c r="C153" s="1953"/>
      <c r="D153" s="1953"/>
      <c r="E153" s="1953"/>
      <c r="F153" s="1953"/>
      <c r="G153" s="1953"/>
      <c r="H153" s="1953"/>
      <c r="I153"/>
      <c r="J153"/>
      <c r="K153"/>
    </row>
    <row r="154" spans="2:11" x14ac:dyDescent="0.35">
      <c r="B154" s="1953"/>
      <c r="C154" s="1953"/>
      <c r="D154" s="1953"/>
      <c r="E154" s="1953"/>
      <c r="F154" s="1953"/>
      <c r="G154" s="1953"/>
      <c r="H154" s="1953"/>
      <c r="I154"/>
      <c r="J154"/>
      <c r="K154"/>
    </row>
    <row r="155" spans="2:11" x14ac:dyDescent="0.35">
      <c r="B155" s="1953"/>
      <c r="C155" s="1953"/>
      <c r="D155" s="1953"/>
      <c r="E155" s="1953"/>
      <c r="F155" s="1953"/>
      <c r="G155" s="1953"/>
      <c r="H155" s="1953"/>
      <c r="I155"/>
      <c r="J155"/>
      <c r="K155"/>
    </row>
    <row r="156" spans="2:11" x14ac:dyDescent="0.35">
      <c r="B156" s="1953"/>
      <c r="C156" s="1953"/>
      <c r="D156" s="1953"/>
      <c r="E156" s="1953"/>
      <c r="F156" s="1953"/>
      <c r="G156" s="1953"/>
      <c r="H156" s="1953"/>
      <c r="I156"/>
      <c r="J156"/>
      <c r="K156"/>
    </row>
    <row r="157" spans="2:11" x14ac:dyDescent="0.35">
      <c r="B157" s="1953"/>
      <c r="C157" s="1953"/>
      <c r="D157" s="1953"/>
      <c r="E157" s="1953"/>
      <c r="F157" s="1953"/>
      <c r="G157" s="1953"/>
      <c r="H157" s="1953"/>
      <c r="I157"/>
      <c r="J157"/>
      <c r="K157"/>
    </row>
    <row r="158" spans="2:11" x14ac:dyDescent="0.35">
      <c r="B158" s="1953"/>
      <c r="C158" s="1953"/>
      <c r="D158" s="1953"/>
      <c r="E158" s="1953"/>
      <c r="F158" s="1953"/>
      <c r="G158" s="1953"/>
      <c r="H158" s="1953"/>
      <c r="I158"/>
      <c r="J158"/>
      <c r="K158"/>
    </row>
    <row r="159" spans="2:11" x14ac:dyDescent="0.35">
      <c r="B159" s="1953"/>
      <c r="C159" s="1953"/>
      <c r="D159" s="1953"/>
      <c r="E159" s="1953"/>
      <c r="F159" s="1953"/>
      <c r="G159" s="1953"/>
      <c r="H159" s="1953"/>
      <c r="I159"/>
      <c r="J159"/>
      <c r="K159"/>
    </row>
    <row r="160" spans="2:11" x14ac:dyDescent="0.35">
      <c r="B160" s="1953"/>
      <c r="C160" s="1953"/>
      <c r="D160" s="1953"/>
      <c r="E160" s="1953"/>
      <c r="F160" s="1953"/>
      <c r="G160" s="1953"/>
      <c r="H160" s="1953"/>
      <c r="I160"/>
      <c r="J160"/>
      <c r="K160"/>
    </row>
    <row r="161" spans="2:11" x14ac:dyDescent="0.35">
      <c r="B161" s="1953"/>
      <c r="C161" s="1953"/>
      <c r="D161" s="1953"/>
      <c r="E161" s="1953"/>
      <c r="F161" s="1953"/>
      <c r="G161" s="1953"/>
      <c r="H161" s="1953"/>
      <c r="I161"/>
      <c r="J161"/>
      <c r="K161"/>
    </row>
    <row r="162" spans="2:11" x14ac:dyDescent="0.35">
      <c r="B162" s="1953"/>
      <c r="C162" s="1953"/>
      <c r="D162" s="1953"/>
      <c r="E162" s="1953"/>
      <c r="F162" s="1953"/>
      <c r="G162" s="1953"/>
      <c r="H162" s="1953"/>
      <c r="I162"/>
      <c r="J162"/>
      <c r="K162"/>
    </row>
    <row r="163" spans="2:11" x14ac:dyDescent="0.35">
      <c r="B163" s="1953"/>
      <c r="C163" s="1953"/>
      <c r="D163" s="1953"/>
      <c r="E163" s="1953"/>
      <c r="F163" s="1953"/>
      <c r="G163" s="1953"/>
      <c r="H163" s="1953"/>
      <c r="I163"/>
      <c r="J163"/>
      <c r="K163"/>
    </row>
    <row r="164" spans="2:11" x14ac:dyDescent="0.35">
      <c r="B164" s="1953"/>
      <c r="C164" s="1953"/>
      <c r="D164" s="1953"/>
      <c r="E164" s="1953"/>
      <c r="F164" s="1953"/>
      <c r="G164" s="1953"/>
      <c r="H164" s="1953"/>
      <c r="I164"/>
      <c r="J164"/>
      <c r="K164"/>
    </row>
    <row r="165" spans="2:11" x14ac:dyDescent="0.35">
      <c r="B165" s="1953"/>
      <c r="C165" s="1953"/>
      <c r="D165" s="1953"/>
      <c r="E165" s="1953"/>
      <c r="F165" s="1953"/>
      <c r="G165" s="1953"/>
      <c r="H165" s="1953"/>
      <c r="I165"/>
      <c r="J165"/>
      <c r="K165"/>
    </row>
    <row r="166" spans="2:11" x14ac:dyDescent="0.35">
      <c r="B166" s="1953"/>
      <c r="C166" s="1953"/>
      <c r="D166" s="1953"/>
      <c r="E166" s="1953"/>
      <c r="F166" s="1953"/>
      <c r="G166" s="1953"/>
      <c r="H166" s="1953"/>
      <c r="I166"/>
      <c r="J166"/>
      <c r="K166"/>
    </row>
    <row r="167" spans="2:11" x14ac:dyDescent="0.35">
      <c r="B167" s="1953"/>
      <c r="C167" s="1953"/>
      <c r="D167" s="1953"/>
      <c r="E167" s="1953"/>
      <c r="F167" s="1953"/>
      <c r="G167" s="1953"/>
      <c r="H167" s="1953"/>
      <c r="I167"/>
      <c r="J167"/>
      <c r="K167"/>
    </row>
    <row r="168" spans="2:11" x14ac:dyDescent="0.35">
      <c r="B168" s="1953"/>
      <c r="C168" s="1953"/>
      <c r="D168" s="1953"/>
      <c r="E168" s="1953"/>
      <c r="F168" s="1953"/>
      <c r="G168" s="1953"/>
      <c r="H168" s="1953"/>
      <c r="I168"/>
      <c r="J168"/>
      <c r="K168"/>
    </row>
    <row r="169" spans="2:11" x14ac:dyDescent="0.35">
      <c r="B169" s="1953"/>
      <c r="C169" s="1953"/>
      <c r="D169" s="1953"/>
      <c r="E169" s="1953"/>
      <c r="F169" s="1953"/>
      <c r="G169" s="1953"/>
      <c r="H169" s="1953"/>
      <c r="I169"/>
      <c r="J169"/>
      <c r="K169"/>
    </row>
    <row r="170" spans="2:11" x14ac:dyDescent="0.35">
      <c r="B170" s="1953"/>
      <c r="C170" s="1953"/>
      <c r="D170" s="1953"/>
      <c r="E170" s="1953"/>
      <c r="F170" s="1953"/>
      <c r="G170" s="1953"/>
      <c r="H170" s="1953"/>
      <c r="I170"/>
      <c r="J170"/>
      <c r="K170"/>
    </row>
    <row r="171" spans="2:11" x14ac:dyDescent="0.35">
      <c r="B171" s="1953"/>
      <c r="C171" s="1953"/>
      <c r="D171" s="1953"/>
      <c r="E171" s="1953"/>
      <c r="F171" s="1953"/>
      <c r="G171" s="1953"/>
      <c r="H171" s="1953"/>
      <c r="I171"/>
      <c r="J171"/>
      <c r="K171"/>
    </row>
    <row r="172" spans="2:11" x14ac:dyDescent="0.35">
      <c r="B172" s="1953"/>
      <c r="C172" s="1953"/>
      <c r="D172" s="1953"/>
      <c r="E172" s="1953"/>
      <c r="F172" s="1953"/>
      <c r="G172" s="1953"/>
      <c r="H172" s="1953"/>
      <c r="I172"/>
      <c r="J172"/>
      <c r="K172"/>
    </row>
    <row r="173" spans="2:11" x14ac:dyDescent="0.35">
      <c r="B173" s="1953"/>
      <c r="C173" s="1953"/>
      <c r="D173" s="1953"/>
      <c r="E173" s="1953"/>
      <c r="F173" s="1953"/>
      <c r="G173" s="1953"/>
      <c r="H173" s="1953"/>
      <c r="I173"/>
      <c r="J173"/>
      <c r="K173"/>
    </row>
    <row r="174" spans="2:11" x14ac:dyDescent="0.35">
      <c r="B174" s="1953"/>
      <c r="C174" s="1953"/>
      <c r="D174" s="1953"/>
      <c r="E174" s="1953"/>
      <c r="F174" s="1953"/>
      <c r="G174" s="1953"/>
      <c r="H174" s="1953"/>
      <c r="I174"/>
      <c r="J174"/>
      <c r="K174"/>
    </row>
    <row r="175" spans="2:11" x14ac:dyDescent="0.35">
      <c r="B175" s="1953"/>
      <c r="C175" s="1953"/>
      <c r="D175" s="1953"/>
      <c r="E175" s="1953"/>
      <c r="F175" s="1953"/>
      <c r="G175" s="1953"/>
      <c r="H175" s="1953"/>
      <c r="I175"/>
      <c r="J175"/>
      <c r="K175"/>
    </row>
    <row r="176" spans="2:11" x14ac:dyDescent="0.35">
      <c r="B176" s="1953"/>
      <c r="C176" s="1953"/>
      <c r="D176" s="1953"/>
      <c r="E176" s="1953"/>
      <c r="F176" s="1953"/>
      <c r="G176" s="1953"/>
      <c r="H176" s="1953"/>
      <c r="I176"/>
      <c r="J176"/>
      <c r="K176"/>
    </row>
    <row r="177" spans="2:11" x14ac:dyDescent="0.35">
      <c r="B177" s="1953"/>
      <c r="C177" s="1953"/>
      <c r="D177" s="1953"/>
      <c r="E177" s="1953"/>
      <c r="F177" s="1953"/>
      <c r="G177" s="1953"/>
      <c r="H177" s="1953"/>
      <c r="I177"/>
      <c r="J177"/>
      <c r="K177"/>
    </row>
    <row r="178" spans="2:11" x14ac:dyDescent="0.35">
      <c r="B178" s="1953"/>
      <c r="C178" s="1953"/>
      <c r="D178" s="1953"/>
      <c r="E178" s="1953"/>
      <c r="F178" s="1953"/>
      <c r="G178" s="1953"/>
      <c r="H178" s="1953"/>
      <c r="I178"/>
      <c r="J178"/>
      <c r="K178"/>
    </row>
    <row r="179" spans="2:11" x14ac:dyDescent="0.35">
      <c r="B179" s="1953"/>
      <c r="C179" s="1953"/>
      <c r="D179" s="1953"/>
      <c r="E179" s="1953"/>
      <c r="F179" s="1953"/>
      <c r="G179" s="1953"/>
      <c r="H179" s="1953"/>
      <c r="I179"/>
      <c r="J179"/>
      <c r="K179"/>
    </row>
    <row r="180" spans="2:11" x14ac:dyDescent="0.35">
      <c r="B180" s="1953"/>
      <c r="C180" s="1953"/>
      <c r="D180" s="1953"/>
      <c r="E180" s="1953"/>
      <c r="F180" s="1953"/>
      <c r="G180" s="1953"/>
      <c r="H180" s="1953"/>
      <c r="I180"/>
      <c r="J180"/>
      <c r="K180"/>
    </row>
    <row r="181" spans="2:11" x14ac:dyDescent="0.35">
      <c r="B181" s="1953"/>
      <c r="C181" s="1953"/>
      <c r="D181" s="1953"/>
      <c r="E181" s="1953"/>
      <c r="F181" s="1953"/>
      <c r="G181" s="1953"/>
      <c r="H181" s="1953"/>
      <c r="I181"/>
      <c r="J181"/>
      <c r="K181"/>
    </row>
    <row r="182" spans="2:11" x14ac:dyDescent="0.35">
      <c r="B182" s="1953"/>
      <c r="C182" s="1953"/>
      <c r="D182" s="1953"/>
      <c r="E182" s="1953"/>
      <c r="F182" s="1953"/>
      <c r="G182" s="1953"/>
      <c r="H182" s="1953"/>
      <c r="I182"/>
      <c r="J182"/>
      <c r="K182"/>
    </row>
    <row r="183" spans="2:11" x14ac:dyDescent="0.35">
      <c r="B183" s="1953"/>
      <c r="C183" s="1953"/>
      <c r="D183" s="1953"/>
      <c r="E183" s="1953"/>
      <c r="F183" s="1953"/>
      <c r="G183" s="1953"/>
      <c r="H183" s="1953"/>
      <c r="I183"/>
      <c r="J183"/>
      <c r="K183"/>
    </row>
    <row r="184" spans="2:11" x14ac:dyDescent="0.35">
      <c r="B184" s="1953"/>
      <c r="C184" s="1953"/>
      <c r="D184" s="1953"/>
      <c r="E184" s="1953"/>
      <c r="F184" s="1953"/>
      <c r="G184" s="1953"/>
      <c r="H184" s="1953"/>
      <c r="I184"/>
      <c r="J184"/>
      <c r="K184"/>
    </row>
    <row r="185" spans="2:11" x14ac:dyDescent="0.35">
      <c r="B185" s="1953"/>
      <c r="C185" s="1953"/>
      <c r="D185" s="1953"/>
      <c r="E185" s="1953"/>
      <c r="F185" s="1953"/>
      <c r="G185" s="1953"/>
      <c r="H185" s="1953"/>
      <c r="I185"/>
      <c r="J185"/>
      <c r="K185"/>
    </row>
    <row r="186" spans="2:11" x14ac:dyDescent="0.35">
      <c r="B186" s="1953"/>
      <c r="C186" s="1953"/>
      <c r="D186" s="1953"/>
      <c r="E186" s="1953"/>
      <c r="F186" s="1953"/>
      <c r="G186" s="1953"/>
      <c r="H186" s="1953"/>
      <c r="I186"/>
      <c r="J186"/>
      <c r="K186"/>
    </row>
    <row r="187" spans="2:11" x14ac:dyDescent="0.35">
      <c r="B187" s="1953"/>
      <c r="C187" s="1953"/>
      <c r="D187" s="1953"/>
      <c r="E187" s="1953"/>
      <c r="F187" s="1953"/>
      <c r="G187" s="1953"/>
      <c r="H187" s="1953"/>
      <c r="I187"/>
      <c r="J187"/>
      <c r="K187"/>
    </row>
    <row r="188" spans="2:11" x14ac:dyDescent="0.35">
      <c r="B188" s="1953"/>
      <c r="C188" s="1953"/>
      <c r="D188" s="1953"/>
      <c r="E188" s="1953"/>
      <c r="F188" s="1953"/>
      <c r="G188" s="1953"/>
      <c r="H188" s="1953"/>
      <c r="I188"/>
      <c r="J188"/>
      <c r="K188"/>
    </row>
    <row r="189" spans="2:11" x14ac:dyDescent="0.35">
      <c r="B189" s="1953"/>
      <c r="C189" s="1953"/>
      <c r="D189" s="1953"/>
      <c r="E189" s="1953"/>
      <c r="F189" s="1953"/>
      <c r="G189" s="1953"/>
      <c r="H189" s="1953"/>
      <c r="I189"/>
      <c r="J189"/>
      <c r="K189"/>
    </row>
    <row r="190" spans="2:11" x14ac:dyDescent="0.35">
      <c r="B190" s="1953"/>
      <c r="C190" s="1953"/>
      <c r="D190" s="1953"/>
      <c r="E190" s="1953"/>
      <c r="F190" s="1953"/>
      <c r="G190" s="1953"/>
      <c r="H190" s="1953"/>
      <c r="I190"/>
      <c r="J190"/>
      <c r="K190"/>
    </row>
    <row r="191" spans="2:11" x14ac:dyDescent="0.35">
      <c r="B191" s="1953"/>
      <c r="C191" s="1953"/>
      <c r="D191" s="1953"/>
      <c r="E191" s="1953"/>
      <c r="F191" s="1953"/>
      <c r="G191" s="1953"/>
      <c r="H191" s="1953"/>
      <c r="I191"/>
      <c r="J191"/>
      <c r="K191"/>
    </row>
    <row r="192" spans="2:11" x14ac:dyDescent="0.35">
      <c r="B192" s="1953"/>
      <c r="C192" s="1953"/>
      <c r="D192" s="1953"/>
      <c r="E192" s="1953"/>
      <c r="F192" s="1953"/>
      <c r="G192" s="1953"/>
      <c r="H192" s="1953"/>
      <c r="I192"/>
      <c r="J192"/>
      <c r="K192"/>
    </row>
    <row r="193" spans="2:11" x14ac:dyDescent="0.35">
      <c r="B193" s="1953"/>
      <c r="C193" s="1953"/>
      <c r="D193" s="1953"/>
      <c r="E193" s="1953"/>
      <c r="F193" s="1953"/>
      <c r="G193" s="1953"/>
      <c r="H193" s="1953"/>
      <c r="I193"/>
      <c r="J193"/>
      <c r="K193"/>
    </row>
    <row r="194" spans="2:11" x14ac:dyDescent="0.35">
      <c r="B194" s="1953"/>
      <c r="C194" s="1953"/>
      <c r="D194" s="1953"/>
      <c r="E194" s="1953"/>
      <c r="F194" s="1953"/>
      <c r="G194" s="1953"/>
      <c r="H194" s="1953"/>
      <c r="I194"/>
      <c r="J194"/>
      <c r="K194"/>
    </row>
    <row r="195" spans="2:11" x14ac:dyDescent="0.35">
      <c r="B195" s="1953"/>
      <c r="C195" s="1953"/>
      <c r="D195" s="1953"/>
      <c r="E195" s="1953"/>
      <c r="F195" s="1953"/>
      <c r="G195" s="1953"/>
      <c r="H195" s="1953"/>
      <c r="I195"/>
      <c r="J195"/>
      <c r="K195"/>
    </row>
    <row r="196" spans="2:11" x14ac:dyDescent="0.35">
      <c r="B196" s="1953"/>
      <c r="C196" s="1953"/>
      <c r="D196" s="1953"/>
      <c r="E196" s="1953"/>
      <c r="F196" s="1953"/>
      <c r="G196" s="1953"/>
      <c r="H196" s="1953"/>
      <c r="I196"/>
      <c r="J196"/>
      <c r="K196"/>
    </row>
    <row r="197" spans="2:11" x14ac:dyDescent="0.35">
      <c r="B197" s="1953"/>
      <c r="C197" s="1953"/>
      <c r="D197" s="1953"/>
      <c r="E197" s="1953"/>
      <c r="F197" s="1953"/>
      <c r="G197" s="1953"/>
      <c r="H197" s="1953"/>
      <c r="I197"/>
      <c r="J197"/>
      <c r="K197"/>
    </row>
    <row r="198" spans="2:11" x14ac:dyDescent="0.35">
      <c r="B198" s="1953"/>
      <c r="C198" s="1953"/>
      <c r="D198" s="1953"/>
      <c r="E198" s="1953"/>
      <c r="F198" s="1953"/>
      <c r="G198" s="1953"/>
      <c r="H198" s="1953"/>
      <c r="I198"/>
      <c r="J198"/>
      <c r="K198"/>
    </row>
    <row r="199" spans="2:11" x14ac:dyDescent="0.35">
      <c r="B199" s="1953"/>
      <c r="C199" s="1953"/>
      <c r="D199" s="1953"/>
      <c r="E199" s="1953"/>
      <c r="F199" s="1953"/>
      <c r="G199" s="1953"/>
      <c r="H199" s="1953"/>
      <c r="I199"/>
      <c r="J199"/>
      <c r="K199"/>
    </row>
    <row r="200" spans="2:11" x14ac:dyDescent="0.35">
      <c r="B200" s="1953"/>
      <c r="C200" s="1953"/>
      <c r="D200" s="1953"/>
      <c r="E200" s="1953"/>
      <c r="F200" s="1953"/>
      <c r="G200" s="1953"/>
      <c r="H200" s="1953"/>
      <c r="I200"/>
      <c r="J200"/>
      <c r="K200"/>
    </row>
    <row r="201" spans="2:11" x14ac:dyDescent="0.35">
      <c r="B201" s="1953"/>
      <c r="C201" s="1953"/>
      <c r="D201" s="1953"/>
      <c r="E201" s="1953"/>
      <c r="F201" s="1953"/>
      <c r="G201" s="1953"/>
      <c r="H201" s="1953"/>
      <c r="I201"/>
      <c r="J201"/>
      <c r="K201"/>
    </row>
    <row r="202" spans="2:11" x14ac:dyDescent="0.35">
      <c r="B202" s="1953"/>
      <c r="C202" s="1953"/>
      <c r="D202" s="1953"/>
      <c r="E202" s="1953"/>
      <c r="F202" s="1953"/>
      <c r="G202" s="1953"/>
      <c r="H202" s="1953"/>
      <c r="I202"/>
      <c r="J202"/>
      <c r="K202"/>
    </row>
    <row r="203" spans="2:11" x14ac:dyDescent="0.35">
      <c r="B203" s="1953"/>
      <c r="C203" s="1953"/>
      <c r="D203" s="1953"/>
      <c r="E203" s="1953"/>
      <c r="F203" s="1953"/>
      <c r="G203" s="1953"/>
      <c r="H203" s="1953"/>
      <c r="I203"/>
      <c r="J203"/>
      <c r="K203"/>
    </row>
    <row r="204" spans="2:11" x14ac:dyDescent="0.35">
      <c r="B204" s="1953"/>
      <c r="C204" s="1953"/>
      <c r="D204" s="1953"/>
      <c r="E204" s="1953"/>
      <c r="F204" s="1953"/>
      <c r="G204" s="1953"/>
      <c r="H204" s="1953"/>
      <c r="I204"/>
      <c r="J204"/>
      <c r="K204"/>
    </row>
    <row r="205" spans="2:11" x14ac:dyDescent="0.35">
      <c r="B205" s="1953"/>
      <c r="C205" s="1953"/>
      <c r="D205" s="1953"/>
      <c r="E205" s="1953"/>
      <c r="F205" s="1953"/>
      <c r="G205" s="1953"/>
      <c r="H205" s="1953"/>
      <c r="I205"/>
      <c r="J205"/>
      <c r="K205"/>
    </row>
    <row r="206" spans="2:11" x14ac:dyDescent="0.35">
      <c r="B206" s="1953"/>
      <c r="C206" s="1953"/>
      <c r="D206" s="1953"/>
      <c r="E206" s="1953"/>
      <c r="F206" s="1953"/>
      <c r="G206" s="1953"/>
      <c r="H206" s="1953"/>
      <c r="I206"/>
      <c r="J206"/>
      <c r="K206"/>
    </row>
    <row r="207" spans="2:11" x14ac:dyDescent="0.35">
      <c r="B207" s="1953"/>
      <c r="C207" s="1953"/>
      <c r="D207" s="1953"/>
      <c r="E207" s="1953"/>
      <c r="F207" s="1953"/>
      <c r="G207" s="1953"/>
      <c r="H207" s="1953"/>
      <c r="I207"/>
      <c r="J207"/>
      <c r="K207"/>
    </row>
    <row r="208" spans="2:11" x14ac:dyDescent="0.35">
      <c r="B208" s="1953"/>
      <c r="C208" s="1953"/>
      <c r="D208" s="1953"/>
      <c r="E208" s="1953"/>
      <c r="F208" s="1953"/>
      <c r="G208" s="1953"/>
      <c r="H208" s="1953"/>
      <c r="I208"/>
      <c r="J208"/>
      <c r="K208"/>
    </row>
    <row r="209" spans="2:11" x14ac:dyDescent="0.35">
      <c r="B209" s="1953"/>
      <c r="C209" s="1953"/>
      <c r="D209" s="1953"/>
      <c r="E209" s="1953"/>
      <c r="F209" s="1953"/>
      <c r="G209" s="1953"/>
      <c r="H209" s="1953"/>
      <c r="I209"/>
      <c r="J209"/>
      <c r="K209"/>
    </row>
    <row r="210" spans="2:11" x14ac:dyDescent="0.35">
      <c r="B210" s="1953"/>
      <c r="C210" s="1953"/>
      <c r="D210" s="1953"/>
      <c r="E210" s="1953"/>
      <c r="F210" s="1953"/>
      <c r="G210" s="1953"/>
      <c r="H210" s="1953"/>
      <c r="I210"/>
      <c r="J210"/>
      <c r="K210"/>
    </row>
    <row r="211" spans="2:11" x14ac:dyDescent="0.35">
      <c r="B211" s="1953"/>
      <c r="C211" s="1953"/>
      <c r="D211" s="1953"/>
      <c r="E211" s="1953"/>
      <c r="F211" s="1953"/>
      <c r="G211" s="1953"/>
      <c r="H211" s="1953"/>
      <c r="I211"/>
      <c r="J211"/>
      <c r="K211"/>
    </row>
    <row r="212" spans="2:11" x14ac:dyDescent="0.35">
      <c r="B212" s="1953"/>
      <c r="C212" s="1953"/>
      <c r="D212" s="1953"/>
      <c r="E212" s="1953"/>
      <c r="F212" s="1953"/>
      <c r="G212" s="1953"/>
      <c r="H212" s="1953"/>
      <c r="I212"/>
      <c r="J212"/>
      <c r="K212"/>
    </row>
    <row r="213" spans="2:11" x14ac:dyDescent="0.35">
      <c r="B213" s="1953"/>
      <c r="C213" s="1953"/>
      <c r="D213" s="1953"/>
      <c r="E213" s="1953"/>
      <c r="F213" s="1953"/>
      <c r="G213" s="1953"/>
      <c r="H213" s="1953"/>
      <c r="I213"/>
      <c r="J213"/>
      <c r="K213"/>
    </row>
    <row r="214" spans="2:11" x14ac:dyDescent="0.35">
      <c r="B214" s="1953"/>
      <c r="C214" s="1953"/>
      <c r="D214" s="1953"/>
      <c r="E214" s="1953"/>
      <c r="F214" s="1953"/>
      <c r="G214" s="1953"/>
      <c r="H214" s="1953"/>
      <c r="I214"/>
      <c r="J214"/>
      <c r="K214"/>
    </row>
    <row r="215" spans="2:11" x14ac:dyDescent="0.35">
      <c r="B215" s="1953"/>
      <c r="C215" s="1953"/>
      <c r="D215" s="1953"/>
      <c r="E215" s="1953"/>
      <c r="F215" s="1953"/>
      <c r="G215" s="1953"/>
      <c r="H215" s="1953"/>
      <c r="I215"/>
      <c r="J215"/>
      <c r="K215"/>
    </row>
    <row r="216" spans="2:11" x14ac:dyDescent="0.35">
      <c r="B216" s="1953"/>
      <c r="C216" s="1953"/>
      <c r="D216" s="1953"/>
      <c r="E216" s="1953"/>
      <c r="F216" s="1953"/>
      <c r="G216" s="1953"/>
      <c r="H216" s="1953"/>
      <c r="I216"/>
      <c r="J216"/>
      <c r="K216"/>
    </row>
    <row r="217" spans="2:11" x14ac:dyDescent="0.35">
      <c r="B217" s="1953"/>
      <c r="C217" s="1953"/>
      <c r="D217" s="1953"/>
      <c r="E217" s="1953"/>
      <c r="F217" s="1953"/>
      <c r="G217" s="1953"/>
      <c r="H217" s="1953"/>
      <c r="I217"/>
      <c r="J217"/>
      <c r="K217"/>
    </row>
    <row r="218" spans="2:11" x14ac:dyDescent="0.35">
      <c r="B218" s="1953"/>
      <c r="C218" s="1953"/>
      <c r="D218" s="1953"/>
      <c r="E218" s="1953"/>
      <c r="F218" s="1953"/>
      <c r="G218" s="1953"/>
      <c r="H218" s="1953"/>
      <c r="I218"/>
      <c r="J218"/>
      <c r="K218"/>
    </row>
    <row r="219" spans="2:11" x14ac:dyDescent="0.35">
      <c r="B219" s="1953"/>
      <c r="C219" s="1953"/>
      <c r="D219" s="1953"/>
      <c r="E219" s="1953"/>
      <c r="F219" s="1953"/>
      <c r="G219" s="1953"/>
      <c r="H219" s="1953"/>
      <c r="I219"/>
      <c r="J219"/>
      <c r="K219"/>
    </row>
    <row r="220" spans="2:11" x14ac:dyDescent="0.35">
      <c r="B220" s="1953"/>
      <c r="C220" s="1953"/>
      <c r="D220" s="1953"/>
      <c r="E220" s="1953"/>
      <c r="F220" s="1953"/>
      <c r="G220" s="1953"/>
      <c r="H220" s="1953"/>
      <c r="I220"/>
      <c r="J220"/>
      <c r="K220"/>
    </row>
    <row r="221" spans="2:11" x14ac:dyDescent="0.35">
      <c r="B221" s="1953"/>
      <c r="C221" s="1953"/>
      <c r="D221" s="1953"/>
      <c r="E221" s="1953"/>
      <c r="F221" s="1953"/>
      <c r="G221" s="1953"/>
      <c r="H221" s="1953"/>
      <c r="I221"/>
      <c r="J221"/>
      <c r="K221"/>
    </row>
    <row r="222" spans="2:11" x14ac:dyDescent="0.35">
      <c r="B222" s="1953"/>
      <c r="C222" s="1953"/>
      <c r="D222" s="1953"/>
      <c r="E222" s="1953"/>
      <c r="F222" s="1953"/>
      <c r="G222" s="1953"/>
      <c r="H222" s="1953"/>
      <c r="I222"/>
      <c r="J222"/>
      <c r="K222"/>
    </row>
    <row r="223" spans="2:11" x14ac:dyDescent="0.35">
      <c r="B223" s="1953"/>
      <c r="C223" s="1953"/>
      <c r="D223" s="1953"/>
      <c r="E223" s="1953"/>
      <c r="F223" s="1953"/>
      <c r="G223" s="1953"/>
      <c r="H223" s="1953"/>
      <c r="I223"/>
      <c r="J223"/>
      <c r="K223"/>
    </row>
    <row r="224" spans="2:11" x14ac:dyDescent="0.35">
      <c r="B224" s="1953"/>
      <c r="C224" s="1953"/>
      <c r="D224" s="1953"/>
      <c r="E224" s="1953"/>
      <c r="F224" s="1953"/>
      <c r="G224" s="1953"/>
      <c r="H224" s="1953"/>
      <c r="I224"/>
      <c r="J224"/>
      <c r="K224"/>
    </row>
    <row r="225" spans="2:11" x14ac:dyDescent="0.35">
      <c r="B225" s="1953"/>
      <c r="C225" s="1953"/>
      <c r="D225" s="1953"/>
      <c r="E225" s="1953"/>
      <c r="F225" s="1953"/>
      <c r="G225" s="1953"/>
      <c r="H225" s="1953"/>
      <c r="I225"/>
      <c r="J225"/>
      <c r="K225"/>
    </row>
    <row r="226" spans="2:11" x14ac:dyDescent="0.35">
      <c r="B226" s="1953"/>
      <c r="C226" s="1953"/>
      <c r="D226" s="1953"/>
      <c r="E226" s="1953"/>
      <c r="F226" s="1953"/>
      <c r="G226" s="1953"/>
      <c r="H226" s="1953"/>
      <c r="I226"/>
      <c r="J226"/>
      <c r="K226"/>
    </row>
    <row r="227" spans="2:11" x14ac:dyDescent="0.35">
      <c r="B227" s="1953"/>
      <c r="C227" s="1953"/>
      <c r="D227" s="1953"/>
      <c r="E227" s="1953"/>
      <c r="F227" s="1953"/>
      <c r="G227" s="1953"/>
      <c r="H227" s="1953"/>
      <c r="I227"/>
      <c r="J227"/>
      <c r="K227"/>
    </row>
    <row r="228" spans="2:11" x14ac:dyDescent="0.35">
      <c r="B228" s="1953"/>
      <c r="C228" s="1953"/>
      <c r="D228" s="1953"/>
      <c r="E228" s="1953"/>
      <c r="F228" s="1953"/>
      <c r="G228" s="1953"/>
      <c r="H228" s="1953"/>
      <c r="I228"/>
      <c r="J228"/>
      <c r="K228"/>
    </row>
    <row r="229" spans="2:11" x14ac:dyDescent="0.35">
      <c r="B229" s="1953"/>
      <c r="C229" s="1953"/>
      <c r="D229" s="1953"/>
      <c r="E229" s="1953"/>
      <c r="F229" s="1953"/>
      <c r="G229" s="1953"/>
      <c r="H229" s="1953"/>
      <c r="I229"/>
      <c r="J229"/>
      <c r="K229"/>
    </row>
    <row r="230" spans="2:11" x14ac:dyDescent="0.35">
      <c r="B230" s="1953"/>
      <c r="C230" s="1953"/>
      <c r="D230" s="1953"/>
      <c r="E230" s="1953"/>
      <c r="F230" s="1953"/>
      <c r="G230" s="1953"/>
      <c r="H230" s="1953"/>
      <c r="I230"/>
      <c r="J230"/>
      <c r="K230"/>
    </row>
    <row r="231" spans="2:11" x14ac:dyDescent="0.35">
      <c r="B231" s="1953"/>
      <c r="C231" s="1953"/>
      <c r="D231" s="1953"/>
      <c r="E231" s="1953"/>
      <c r="F231" s="1953"/>
      <c r="G231" s="1953"/>
      <c r="H231" s="1953"/>
      <c r="I231"/>
      <c r="J231"/>
      <c r="K231"/>
    </row>
    <row r="232" spans="2:11" x14ac:dyDescent="0.35">
      <c r="B232" s="1953"/>
      <c r="C232" s="1953"/>
      <c r="D232" s="1953"/>
      <c r="E232" s="1953"/>
      <c r="F232" s="1953"/>
      <c r="G232" s="1953"/>
      <c r="H232" s="1953"/>
      <c r="I232"/>
      <c r="J232"/>
      <c r="K232"/>
    </row>
    <row r="233" spans="2:11" x14ac:dyDescent="0.35">
      <c r="B233" s="1953"/>
      <c r="C233" s="1953"/>
      <c r="D233" s="1953"/>
      <c r="E233" s="1953"/>
      <c r="F233" s="1953"/>
      <c r="G233" s="1953"/>
      <c r="H233" s="1953"/>
      <c r="I233"/>
      <c r="J233"/>
      <c r="K233"/>
    </row>
    <row r="234" spans="2:11" x14ac:dyDescent="0.35">
      <c r="B234" s="1953"/>
      <c r="C234" s="1953"/>
      <c r="D234" s="1953"/>
      <c r="E234" s="1953"/>
      <c r="F234" s="1953"/>
      <c r="G234" s="1953"/>
      <c r="H234" s="1953"/>
      <c r="I234"/>
      <c r="J234"/>
      <c r="K234"/>
    </row>
    <row r="235" spans="2:11" x14ac:dyDescent="0.35">
      <c r="B235" s="1953"/>
      <c r="C235" s="1953"/>
      <c r="D235" s="1953"/>
      <c r="E235" s="1953"/>
      <c r="F235" s="1953"/>
      <c r="G235" s="1953"/>
      <c r="H235" s="1953"/>
      <c r="I235"/>
      <c r="J235"/>
      <c r="K235"/>
    </row>
    <row r="236" spans="2:11" x14ac:dyDescent="0.35">
      <c r="B236" s="1953"/>
      <c r="C236" s="1953"/>
      <c r="D236" s="1953"/>
      <c r="E236" s="1953"/>
      <c r="F236" s="1953"/>
      <c r="G236" s="1953"/>
      <c r="H236" s="1953"/>
      <c r="I236"/>
      <c r="J236"/>
      <c r="K236"/>
    </row>
    <row r="237" spans="2:11" x14ac:dyDescent="0.35">
      <c r="B237" s="1953"/>
      <c r="C237" s="1953"/>
      <c r="D237" s="1953"/>
      <c r="E237" s="1953"/>
      <c r="F237" s="1953"/>
      <c r="G237" s="1953"/>
      <c r="H237" s="1953"/>
      <c r="I237"/>
      <c r="J237"/>
      <c r="K237"/>
    </row>
    <row r="238" spans="2:11" x14ac:dyDescent="0.35">
      <c r="B238" s="1953"/>
      <c r="C238" s="1953"/>
      <c r="D238" s="1953"/>
      <c r="E238" s="1953"/>
      <c r="F238" s="1953"/>
      <c r="G238" s="1953"/>
      <c r="H238" s="1953"/>
      <c r="I238"/>
      <c r="J238"/>
      <c r="K238"/>
    </row>
    <row r="239" spans="2:11" x14ac:dyDescent="0.35">
      <c r="B239" s="1953"/>
      <c r="C239" s="1953"/>
      <c r="D239" s="1953"/>
      <c r="E239" s="1953"/>
      <c r="F239" s="1953"/>
      <c r="G239" s="1953"/>
      <c r="H239" s="1953"/>
      <c r="I239"/>
      <c r="J239"/>
      <c r="K239"/>
    </row>
    <row r="240" spans="2:11" x14ac:dyDescent="0.35">
      <c r="B240" s="1953"/>
      <c r="C240" s="1953"/>
      <c r="D240" s="1953"/>
      <c r="E240" s="1953"/>
      <c r="F240" s="1953"/>
      <c r="G240" s="1953"/>
      <c r="H240" s="1953"/>
      <c r="I240"/>
      <c r="J240"/>
      <c r="K240"/>
    </row>
    <row r="241" spans="2:11" x14ac:dyDescent="0.35">
      <c r="B241" s="1953"/>
      <c r="C241" s="1953"/>
      <c r="D241" s="1953"/>
      <c r="E241" s="1953"/>
      <c r="F241" s="1953"/>
      <c r="G241" s="1953"/>
      <c r="H241" s="1953"/>
      <c r="I241"/>
      <c r="J241"/>
      <c r="K241"/>
    </row>
    <row r="242" spans="2:11" x14ac:dyDescent="0.35">
      <c r="B242" s="1953"/>
      <c r="C242" s="1953"/>
      <c r="D242" s="1953"/>
      <c r="E242" s="1953"/>
      <c r="F242" s="1953"/>
      <c r="G242" s="1953"/>
      <c r="H242" s="1953"/>
      <c r="I242"/>
      <c r="J242"/>
      <c r="K242"/>
    </row>
    <row r="243" spans="2:11" x14ac:dyDescent="0.35">
      <c r="B243" s="1953"/>
      <c r="C243" s="1953"/>
      <c r="D243" s="1953"/>
      <c r="E243" s="1953"/>
      <c r="F243" s="1953"/>
      <c r="G243" s="1953"/>
      <c r="H243" s="1953"/>
      <c r="I243"/>
      <c r="J243"/>
      <c r="K243"/>
    </row>
    <row r="244" spans="2:11" x14ac:dyDescent="0.35">
      <c r="B244" s="1953"/>
      <c r="C244" s="1953"/>
      <c r="D244" s="1953"/>
      <c r="E244" s="1953"/>
      <c r="F244" s="1953"/>
      <c r="G244" s="1953"/>
      <c r="H244" s="1953"/>
      <c r="I244"/>
      <c r="J244"/>
      <c r="K244"/>
    </row>
    <row r="245" spans="2:11" x14ac:dyDescent="0.35">
      <c r="B245" s="1953"/>
      <c r="C245" s="1953"/>
      <c r="D245" s="1953"/>
      <c r="E245" s="1953"/>
      <c r="F245" s="1953"/>
      <c r="G245" s="1953"/>
      <c r="H245" s="1953"/>
      <c r="I245"/>
      <c r="J245"/>
      <c r="K245"/>
    </row>
    <row r="246" spans="2:11" x14ac:dyDescent="0.35">
      <c r="B246" s="1953"/>
      <c r="C246" s="1953"/>
      <c r="D246" s="1953"/>
      <c r="E246" s="1953"/>
      <c r="F246" s="1953"/>
      <c r="G246" s="1953"/>
      <c r="H246" s="1953"/>
      <c r="I246"/>
      <c r="J246"/>
      <c r="K246"/>
    </row>
    <row r="247" spans="2:11" x14ac:dyDescent="0.35">
      <c r="B247" s="1953"/>
      <c r="C247" s="1953"/>
      <c r="D247" s="1953"/>
      <c r="E247" s="1953"/>
      <c r="F247" s="1953"/>
      <c r="G247" s="1953"/>
      <c r="H247" s="1953"/>
      <c r="I247"/>
      <c r="J247"/>
      <c r="K247"/>
    </row>
    <row r="248" spans="2:11" x14ac:dyDescent="0.35">
      <c r="B248" s="1953"/>
      <c r="C248" s="1953"/>
      <c r="D248" s="1953"/>
      <c r="E248" s="1953"/>
      <c r="F248" s="1953"/>
      <c r="G248" s="1953"/>
      <c r="H248" s="1953"/>
      <c r="I248"/>
      <c r="J248"/>
      <c r="K248"/>
    </row>
    <row r="249" spans="2:11" x14ac:dyDescent="0.35">
      <c r="B249" s="1953"/>
      <c r="C249" s="1953"/>
      <c r="D249" s="1953"/>
      <c r="E249" s="1953"/>
      <c r="F249" s="1953"/>
      <c r="G249" s="1953"/>
      <c r="H249" s="1953"/>
      <c r="I249"/>
      <c r="J249"/>
      <c r="K249"/>
    </row>
    <row r="250" spans="2:11" x14ac:dyDescent="0.35">
      <c r="B250" s="1953"/>
      <c r="C250" s="1953"/>
      <c r="D250" s="1953"/>
      <c r="E250" s="1953"/>
      <c r="F250" s="1953"/>
      <c r="G250" s="1953"/>
      <c r="H250" s="1953"/>
      <c r="I250"/>
      <c r="J250"/>
      <c r="K250"/>
    </row>
    <row r="251" spans="2:11" x14ac:dyDescent="0.35">
      <c r="B251" s="1953"/>
      <c r="C251" s="1953"/>
      <c r="D251" s="1953"/>
      <c r="E251" s="1953"/>
      <c r="F251" s="1953"/>
      <c r="G251" s="1953"/>
      <c r="H251" s="1953"/>
      <c r="I251"/>
      <c r="J251"/>
      <c r="K251"/>
    </row>
    <row r="252" spans="2:11" x14ac:dyDescent="0.35">
      <c r="B252" s="1953"/>
      <c r="C252" s="1953"/>
      <c r="D252" s="1953"/>
      <c r="E252" s="1953"/>
      <c r="F252" s="1953"/>
      <c r="G252" s="1953"/>
      <c r="H252" s="1953"/>
      <c r="I252"/>
      <c r="J252"/>
      <c r="K252"/>
    </row>
    <row r="253" spans="2:11" x14ac:dyDescent="0.35">
      <c r="B253" s="1953"/>
      <c r="C253" s="1953"/>
      <c r="D253" s="1953"/>
      <c r="E253" s="1953"/>
      <c r="F253" s="1953"/>
      <c r="G253" s="1953"/>
      <c r="H253" s="1953"/>
      <c r="I253"/>
      <c r="J253"/>
      <c r="K253"/>
    </row>
    <row r="254" spans="2:11" x14ac:dyDescent="0.35">
      <c r="B254" s="1953"/>
      <c r="C254" s="1953"/>
      <c r="D254" s="1953"/>
      <c r="E254" s="1953"/>
      <c r="F254" s="1953"/>
      <c r="G254" s="1953"/>
      <c r="H254" s="1953"/>
      <c r="I254"/>
      <c r="J254"/>
      <c r="K254"/>
    </row>
    <row r="255" spans="2:11" x14ac:dyDescent="0.35">
      <c r="B255" s="1953"/>
      <c r="C255" s="1953"/>
      <c r="D255" s="1953"/>
      <c r="E255" s="1953"/>
      <c r="F255" s="1953"/>
      <c r="G255" s="1953"/>
      <c r="H255" s="1953"/>
      <c r="I255"/>
      <c r="J255"/>
      <c r="K255"/>
    </row>
    <row r="256" spans="2:11" x14ac:dyDescent="0.35">
      <c r="B256" s="1953"/>
      <c r="C256" s="1953"/>
      <c r="D256" s="1953"/>
      <c r="E256" s="1953"/>
      <c r="F256" s="1953"/>
      <c r="G256" s="1953"/>
      <c r="H256" s="1953"/>
      <c r="I256"/>
      <c r="J256"/>
      <c r="K256"/>
    </row>
    <row r="257" spans="2:11" x14ac:dyDescent="0.35">
      <c r="B257" s="1953"/>
      <c r="C257" s="1953"/>
      <c r="D257" s="1953"/>
      <c r="E257" s="1953"/>
      <c r="F257" s="1953"/>
      <c r="G257" s="1953"/>
      <c r="H257" s="1953"/>
      <c r="I257"/>
      <c r="J257"/>
      <c r="K257"/>
    </row>
    <row r="258" spans="2:11" x14ac:dyDescent="0.35">
      <c r="B258" s="1953"/>
      <c r="C258" s="1953"/>
      <c r="D258" s="1953"/>
      <c r="E258" s="1953"/>
      <c r="F258" s="1953"/>
      <c r="G258" s="1953"/>
      <c r="H258" s="1953"/>
      <c r="I258"/>
      <c r="J258"/>
      <c r="K258"/>
    </row>
    <row r="259" spans="2:11" x14ac:dyDescent="0.35">
      <c r="B259" s="1953"/>
      <c r="C259" s="1953"/>
      <c r="D259" s="1953"/>
      <c r="E259" s="1953"/>
      <c r="F259" s="1953"/>
      <c r="G259" s="1953"/>
      <c r="H259" s="1953"/>
      <c r="I259"/>
      <c r="J259"/>
      <c r="K259"/>
    </row>
    <row r="260" spans="2:11" x14ac:dyDescent="0.35">
      <c r="B260" s="1953"/>
      <c r="C260" s="1953"/>
      <c r="D260" s="1953"/>
      <c r="E260" s="1953"/>
      <c r="F260" s="1953"/>
      <c r="G260" s="1953"/>
      <c r="H260" s="1953"/>
      <c r="I260"/>
      <c r="J260"/>
      <c r="K260"/>
    </row>
    <row r="261" spans="2:11" x14ac:dyDescent="0.35">
      <c r="B261" s="1953"/>
      <c r="C261" s="1953"/>
      <c r="D261" s="1953"/>
      <c r="E261" s="1953"/>
      <c r="F261" s="1953"/>
      <c r="G261" s="1953"/>
      <c r="H261" s="1953"/>
      <c r="I261"/>
      <c r="J261"/>
      <c r="K261"/>
    </row>
    <row r="262" spans="2:11" x14ac:dyDescent="0.35">
      <c r="B262" s="1953"/>
      <c r="C262" s="1953"/>
      <c r="D262" s="1953"/>
      <c r="E262" s="1953"/>
      <c r="F262" s="1953"/>
      <c r="G262" s="1953"/>
      <c r="H262" s="1953"/>
      <c r="I262"/>
      <c r="J262"/>
      <c r="K262"/>
    </row>
    <row r="263" spans="2:11" x14ac:dyDescent="0.35">
      <c r="B263" s="1953"/>
      <c r="C263" s="1953"/>
      <c r="D263" s="1953"/>
      <c r="E263" s="1953"/>
      <c r="F263" s="1953"/>
      <c r="G263" s="1953"/>
      <c r="H263" s="1953"/>
      <c r="I263"/>
      <c r="J263"/>
      <c r="K263"/>
    </row>
    <row r="264" spans="2:11" x14ac:dyDescent="0.35">
      <c r="B264" s="1953"/>
      <c r="C264" s="1953"/>
      <c r="D264" s="1953"/>
      <c r="E264" s="1953"/>
      <c r="F264" s="1953"/>
      <c r="G264" s="1953"/>
      <c r="H264" s="1953"/>
      <c r="I264"/>
      <c r="J264"/>
      <c r="K264"/>
    </row>
    <row r="265" spans="2:11" x14ac:dyDescent="0.35">
      <c r="B265" s="1953"/>
      <c r="C265" s="1953"/>
      <c r="D265" s="1953"/>
      <c r="E265" s="1953"/>
      <c r="F265" s="1953"/>
      <c r="G265" s="1953"/>
      <c r="H265" s="1953"/>
      <c r="I265"/>
      <c r="J265"/>
      <c r="K265"/>
    </row>
    <row r="266" spans="2:11" x14ac:dyDescent="0.35">
      <c r="B266" s="1953"/>
      <c r="C266" s="1953"/>
      <c r="D266" s="1953"/>
      <c r="E266" s="1953"/>
      <c r="F266" s="1953"/>
      <c r="G266" s="1953"/>
      <c r="H266" s="1953"/>
      <c r="I266"/>
      <c r="J266"/>
      <c r="K266"/>
    </row>
    <row r="267" spans="2:11" x14ac:dyDescent="0.35">
      <c r="B267" s="1953"/>
      <c r="C267" s="1953"/>
      <c r="D267" s="1953"/>
      <c r="E267" s="1953"/>
      <c r="F267" s="1953"/>
      <c r="G267" s="1953"/>
      <c r="H267" s="1953"/>
      <c r="I267"/>
      <c r="J267"/>
      <c r="K267"/>
    </row>
    <row r="268" spans="2:11" x14ac:dyDescent="0.35">
      <c r="B268" s="1953"/>
      <c r="C268" s="1953"/>
      <c r="D268" s="1953"/>
      <c r="E268" s="1953"/>
      <c r="F268" s="1953"/>
      <c r="G268" s="1953"/>
      <c r="H268" s="1953"/>
      <c r="I268"/>
      <c r="J268"/>
      <c r="K268"/>
    </row>
    <row r="269" spans="2:11" x14ac:dyDescent="0.35">
      <c r="B269" s="1953"/>
      <c r="C269" s="1953"/>
      <c r="D269" s="1953"/>
      <c r="E269" s="1953"/>
      <c r="F269" s="1953"/>
      <c r="G269" s="1953"/>
      <c r="H269" s="1953"/>
      <c r="I269"/>
      <c r="J269"/>
      <c r="K269"/>
    </row>
    <row r="270" spans="2:11" x14ac:dyDescent="0.35">
      <c r="B270" s="1953"/>
      <c r="C270" s="1953"/>
      <c r="D270" s="1953"/>
      <c r="E270" s="1953"/>
      <c r="F270" s="1953"/>
      <c r="G270" s="1953"/>
      <c r="H270" s="1953"/>
      <c r="I270"/>
      <c r="J270"/>
      <c r="K270"/>
    </row>
    <row r="271" spans="2:11" x14ac:dyDescent="0.35">
      <c r="B271" s="1953"/>
      <c r="C271" s="1953"/>
      <c r="D271" s="1953"/>
      <c r="E271" s="1953"/>
      <c r="F271" s="1953"/>
      <c r="G271" s="1953"/>
      <c r="H271" s="1953"/>
      <c r="I271"/>
      <c r="J271"/>
      <c r="K271"/>
    </row>
    <row r="272" spans="2:11" x14ac:dyDescent="0.35">
      <c r="B272" s="1953"/>
      <c r="C272" s="1953"/>
      <c r="D272" s="1953"/>
      <c r="E272" s="1953"/>
      <c r="F272" s="1953"/>
      <c r="G272" s="1953"/>
      <c r="H272" s="1953"/>
      <c r="I272"/>
      <c r="J272"/>
      <c r="K272"/>
    </row>
    <row r="273" spans="2:11" x14ac:dyDescent="0.35">
      <c r="B273" s="1953"/>
      <c r="C273" s="1953"/>
      <c r="D273" s="1953"/>
      <c r="E273" s="1953"/>
      <c r="F273" s="1953"/>
      <c r="G273" s="1953"/>
      <c r="H273" s="1953"/>
      <c r="I273"/>
      <c r="J273"/>
      <c r="K273"/>
    </row>
    <row r="274" spans="2:11" x14ac:dyDescent="0.35">
      <c r="B274" s="1953"/>
      <c r="C274" s="1953"/>
      <c r="D274" s="1953"/>
      <c r="E274" s="1953"/>
      <c r="F274" s="1953"/>
      <c r="G274" s="1953"/>
      <c r="H274" s="1953"/>
      <c r="I274"/>
      <c r="J274"/>
      <c r="K274"/>
    </row>
    <row r="275" spans="2:11" x14ac:dyDescent="0.35">
      <c r="B275" s="1953"/>
      <c r="C275" s="1953"/>
      <c r="D275" s="1953"/>
      <c r="E275" s="1953"/>
      <c r="F275" s="1953"/>
      <c r="G275" s="1953"/>
      <c r="H275" s="1953"/>
      <c r="I275"/>
      <c r="J275"/>
      <c r="K275"/>
    </row>
    <row r="276" spans="2:11" x14ac:dyDescent="0.35">
      <c r="B276" s="1953"/>
      <c r="C276" s="1953"/>
      <c r="D276" s="1953"/>
      <c r="E276" s="1953"/>
      <c r="F276" s="1953"/>
      <c r="G276" s="1953"/>
      <c r="H276" s="1953"/>
      <c r="I276"/>
      <c r="J276"/>
      <c r="K276"/>
    </row>
    <row r="277" spans="2:11" x14ac:dyDescent="0.35">
      <c r="B277" s="1953"/>
      <c r="C277" s="1953"/>
      <c r="D277" s="1953"/>
      <c r="E277" s="1953"/>
      <c r="F277" s="1953"/>
      <c r="G277" s="1953"/>
      <c r="H277" s="1953"/>
      <c r="I277"/>
      <c r="J277"/>
      <c r="K277"/>
    </row>
    <row r="278" spans="2:11" x14ac:dyDescent="0.35">
      <c r="B278" s="1953"/>
      <c r="C278" s="1953"/>
      <c r="D278" s="1953"/>
      <c r="E278" s="1953"/>
      <c r="F278" s="1953"/>
      <c r="G278" s="1953"/>
      <c r="H278" s="1953"/>
      <c r="I278"/>
      <c r="J278"/>
      <c r="K278"/>
    </row>
    <row r="279" spans="2:11" x14ac:dyDescent="0.35">
      <c r="B279" s="1953"/>
      <c r="C279" s="1953"/>
      <c r="D279" s="1953"/>
      <c r="E279" s="1953"/>
      <c r="F279" s="1953"/>
      <c r="G279" s="1953"/>
      <c r="H279" s="1953"/>
      <c r="I279"/>
      <c r="J279"/>
      <c r="K279"/>
    </row>
    <row r="280" spans="2:11" x14ac:dyDescent="0.35">
      <c r="B280" s="1953"/>
      <c r="C280" s="1953"/>
      <c r="D280" s="1953"/>
      <c r="E280" s="1953"/>
      <c r="F280" s="1953"/>
      <c r="G280" s="1953"/>
      <c r="H280" s="1953"/>
      <c r="I280"/>
      <c r="J280"/>
      <c r="K280"/>
    </row>
    <row r="281" spans="2:11" x14ac:dyDescent="0.35">
      <c r="B281" s="1953"/>
      <c r="C281" s="1953"/>
      <c r="D281" s="1953"/>
      <c r="E281" s="1953"/>
      <c r="F281" s="1953"/>
      <c r="G281" s="1953"/>
      <c r="H281" s="1953"/>
      <c r="I281"/>
      <c r="J281"/>
      <c r="K281"/>
    </row>
    <row r="282" spans="2:11" x14ac:dyDescent="0.35">
      <c r="B282" s="1953"/>
      <c r="C282" s="1953"/>
      <c r="D282" s="1953"/>
      <c r="E282" s="1953"/>
      <c r="F282" s="1953"/>
      <c r="G282" s="1953"/>
      <c r="H282" s="1953"/>
      <c r="I282"/>
      <c r="J282"/>
      <c r="K282"/>
    </row>
    <row r="283" spans="2:11" x14ac:dyDescent="0.35">
      <c r="B283" s="1953"/>
      <c r="C283" s="1953"/>
      <c r="D283" s="1953"/>
      <c r="E283" s="1953"/>
      <c r="F283" s="1953"/>
      <c r="G283" s="1953"/>
      <c r="H283" s="1953"/>
      <c r="I283"/>
      <c r="J283"/>
      <c r="K283"/>
    </row>
    <row r="284" spans="2:11" x14ac:dyDescent="0.35">
      <c r="B284" s="1953"/>
      <c r="C284" s="1953"/>
      <c r="D284" s="1953"/>
      <c r="E284" s="1953"/>
      <c r="F284" s="1953"/>
      <c r="G284" s="1953"/>
      <c r="H284" s="1953"/>
      <c r="I284"/>
      <c r="J284"/>
      <c r="K284"/>
    </row>
    <row r="285" spans="2:11" x14ac:dyDescent="0.35">
      <c r="B285" s="1953"/>
      <c r="C285" s="1953"/>
      <c r="D285" s="1953"/>
      <c r="E285" s="1953"/>
      <c r="F285" s="1953"/>
      <c r="G285" s="1953"/>
      <c r="H285" s="1953"/>
      <c r="I285"/>
      <c r="J285"/>
      <c r="K285"/>
    </row>
    <row r="286" spans="2:11" x14ac:dyDescent="0.35">
      <c r="B286" s="1953"/>
      <c r="C286" s="1953"/>
      <c r="D286" s="1953"/>
      <c r="E286" s="1953"/>
      <c r="F286" s="1953"/>
      <c r="G286" s="1953"/>
      <c r="H286" s="1953"/>
      <c r="I286"/>
      <c r="J286"/>
      <c r="K286"/>
    </row>
    <row r="287" spans="2:11" x14ac:dyDescent="0.35">
      <c r="B287" s="1953"/>
      <c r="C287" s="1953"/>
      <c r="D287" s="1953"/>
      <c r="E287" s="1953"/>
      <c r="F287" s="1953"/>
      <c r="G287" s="1953"/>
      <c r="H287" s="1953"/>
      <c r="I287"/>
      <c r="J287"/>
      <c r="K287"/>
    </row>
    <row r="288" spans="2:11" x14ac:dyDescent="0.35">
      <c r="B288" s="1953"/>
      <c r="C288" s="1953"/>
      <c r="D288" s="1953"/>
      <c r="E288" s="1953"/>
      <c r="F288" s="1953"/>
      <c r="G288" s="1953"/>
      <c r="H288" s="1953"/>
      <c r="I288"/>
      <c r="J288"/>
      <c r="K288"/>
    </row>
    <row r="289" spans="2:11" x14ac:dyDescent="0.35">
      <c r="B289" s="1953"/>
      <c r="C289" s="1953"/>
      <c r="D289" s="1953"/>
      <c r="E289" s="1953"/>
      <c r="F289" s="1953"/>
      <c r="G289" s="1953"/>
      <c r="H289" s="1953"/>
      <c r="I289"/>
      <c r="J289"/>
      <c r="K289"/>
    </row>
    <row r="290" spans="2:11" x14ac:dyDescent="0.35">
      <c r="B290" s="1953"/>
      <c r="C290" s="1953"/>
      <c r="D290" s="1953"/>
      <c r="E290" s="1953"/>
      <c r="F290" s="1953"/>
      <c r="G290" s="1953"/>
      <c r="H290" s="1953"/>
      <c r="I290"/>
      <c r="J290"/>
      <c r="K290"/>
    </row>
    <row r="291" spans="2:11" x14ac:dyDescent="0.35">
      <c r="B291" s="1953"/>
      <c r="C291" s="1953"/>
      <c r="D291" s="1953"/>
      <c r="E291" s="1953"/>
      <c r="F291" s="1953"/>
      <c r="G291" s="1953"/>
      <c r="H291" s="1953"/>
      <c r="I291"/>
      <c r="J291"/>
      <c r="K291"/>
    </row>
    <row r="292" spans="2:11" x14ac:dyDescent="0.35">
      <c r="B292" s="1953"/>
      <c r="C292" s="1953"/>
      <c r="D292" s="1953"/>
      <c r="E292" s="1953"/>
      <c r="F292" s="1953"/>
      <c r="G292" s="1953"/>
      <c r="H292" s="1953"/>
      <c r="I292"/>
      <c r="J292"/>
      <c r="K292"/>
    </row>
    <row r="293" spans="2:11" x14ac:dyDescent="0.35">
      <c r="B293" s="1953"/>
      <c r="C293" s="1953"/>
      <c r="D293" s="1953"/>
      <c r="E293" s="1953"/>
      <c r="F293" s="1953"/>
      <c r="G293" s="1953"/>
      <c r="H293" s="1953"/>
      <c r="I293"/>
      <c r="J293"/>
      <c r="K293"/>
    </row>
    <row r="294" spans="2:11" x14ac:dyDescent="0.35">
      <c r="B294" s="1953"/>
      <c r="C294" s="1953"/>
      <c r="D294" s="1953"/>
      <c r="E294" s="1953"/>
      <c r="F294" s="1953"/>
      <c r="G294" s="1953"/>
      <c r="H294" s="1953"/>
      <c r="I294"/>
      <c r="J294"/>
      <c r="K294"/>
    </row>
    <row r="295" spans="2:11" x14ac:dyDescent="0.35">
      <c r="B295" s="1953"/>
      <c r="C295" s="1953"/>
      <c r="D295" s="1953"/>
      <c r="E295" s="1953"/>
      <c r="F295" s="1953"/>
      <c r="G295" s="1953"/>
      <c r="H295" s="1953"/>
      <c r="I295"/>
      <c r="J295"/>
      <c r="K295"/>
    </row>
    <row r="296" spans="2:11" x14ac:dyDescent="0.35">
      <c r="B296" s="1953"/>
      <c r="C296" s="1953"/>
      <c r="D296" s="1953"/>
      <c r="E296" s="1953"/>
      <c r="F296" s="1953"/>
      <c r="G296" s="1953"/>
      <c r="H296" s="1953"/>
      <c r="I296"/>
      <c r="J296"/>
      <c r="K296"/>
    </row>
    <row r="297" spans="2:11" x14ac:dyDescent="0.35">
      <c r="B297" s="1953"/>
      <c r="C297" s="1953"/>
      <c r="D297" s="1953"/>
      <c r="E297" s="1953"/>
      <c r="F297" s="1953"/>
      <c r="G297" s="1953"/>
      <c r="H297" s="1953"/>
      <c r="I297"/>
      <c r="J297"/>
      <c r="K297"/>
    </row>
    <row r="298" spans="2:11" x14ac:dyDescent="0.35">
      <c r="B298" s="1953"/>
      <c r="C298" s="1953"/>
      <c r="D298" s="1953"/>
      <c r="E298" s="1953"/>
      <c r="F298" s="1953"/>
      <c r="G298" s="1953"/>
      <c r="H298" s="1953"/>
      <c r="I298"/>
      <c r="J298"/>
      <c r="K298"/>
    </row>
    <row r="299" spans="2:11" x14ac:dyDescent="0.35">
      <c r="B299" s="1953"/>
      <c r="C299" s="1953"/>
      <c r="D299" s="1953"/>
      <c r="E299" s="1953"/>
      <c r="F299" s="1953"/>
      <c r="G299" s="1953"/>
      <c r="H299" s="1953"/>
      <c r="I299"/>
      <c r="J299"/>
      <c r="K299"/>
    </row>
    <row r="300" spans="2:11" x14ac:dyDescent="0.35">
      <c r="B300" s="1953"/>
      <c r="C300" s="1953"/>
      <c r="D300" s="1953"/>
      <c r="E300" s="1953"/>
      <c r="F300" s="1953"/>
      <c r="G300" s="1953"/>
      <c r="H300" s="1953"/>
      <c r="I300"/>
      <c r="J300"/>
      <c r="K300"/>
    </row>
    <row r="301" spans="2:11" x14ac:dyDescent="0.35">
      <c r="B301" s="1953"/>
      <c r="C301" s="1953"/>
      <c r="D301" s="1953"/>
      <c r="E301" s="1953"/>
      <c r="F301" s="1953"/>
      <c r="G301" s="1953"/>
      <c r="H301" s="1953"/>
      <c r="I301"/>
      <c r="J301"/>
      <c r="K301"/>
    </row>
    <row r="302" spans="2:11" x14ac:dyDescent="0.35">
      <c r="B302" s="1953"/>
      <c r="C302" s="1953"/>
      <c r="D302" s="1953"/>
      <c r="E302" s="1953"/>
      <c r="F302" s="1953"/>
      <c r="G302" s="1953"/>
      <c r="H302" s="1953"/>
      <c r="I302"/>
      <c r="J302"/>
      <c r="K302"/>
    </row>
    <row r="303" spans="2:11" x14ac:dyDescent="0.35">
      <c r="B303" s="1953"/>
      <c r="C303" s="1953"/>
      <c r="D303" s="1953"/>
      <c r="E303" s="1953"/>
      <c r="F303" s="1953"/>
      <c r="G303" s="1953"/>
      <c r="H303" s="1953"/>
      <c r="I303"/>
      <c r="J303"/>
      <c r="K303"/>
    </row>
    <row r="304" spans="2:11" x14ac:dyDescent="0.35">
      <c r="B304" s="1953"/>
      <c r="C304" s="1953"/>
      <c r="D304" s="1953"/>
      <c r="E304" s="1953"/>
      <c r="F304" s="1953"/>
      <c r="G304" s="1953"/>
      <c r="H304" s="1953"/>
      <c r="I304"/>
      <c r="J304"/>
      <c r="K304"/>
    </row>
    <row r="305" spans="2:11" x14ac:dyDescent="0.35">
      <c r="B305" s="1953"/>
      <c r="C305" s="1953"/>
      <c r="D305" s="1953"/>
      <c r="E305" s="1953"/>
      <c r="F305" s="1953"/>
      <c r="G305" s="1953"/>
      <c r="H305" s="1953"/>
      <c r="I305"/>
      <c r="J305"/>
      <c r="K305"/>
    </row>
    <row r="306" spans="2:11" x14ac:dyDescent="0.35">
      <c r="B306" s="1953"/>
      <c r="C306" s="1953"/>
      <c r="D306" s="1953"/>
      <c r="E306" s="1953"/>
      <c r="F306" s="1953"/>
      <c r="G306" s="1953"/>
      <c r="H306" s="1953"/>
      <c r="I306"/>
      <c r="J306"/>
      <c r="K306"/>
    </row>
    <row r="307" spans="2:11" x14ac:dyDescent="0.35">
      <c r="B307" s="1953"/>
      <c r="C307" s="1953"/>
      <c r="D307" s="1953"/>
      <c r="E307" s="1953"/>
      <c r="F307" s="1953"/>
      <c r="G307" s="1953"/>
      <c r="H307" s="1953"/>
      <c r="I307"/>
      <c r="J307"/>
      <c r="K307"/>
    </row>
    <row r="308" spans="2:11" x14ac:dyDescent="0.35">
      <c r="B308" s="1953"/>
      <c r="C308" s="1953"/>
      <c r="D308" s="1953"/>
      <c r="E308" s="1953"/>
      <c r="F308" s="1953"/>
      <c r="G308" s="1953"/>
      <c r="H308" s="1953"/>
      <c r="I308"/>
      <c r="J308"/>
      <c r="K308"/>
    </row>
    <row r="309" spans="2:11" x14ac:dyDescent="0.35">
      <c r="B309" s="1953"/>
      <c r="C309" s="1953"/>
      <c r="D309" s="1953"/>
      <c r="E309" s="1953"/>
      <c r="F309" s="1953"/>
      <c r="G309" s="1953"/>
      <c r="H309" s="1953"/>
      <c r="I309"/>
      <c r="J309"/>
      <c r="K309"/>
    </row>
    <row r="310" spans="2:11" x14ac:dyDescent="0.35">
      <c r="B310" s="1953"/>
      <c r="C310" s="1953"/>
      <c r="D310" s="1953"/>
      <c r="E310" s="1953"/>
      <c r="F310" s="1953"/>
      <c r="G310" s="1953"/>
      <c r="H310" s="1953"/>
      <c r="I310"/>
      <c r="J310"/>
      <c r="K310"/>
    </row>
    <row r="311" spans="2:11" x14ac:dyDescent="0.35">
      <c r="B311" s="1953"/>
      <c r="C311" s="1953"/>
      <c r="D311" s="1953"/>
      <c r="E311" s="1953"/>
      <c r="F311" s="1953"/>
      <c r="G311" s="1953"/>
      <c r="H311" s="1953"/>
      <c r="I311"/>
      <c r="J311"/>
      <c r="K311"/>
    </row>
    <row r="312" spans="2:11" x14ac:dyDescent="0.35">
      <c r="B312" s="1953"/>
      <c r="C312" s="1953"/>
      <c r="D312" s="1953"/>
      <c r="E312" s="1953"/>
      <c r="F312" s="1953"/>
      <c r="G312" s="1953"/>
      <c r="H312" s="1953"/>
      <c r="I312"/>
      <c r="J312"/>
      <c r="K312"/>
    </row>
    <row r="313" spans="2:11" x14ac:dyDescent="0.35">
      <c r="B313" s="1953"/>
      <c r="C313" s="1953"/>
      <c r="D313" s="1953"/>
      <c r="E313" s="1953"/>
      <c r="F313" s="1953"/>
      <c r="G313" s="1953"/>
      <c r="H313" s="1953"/>
      <c r="I313"/>
      <c r="J313"/>
      <c r="K313"/>
    </row>
    <row r="314" spans="2:11" x14ac:dyDescent="0.35">
      <c r="B314" s="1953"/>
      <c r="C314" s="1953"/>
      <c r="D314" s="1953"/>
      <c r="E314" s="1953"/>
      <c r="F314" s="1953"/>
      <c r="G314" s="1953"/>
      <c r="H314" s="1953"/>
      <c r="I314"/>
      <c r="J314"/>
      <c r="K314"/>
    </row>
    <row r="315" spans="2:11" x14ac:dyDescent="0.35">
      <c r="B315" s="1953"/>
      <c r="C315" s="1953"/>
      <c r="D315" s="1953"/>
      <c r="E315" s="1953"/>
      <c r="F315" s="1953"/>
      <c r="G315" s="1953"/>
      <c r="H315" s="1953"/>
      <c r="I315"/>
      <c r="J315"/>
      <c r="K315"/>
    </row>
    <row r="316" spans="2:11" x14ac:dyDescent="0.35">
      <c r="B316" s="1953"/>
      <c r="C316" s="1953"/>
      <c r="D316" s="1953"/>
      <c r="E316" s="1953"/>
      <c r="F316" s="1953"/>
      <c r="G316" s="1953"/>
      <c r="H316" s="1953"/>
      <c r="I316"/>
      <c r="J316"/>
      <c r="K316"/>
    </row>
    <row r="317" spans="2:11" x14ac:dyDescent="0.35">
      <c r="B317" s="1953"/>
      <c r="C317" s="1953"/>
      <c r="D317" s="1953"/>
      <c r="E317" s="1953"/>
      <c r="F317" s="1953"/>
      <c r="G317" s="1953"/>
      <c r="H317" s="1953"/>
      <c r="I317"/>
      <c r="J317"/>
      <c r="K317"/>
    </row>
    <row r="318" spans="2:11" x14ac:dyDescent="0.35">
      <c r="B318" s="1953"/>
      <c r="C318" s="1953"/>
      <c r="D318" s="1953"/>
      <c r="E318" s="1953"/>
      <c r="F318" s="1953"/>
      <c r="G318" s="1953"/>
      <c r="H318" s="1953"/>
      <c r="I318"/>
      <c r="J318"/>
      <c r="K318"/>
    </row>
    <row r="319" spans="2:11" x14ac:dyDescent="0.35">
      <c r="B319" s="1953"/>
      <c r="C319" s="1953"/>
      <c r="D319" s="1953"/>
      <c r="E319" s="1953"/>
      <c r="F319" s="1953"/>
      <c r="G319" s="1953"/>
      <c r="H319" s="1953"/>
      <c r="I319"/>
      <c r="J319"/>
      <c r="K319"/>
    </row>
    <row r="320" spans="2:11" x14ac:dyDescent="0.35">
      <c r="B320" s="1953"/>
      <c r="C320" s="1953"/>
      <c r="D320" s="1953"/>
      <c r="E320" s="1953"/>
      <c r="F320" s="1953"/>
      <c r="G320" s="1953"/>
      <c r="H320" s="1953"/>
      <c r="I320"/>
      <c r="J320"/>
      <c r="K320"/>
    </row>
    <row r="321" spans="2:11" x14ac:dyDescent="0.35">
      <c r="B321" s="1953"/>
      <c r="C321" s="1953"/>
      <c r="D321" s="1953"/>
      <c r="E321" s="1953"/>
      <c r="F321" s="1953"/>
      <c r="G321" s="1953"/>
      <c r="H321" s="1953"/>
      <c r="I321"/>
      <c r="J321"/>
      <c r="K321"/>
    </row>
    <row r="322" spans="2:11" x14ac:dyDescent="0.35">
      <c r="B322" s="1953"/>
      <c r="C322" s="1953"/>
      <c r="D322" s="1953"/>
      <c r="E322" s="1953"/>
      <c r="F322" s="1953"/>
      <c r="G322" s="1953"/>
      <c r="H322" s="1953"/>
      <c r="I322"/>
      <c r="J322"/>
      <c r="K322"/>
    </row>
    <row r="323" spans="2:11" x14ac:dyDescent="0.35">
      <c r="B323" s="1953"/>
      <c r="C323" s="1953"/>
      <c r="D323" s="1953"/>
      <c r="E323" s="1953"/>
      <c r="F323" s="1953"/>
      <c r="G323" s="1953"/>
      <c r="H323" s="1953"/>
      <c r="I323"/>
      <c r="J323"/>
      <c r="K323"/>
    </row>
    <row r="324" spans="2:11" x14ac:dyDescent="0.35">
      <c r="B324" s="1953"/>
      <c r="C324" s="1953"/>
      <c r="D324" s="1953"/>
      <c r="E324" s="1953"/>
      <c r="F324" s="1953"/>
      <c r="G324" s="1953"/>
      <c r="H324" s="1953"/>
      <c r="I324"/>
      <c r="J324"/>
      <c r="K324"/>
    </row>
    <row r="325" spans="2:11" x14ac:dyDescent="0.35">
      <c r="B325" s="1953"/>
      <c r="C325" s="1953"/>
      <c r="D325" s="1953"/>
      <c r="E325" s="1953"/>
      <c r="F325" s="1953"/>
      <c r="G325" s="1953"/>
      <c r="H325" s="1953"/>
      <c r="I325"/>
      <c r="J325"/>
      <c r="K325"/>
    </row>
    <row r="326" spans="2:11" x14ac:dyDescent="0.35">
      <c r="B326" s="1953"/>
      <c r="C326" s="1953"/>
      <c r="D326" s="1953"/>
      <c r="E326" s="1953"/>
      <c r="F326" s="1953"/>
      <c r="G326" s="1953"/>
      <c r="H326" s="1953"/>
      <c r="I326"/>
      <c r="J326"/>
      <c r="K326"/>
    </row>
    <row r="327" spans="2:11" x14ac:dyDescent="0.35">
      <c r="B327" s="1953"/>
      <c r="C327" s="1953"/>
      <c r="D327" s="1953"/>
      <c r="E327" s="1953"/>
      <c r="F327" s="1953"/>
      <c r="G327" s="1953"/>
      <c r="H327" s="1953"/>
      <c r="I327"/>
      <c r="J327"/>
      <c r="K327"/>
    </row>
    <row r="328" spans="2:11" x14ac:dyDescent="0.35">
      <c r="B328" s="1953"/>
      <c r="C328" s="1953"/>
      <c r="D328" s="1953"/>
      <c r="E328" s="1953"/>
      <c r="F328" s="1953"/>
      <c r="G328" s="1953"/>
      <c r="H328" s="1953"/>
      <c r="I328"/>
      <c r="J328"/>
      <c r="K328"/>
    </row>
    <row r="329" spans="2:11" x14ac:dyDescent="0.35">
      <c r="B329" s="1953"/>
      <c r="C329" s="1953"/>
      <c r="D329" s="1953"/>
      <c r="E329" s="1953"/>
      <c r="F329" s="1953"/>
      <c r="G329" s="1953"/>
      <c r="H329" s="1953"/>
      <c r="I329"/>
      <c r="J329"/>
      <c r="K329"/>
    </row>
    <row r="330" spans="2:11" x14ac:dyDescent="0.35">
      <c r="B330" s="1953"/>
      <c r="C330" s="1953"/>
      <c r="D330" s="1953"/>
      <c r="E330" s="1953"/>
      <c r="F330" s="1953"/>
      <c r="G330" s="1953"/>
      <c r="H330" s="1953"/>
      <c r="I330"/>
      <c r="J330"/>
      <c r="K330"/>
    </row>
    <row r="331" spans="2:11" x14ac:dyDescent="0.35">
      <c r="B331" s="1953"/>
      <c r="C331" s="1953"/>
      <c r="D331" s="1953"/>
      <c r="E331" s="1953"/>
      <c r="F331" s="1953"/>
      <c r="G331" s="1953"/>
      <c r="H331" s="1953"/>
      <c r="I331"/>
      <c r="J331"/>
      <c r="K331"/>
    </row>
    <row r="332" spans="2:11" x14ac:dyDescent="0.35">
      <c r="B332" s="1953"/>
      <c r="C332" s="1953"/>
      <c r="D332" s="1953"/>
      <c r="E332" s="1953"/>
      <c r="F332" s="1953"/>
      <c r="G332" s="1953"/>
      <c r="H332" s="1953"/>
      <c r="I332"/>
      <c r="J332"/>
      <c r="K332"/>
    </row>
    <row r="333" spans="2:11" x14ac:dyDescent="0.35">
      <c r="B333" s="1953"/>
      <c r="C333" s="1953"/>
      <c r="D333" s="1953"/>
      <c r="E333" s="1953"/>
      <c r="F333" s="1953"/>
      <c r="G333" s="1953"/>
      <c r="H333" s="1953"/>
      <c r="I333"/>
      <c r="J333"/>
      <c r="K333"/>
    </row>
    <row r="334" spans="2:11" x14ac:dyDescent="0.35">
      <c r="B334" s="1953"/>
      <c r="C334" s="1953"/>
      <c r="D334" s="1953"/>
      <c r="E334" s="1953"/>
      <c r="F334" s="1953"/>
      <c r="G334" s="1953"/>
      <c r="H334" s="1953"/>
      <c r="I334"/>
      <c r="J334"/>
      <c r="K334"/>
    </row>
    <row r="335" spans="2:11" x14ac:dyDescent="0.35">
      <c r="B335" s="1953"/>
      <c r="C335" s="1953"/>
      <c r="D335" s="1953"/>
      <c r="E335" s="1953"/>
      <c r="F335" s="1953"/>
      <c r="G335" s="1953"/>
      <c r="H335" s="1953"/>
      <c r="I335"/>
      <c r="J335"/>
      <c r="K335"/>
    </row>
    <row r="336" spans="2:11" x14ac:dyDescent="0.35">
      <c r="B336" s="1953"/>
      <c r="C336" s="1953"/>
      <c r="D336" s="1953"/>
      <c r="E336" s="1953"/>
      <c r="F336" s="1953"/>
      <c r="G336" s="1953"/>
      <c r="H336" s="1953"/>
      <c r="I336"/>
      <c r="J336"/>
      <c r="K336"/>
    </row>
    <row r="337" spans="2:11" x14ac:dyDescent="0.35">
      <c r="B337" s="1953"/>
      <c r="C337" s="1953"/>
      <c r="D337" s="1953"/>
      <c r="E337" s="1953"/>
      <c r="F337" s="1953"/>
      <c r="G337" s="1953"/>
      <c r="H337" s="1953"/>
      <c r="I337"/>
      <c r="J337"/>
      <c r="K337"/>
    </row>
    <row r="338" spans="2:11" x14ac:dyDescent="0.35">
      <c r="B338" s="1953"/>
      <c r="C338" s="1953"/>
      <c r="D338" s="1953"/>
      <c r="E338" s="1953"/>
      <c r="F338" s="1953"/>
      <c r="G338" s="1953"/>
      <c r="H338" s="1953"/>
      <c r="I338"/>
      <c r="J338"/>
      <c r="K338"/>
    </row>
    <row r="339" spans="2:11" x14ac:dyDescent="0.35">
      <c r="B339" s="1953"/>
      <c r="C339" s="1953"/>
      <c r="D339" s="1953"/>
      <c r="E339" s="1953"/>
      <c r="F339" s="1953"/>
      <c r="G339" s="1953"/>
      <c r="H339" s="1953"/>
      <c r="I339"/>
      <c r="J339"/>
      <c r="K339"/>
    </row>
    <row r="340" spans="2:11" x14ac:dyDescent="0.35">
      <c r="B340" s="1953"/>
      <c r="C340" s="1953"/>
      <c r="D340" s="1953"/>
      <c r="E340" s="1953"/>
      <c r="F340" s="1953"/>
      <c r="G340" s="1953"/>
      <c r="H340" s="1953"/>
      <c r="I340"/>
      <c r="J340"/>
      <c r="K340"/>
    </row>
    <row r="341" spans="2:11" x14ac:dyDescent="0.35">
      <c r="B341" s="1953"/>
      <c r="C341" s="1953"/>
      <c r="D341" s="1953"/>
      <c r="E341" s="1953"/>
      <c r="F341" s="1953"/>
      <c r="G341" s="1953"/>
      <c r="H341" s="1953"/>
      <c r="I341"/>
      <c r="J341"/>
      <c r="K341"/>
    </row>
    <row r="342" spans="2:11" x14ac:dyDescent="0.35">
      <c r="B342" s="1953"/>
      <c r="C342" s="1953"/>
      <c r="D342" s="1953"/>
      <c r="E342" s="1953"/>
      <c r="F342" s="1953"/>
      <c r="G342" s="1953"/>
      <c r="H342" s="1953"/>
      <c r="I342"/>
      <c r="J342"/>
      <c r="K342"/>
    </row>
    <row r="343" spans="2:11" x14ac:dyDescent="0.35">
      <c r="B343" s="1953"/>
      <c r="C343" s="1953"/>
      <c r="D343" s="1953"/>
      <c r="E343" s="1953"/>
      <c r="F343" s="1953"/>
      <c r="G343" s="1953"/>
      <c r="H343" s="1953"/>
      <c r="I343"/>
      <c r="J343"/>
      <c r="K343"/>
    </row>
    <row r="344" spans="2:11" x14ac:dyDescent="0.35">
      <c r="B344" s="1953"/>
      <c r="C344" s="1953"/>
      <c r="D344" s="1953"/>
      <c r="E344" s="1953"/>
      <c r="F344" s="1953"/>
      <c r="G344" s="1953"/>
      <c r="H344" s="1953"/>
      <c r="I344"/>
      <c r="J344"/>
      <c r="K344"/>
    </row>
    <row r="345" spans="2:11" x14ac:dyDescent="0.35">
      <c r="B345" s="1953"/>
      <c r="C345" s="1953"/>
      <c r="D345" s="1953"/>
      <c r="E345" s="1953"/>
      <c r="F345" s="1953"/>
      <c r="G345" s="1953"/>
      <c r="H345" s="1953"/>
      <c r="I345"/>
      <c r="J345"/>
      <c r="K345"/>
    </row>
    <row r="346" spans="2:11" x14ac:dyDescent="0.35">
      <c r="B346" s="1953"/>
      <c r="C346" s="1953"/>
      <c r="D346" s="1953"/>
      <c r="E346" s="1953"/>
      <c r="F346" s="1953"/>
      <c r="G346" s="1953"/>
      <c r="H346" s="1953"/>
      <c r="I346"/>
      <c r="J346"/>
      <c r="K346"/>
    </row>
    <row r="347" spans="2:11" x14ac:dyDescent="0.35">
      <c r="B347" s="1953"/>
      <c r="C347" s="1953"/>
      <c r="D347" s="1953"/>
      <c r="E347" s="1953"/>
      <c r="F347" s="1953"/>
      <c r="G347" s="1953"/>
      <c r="H347" s="1953"/>
      <c r="I347"/>
      <c r="J347"/>
      <c r="K347"/>
    </row>
    <row r="348" spans="2:11" x14ac:dyDescent="0.35">
      <c r="B348" s="1953"/>
      <c r="C348" s="1953"/>
      <c r="D348" s="1953"/>
      <c r="E348" s="1953"/>
      <c r="F348" s="1953"/>
      <c r="G348" s="1953"/>
      <c r="H348" s="1953"/>
      <c r="I348"/>
      <c r="J348"/>
      <c r="K348"/>
    </row>
    <row r="349" spans="2:11" x14ac:dyDescent="0.35">
      <c r="B349" s="1953"/>
      <c r="C349" s="1953"/>
      <c r="D349" s="1953"/>
      <c r="E349" s="1953"/>
      <c r="F349" s="1953"/>
      <c r="G349" s="1953"/>
      <c r="H349" s="1953"/>
      <c r="I349"/>
      <c r="J349"/>
      <c r="K349"/>
    </row>
    <row r="350" spans="2:11" x14ac:dyDescent="0.35">
      <c r="B350" s="1953"/>
      <c r="C350" s="1953"/>
      <c r="D350" s="1953"/>
      <c r="E350" s="1953"/>
      <c r="F350" s="1953"/>
      <c r="G350" s="1953"/>
      <c r="H350" s="1953"/>
      <c r="I350"/>
      <c r="J350"/>
      <c r="K350"/>
    </row>
    <row r="351" spans="2:11" x14ac:dyDescent="0.35">
      <c r="B351" s="1953"/>
      <c r="C351" s="1953"/>
      <c r="D351" s="1953"/>
      <c r="E351" s="1953"/>
      <c r="F351" s="1953"/>
      <c r="G351" s="1953"/>
      <c r="H351" s="1953"/>
      <c r="I351"/>
      <c r="J351"/>
      <c r="K351"/>
    </row>
    <row r="352" spans="2:11" x14ac:dyDescent="0.35">
      <c r="B352" s="1953"/>
      <c r="C352" s="1953"/>
      <c r="D352" s="1953"/>
      <c r="E352" s="1953"/>
      <c r="F352" s="1953"/>
      <c r="G352" s="1953"/>
      <c r="H352" s="1953"/>
      <c r="I352"/>
      <c r="J352"/>
      <c r="K352"/>
    </row>
    <row r="353" spans="2:11" x14ac:dyDescent="0.35">
      <c r="B353" s="1953"/>
      <c r="C353" s="1953"/>
      <c r="D353" s="1953"/>
      <c r="E353" s="1953"/>
      <c r="F353" s="1953"/>
      <c r="G353" s="1953"/>
      <c r="H353" s="1953"/>
      <c r="I353"/>
      <c r="J353"/>
      <c r="K353"/>
    </row>
    <row r="354" spans="2:11" x14ac:dyDescent="0.35">
      <c r="B354" s="1953"/>
      <c r="C354" s="1953"/>
      <c r="D354" s="1953"/>
      <c r="E354" s="1953"/>
      <c r="F354" s="1953"/>
      <c r="G354" s="1953"/>
      <c r="H354" s="1953"/>
      <c r="I354"/>
      <c r="J354"/>
      <c r="K354"/>
    </row>
    <row r="355" spans="2:11" x14ac:dyDescent="0.35">
      <c r="B355" s="1953"/>
      <c r="C355" s="1953"/>
      <c r="D355" s="1953"/>
      <c r="E355" s="1953"/>
      <c r="F355" s="1953"/>
      <c r="G355" s="1953"/>
      <c r="H355" s="1953"/>
      <c r="I355"/>
      <c r="J355"/>
      <c r="K355"/>
    </row>
    <row r="356" spans="2:11" x14ac:dyDescent="0.35">
      <c r="B356" s="1953"/>
      <c r="C356" s="1953"/>
      <c r="D356" s="1953"/>
      <c r="E356" s="1953"/>
      <c r="F356" s="1953"/>
      <c r="G356" s="1953"/>
      <c r="H356" s="1953"/>
      <c r="I356"/>
      <c r="J356"/>
      <c r="K356"/>
    </row>
    <row r="357" spans="2:11" x14ac:dyDescent="0.35">
      <c r="B357" s="1953"/>
      <c r="C357" s="1953"/>
      <c r="D357" s="1953"/>
      <c r="E357" s="1953"/>
      <c r="F357" s="1953"/>
      <c r="G357" s="1953"/>
      <c r="H357" s="1953"/>
      <c r="I357"/>
      <c r="J357"/>
      <c r="K357"/>
    </row>
    <row r="358" spans="2:11" x14ac:dyDescent="0.35">
      <c r="B358" s="1953"/>
      <c r="C358" s="1953"/>
      <c r="D358" s="1953"/>
      <c r="E358" s="1953"/>
      <c r="F358" s="1953"/>
      <c r="G358" s="1953"/>
      <c r="H358" s="1953"/>
      <c r="I358"/>
      <c r="J358"/>
      <c r="K358"/>
    </row>
    <row r="359" spans="2:11" x14ac:dyDescent="0.35">
      <c r="B359" s="1953"/>
      <c r="C359" s="1953"/>
      <c r="D359" s="1953"/>
      <c r="E359" s="1953"/>
      <c r="F359" s="1953"/>
      <c r="G359" s="1953"/>
      <c r="H359" s="1953"/>
      <c r="I359"/>
      <c r="J359"/>
      <c r="K359"/>
    </row>
    <row r="360" spans="2:11" x14ac:dyDescent="0.35">
      <c r="B360" s="1953"/>
      <c r="C360" s="1953"/>
      <c r="D360" s="1953"/>
      <c r="E360" s="1953"/>
      <c r="F360" s="1953"/>
      <c r="G360" s="1953"/>
      <c r="H360" s="1953"/>
      <c r="I360"/>
      <c r="J360"/>
      <c r="K360"/>
    </row>
    <row r="361" spans="2:11" x14ac:dyDescent="0.35">
      <c r="B361" s="1953"/>
      <c r="C361" s="1953"/>
      <c r="D361" s="1953"/>
      <c r="E361" s="1953"/>
      <c r="F361" s="1953"/>
      <c r="G361" s="1953"/>
      <c r="H361" s="1953"/>
      <c r="I361"/>
      <c r="J361"/>
      <c r="K361"/>
    </row>
    <row r="362" spans="2:11" x14ac:dyDescent="0.35">
      <c r="B362" s="1953"/>
      <c r="C362" s="1953"/>
      <c r="D362" s="1953"/>
      <c r="E362" s="1953"/>
      <c r="F362" s="1953"/>
      <c r="G362" s="1953"/>
      <c r="H362" s="1953"/>
      <c r="I362"/>
      <c r="J362"/>
      <c r="K362"/>
    </row>
    <row r="363" spans="2:11" x14ac:dyDescent="0.35">
      <c r="B363" s="1953"/>
      <c r="C363" s="1953"/>
      <c r="D363" s="1953"/>
      <c r="E363" s="1953"/>
      <c r="F363" s="1953"/>
      <c r="G363" s="1953"/>
      <c r="H363" s="1953"/>
      <c r="I363"/>
      <c r="J363"/>
      <c r="K363"/>
    </row>
    <row r="364" spans="2:11" x14ac:dyDescent="0.35">
      <c r="B364" s="1953"/>
      <c r="C364" s="1953"/>
      <c r="D364" s="1953"/>
      <c r="E364" s="1953"/>
      <c r="F364" s="1953"/>
      <c r="G364" s="1953"/>
      <c r="H364" s="1953"/>
      <c r="I364"/>
      <c r="J364"/>
      <c r="K364"/>
    </row>
    <row r="365" spans="2:11" x14ac:dyDescent="0.35">
      <c r="B365" s="1953"/>
      <c r="C365" s="1953"/>
      <c r="D365" s="1953"/>
      <c r="E365" s="1953"/>
      <c r="F365" s="1953"/>
      <c r="G365" s="1953"/>
      <c r="H365" s="1953"/>
      <c r="I365"/>
      <c r="J365"/>
      <c r="K365"/>
    </row>
    <row r="366" spans="2:11" x14ac:dyDescent="0.35">
      <c r="B366" s="1953"/>
      <c r="C366" s="1953"/>
      <c r="D366" s="1953"/>
      <c r="E366" s="1953"/>
      <c r="F366" s="1953"/>
      <c r="G366" s="1953"/>
      <c r="H366" s="1953"/>
      <c r="I366"/>
      <c r="J366"/>
      <c r="K366"/>
    </row>
    <row r="367" spans="2:11" x14ac:dyDescent="0.35">
      <c r="B367" s="1953"/>
      <c r="C367" s="1953"/>
      <c r="D367" s="1953"/>
      <c r="E367" s="1953"/>
      <c r="F367" s="1953"/>
      <c r="G367" s="1953"/>
      <c r="H367" s="1953"/>
      <c r="I367"/>
      <c r="J367"/>
      <c r="K367"/>
    </row>
    <row r="368" spans="2:11" x14ac:dyDescent="0.35">
      <c r="B368" s="1953"/>
      <c r="C368" s="1953"/>
      <c r="D368" s="1953"/>
      <c r="E368" s="1953"/>
      <c r="F368" s="1953"/>
      <c r="G368" s="1953"/>
      <c r="H368" s="1953"/>
      <c r="I368"/>
      <c r="J368"/>
      <c r="K368"/>
    </row>
    <row r="369" spans="2:11" x14ac:dyDescent="0.35">
      <c r="B369" s="1953"/>
      <c r="C369" s="1953"/>
      <c r="D369" s="1953"/>
      <c r="E369" s="1953"/>
      <c r="F369" s="1953"/>
      <c r="G369" s="1953"/>
      <c r="H369" s="1953"/>
      <c r="I369"/>
      <c r="J369"/>
      <c r="K369"/>
    </row>
    <row r="370" spans="2:11" x14ac:dyDescent="0.35">
      <c r="B370" s="1953"/>
      <c r="C370" s="1953"/>
      <c r="D370" s="1953"/>
      <c r="E370" s="1953"/>
      <c r="F370" s="1953"/>
      <c r="G370" s="1953"/>
      <c r="H370" s="1953"/>
      <c r="I370"/>
      <c r="J370"/>
      <c r="K370"/>
    </row>
    <row r="371" spans="2:11" x14ac:dyDescent="0.35">
      <c r="B371" s="1953"/>
      <c r="C371" s="1953"/>
      <c r="D371" s="1953"/>
      <c r="E371" s="1953"/>
      <c r="F371" s="1953"/>
      <c r="G371" s="1953"/>
      <c r="H371" s="1953"/>
      <c r="I371"/>
      <c r="J371"/>
      <c r="K371"/>
    </row>
    <row r="372" spans="2:11" x14ac:dyDescent="0.35">
      <c r="B372" s="1953"/>
      <c r="C372" s="1953"/>
      <c r="D372" s="1953"/>
      <c r="E372" s="1953"/>
      <c r="F372" s="1953"/>
      <c r="G372" s="1953"/>
      <c r="H372" s="1953"/>
      <c r="I372"/>
      <c r="J372"/>
      <c r="K372"/>
    </row>
    <row r="373" spans="2:11" x14ac:dyDescent="0.35">
      <c r="B373" s="1953"/>
      <c r="C373" s="1953"/>
      <c r="D373" s="1953"/>
      <c r="E373" s="1953"/>
      <c r="F373" s="1953"/>
      <c r="G373" s="1953"/>
      <c r="H373" s="1953"/>
      <c r="I373"/>
      <c r="J373"/>
      <c r="K373"/>
    </row>
    <row r="374" spans="2:11" x14ac:dyDescent="0.35">
      <c r="B374" s="1953"/>
      <c r="C374" s="1953"/>
      <c r="D374" s="1953"/>
      <c r="E374" s="1953"/>
      <c r="F374" s="1953"/>
      <c r="G374" s="1953"/>
      <c r="H374" s="1953"/>
      <c r="I374"/>
      <c r="J374"/>
      <c r="K374"/>
    </row>
    <row r="375" spans="2:11" x14ac:dyDescent="0.35">
      <c r="B375" s="1953"/>
      <c r="C375" s="1953"/>
      <c r="D375" s="1953"/>
      <c r="E375" s="1953"/>
      <c r="F375" s="1953"/>
      <c r="G375" s="1953"/>
      <c r="H375" s="1953"/>
      <c r="I375"/>
      <c r="J375"/>
      <c r="K375"/>
    </row>
    <row r="376" spans="2:11" x14ac:dyDescent="0.35">
      <c r="B376" s="1953"/>
      <c r="C376" s="1953"/>
      <c r="D376" s="1953"/>
      <c r="E376" s="1953"/>
      <c r="F376" s="1953"/>
      <c r="G376" s="1953"/>
      <c r="H376" s="1953"/>
      <c r="I376"/>
      <c r="J376"/>
      <c r="K376"/>
    </row>
    <row r="377" spans="2:11" x14ac:dyDescent="0.35">
      <c r="B377" s="1953"/>
      <c r="C377" s="1953"/>
      <c r="D377" s="1953"/>
      <c r="E377" s="1953"/>
      <c r="F377" s="1953"/>
      <c r="G377" s="1953"/>
      <c r="H377" s="1953"/>
      <c r="I377"/>
      <c r="J377"/>
      <c r="K377"/>
    </row>
    <row r="378" spans="2:11" x14ac:dyDescent="0.35">
      <c r="B378" s="1953"/>
      <c r="C378" s="1953"/>
      <c r="D378" s="1953"/>
      <c r="E378" s="1953"/>
      <c r="F378" s="1953"/>
      <c r="G378" s="1953"/>
      <c r="H378" s="1953"/>
      <c r="I378"/>
      <c r="J378"/>
      <c r="K378"/>
    </row>
    <row r="379" spans="2:11" x14ac:dyDescent="0.35">
      <c r="B379" s="1953"/>
      <c r="C379" s="1953"/>
      <c r="D379" s="1953"/>
      <c r="E379" s="1953"/>
      <c r="F379" s="1953"/>
      <c r="G379" s="1953"/>
      <c r="H379" s="1953"/>
      <c r="I379"/>
      <c r="J379"/>
      <c r="K379"/>
    </row>
    <row r="380" spans="2:11" x14ac:dyDescent="0.35">
      <c r="B380" s="1953"/>
      <c r="C380" s="1953"/>
      <c r="D380" s="1953"/>
      <c r="E380" s="1953"/>
      <c r="F380" s="1953"/>
      <c r="G380" s="1953"/>
      <c r="H380" s="1953"/>
      <c r="I380"/>
      <c r="J380"/>
      <c r="K380"/>
    </row>
    <row r="381" spans="2:11" x14ac:dyDescent="0.35">
      <c r="B381" s="1953"/>
      <c r="C381" s="1953"/>
      <c r="D381" s="1953"/>
      <c r="E381" s="1953"/>
      <c r="F381" s="1953"/>
      <c r="G381" s="1953"/>
      <c r="H381" s="1953"/>
      <c r="I381"/>
      <c r="J381"/>
      <c r="K381"/>
    </row>
    <row r="382" spans="2:11" x14ac:dyDescent="0.35">
      <c r="B382" s="1953"/>
      <c r="C382" s="1953"/>
      <c r="D382" s="1953"/>
      <c r="E382" s="1953"/>
      <c r="F382" s="1953"/>
      <c r="G382" s="1953"/>
      <c r="H382" s="1953"/>
      <c r="I382"/>
      <c r="J382"/>
      <c r="K382"/>
    </row>
    <row r="383" spans="2:11" x14ac:dyDescent="0.35">
      <c r="B383" s="1953"/>
      <c r="C383" s="1953"/>
      <c r="D383" s="1953"/>
      <c r="E383" s="1953"/>
      <c r="F383" s="1953"/>
      <c r="G383" s="1953"/>
      <c r="H383" s="1953"/>
      <c r="I383"/>
      <c r="J383"/>
      <c r="K383"/>
    </row>
    <row r="384" spans="2:11" x14ac:dyDescent="0.35">
      <c r="B384" s="1953"/>
      <c r="C384" s="1953"/>
      <c r="D384" s="1953"/>
      <c r="E384" s="1953"/>
      <c r="F384" s="1953"/>
      <c r="G384" s="1953"/>
      <c r="H384" s="1953"/>
      <c r="I384"/>
      <c r="J384"/>
      <c r="K384"/>
    </row>
    <row r="385" spans="2:11" x14ac:dyDescent="0.35">
      <c r="B385" s="1953"/>
      <c r="C385" s="1953"/>
      <c r="D385" s="1953"/>
      <c r="E385" s="1953"/>
      <c r="F385" s="1953"/>
      <c r="G385" s="1953"/>
      <c r="H385" s="1953"/>
      <c r="I385"/>
      <c r="J385"/>
      <c r="K385"/>
    </row>
    <row r="386" spans="2:11" x14ac:dyDescent="0.35">
      <c r="B386" s="1953"/>
      <c r="C386" s="1953"/>
      <c r="D386" s="1953"/>
      <c r="E386" s="1953"/>
      <c r="F386" s="1953"/>
      <c r="G386" s="1953"/>
      <c r="H386" s="1953"/>
      <c r="I386"/>
      <c r="J386"/>
      <c r="K386"/>
    </row>
    <row r="387" spans="2:11" x14ac:dyDescent="0.35">
      <c r="B387" s="1953"/>
      <c r="C387" s="1953"/>
      <c r="D387" s="1953"/>
      <c r="E387" s="1953"/>
      <c r="F387" s="1953"/>
      <c r="G387" s="1953"/>
      <c r="H387" s="1953"/>
      <c r="I387"/>
      <c r="J387"/>
      <c r="K387"/>
    </row>
    <row r="388" spans="2:11" x14ac:dyDescent="0.35">
      <c r="B388" s="1953"/>
      <c r="C388" s="1953"/>
      <c r="D388" s="1953"/>
      <c r="E388" s="1953"/>
      <c r="F388" s="1953"/>
      <c r="G388" s="1953"/>
      <c r="H388" s="1953"/>
      <c r="I388"/>
      <c r="J388"/>
      <c r="K388"/>
    </row>
    <row r="389" spans="2:11" x14ac:dyDescent="0.35">
      <c r="B389" s="1953"/>
      <c r="C389" s="1953"/>
      <c r="D389" s="1953"/>
      <c r="E389" s="1953"/>
      <c r="F389" s="1953"/>
      <c r="G389" s="1953"/>
      <c r="H389" s="1953"/>
      <c r="I389"/>
      <c r="J389"/>
      <c r="K389"/>
    </row>
    <row r="390" spans="2:11" x14ac:dyDescent="0.35">
      <c r="B390" s="1953"/>
      <c r="C390" s="1953"/>
      <c r="D390" s="1953"/>
      <c r="E390" s="1953"/>
      <c r="F390" s="1953"/>
      <c r="G390" s="1953"/>
      <c r="H390" s="1953"/>
      <c r="I390"/>
      <c r="J390"/>
      <c r="K390"/>
    </row>
    <row r="391" spans="2:11" x14ac:dyDescent="0.35">
      <c r="B391" s="1953"/>
      <c r="C391" s="1953"/>
      <c r="D391" s="1953"/>
      <c r="E391" s="1953"/>
      <c r="F391" s="1953"/>
      <c r="G391" s="1953"/>
      <c r="H391" s="1953"/>
      <c r="I391"/>
      <c r="J391"/>
      <c r="K391"/>
    </row>
    <row r="392" spans="2:11" x14ac:dyDescent="0.35">
      <c r="B392" s="1953"/>
      <c r="C392" s="1953"/>
      <c r="D392" s="1953"/>
      <c r="E392" s="1953"/>
      <c r="F392" s="1953"/>
      <c r="G392" s="1953"/>
      <c r="H392" s="1953"/>
      <c r="I392"/>
      <c r="J392"/>
      <c r="K392"/>
    </row>
    <row r="393" spans="2:11" x14ac:dyDescent="0.35">
      <c r="B393" s="1953"/>
      <c r="C393" s="1953"/>
      <c r="D393" s="1953"/>
      <c r="E393" s="1953"/>
      <c r="F393" s="1953"/>
      <c r="G393" s="1953"/>
      <c r="H393" s="1953"/>
      <c r="I393"/>
      <c r="J393"/>
      <c r="K393"/>
    </row>
    <row r="394" spans="2:11" x14ac:dyDescent="0.35">
      <c r="B394" s="1953"/>
      <c r="C394" s="1953"/>
      <c r="D394" s="1953"/>
      <c r="E394" s="1953"/>
      <c r="F394" s="1953"/>
      <c r="G394" s="1953"/>
      <c r="H394" s="1953"/>
      <c r="I394"/>
      <c r="J394"/>
      <c r="K394"/>
    </row>
    <row r="395" spans="2:11" x14ac:dyDescent="0.35">
      <c r="B395" s="1953"/>
      <c r="C395" s="1953"/>
      <c r="D395" s="1953"/>
      <c r="E395" s="1953"/>
      <c r="F395" s="1953"/>
      <c r="G395" s="1953"/>
      <c r="H395" s="1953"/>
      <c r="I395"/>
      <c r="J395"/>
      <c r="K395"/>
    </row>
    <row r="396" spans="2:11" x14ac:dyDescent="0.35">
      <c r="B396" s="1953"/>
      <c r="C396" s="1953"/>
      <c r="D396" s="1953"/>
      <c r="E396" s="1953"/>
      <c r="F396" s="1953"/>
      <c r="G396" s="1953"/>
      <c r="H396" s="1953"/>
      <c r="I396"/>
      <c r="J396"/>
      <c r="K396"/>
    </row>
    <row r="397" spans="2:11" x14ac:dyDescent="0.35">
      <c r="B397" s="1953"/>
      <c r="C397" s="1953"/>
      <c r="D397" s="1953"/>
      <c r="E397" s="1953"/>
      <c r="F397" s="1953"/>
      <c r="G397" s="1953"/>
      <c r="H397" s="1953"/>
      <c r="I397"/>
      <c r="J397"/>
      <c r="K397"/>
    </row>
    <row r="398" spans="2:11" x14ac:dyDescent="0.35">
      <c r="B398" s="1953"/>
      <c r="C398" s="1953"/>
      <c r="D398" s="1953"/>
      <c r="E398" s="1953"/>
      <c r="F398" s="1953"/>
      <c r="G398" s="1953"/>
      <c r="H398" s="1953"/>
      <c r="I398"/>
      <c r="J398"/>
      <c r="K398"/>
    </row>
    <row r="399" spans="2:11" x14ac:dyDescent="0.35">
      <c r="B399" s="1953"/>
      <c r="C399" s="1953"/>
      <c r="D399" s="1953"/>
      <c r="E399" s="1953"/>
      <c r="F399" s="1953"/>
      <c r="G399" s="1953"/>
      <c r="H399" s="1953"/>
      <c r="I399"/>
      <c r="J399"/>
      <c r="K399"/>
    </row>
    <row r="400" spans="2:11" x14ac:dyDescent="0.35">
      <c r="B400" s="1953"/>
      <c r="C400" s="1953"/>
      <c r="D400" s="1953"/>
      <c r="E400" s="1953"/>
      <c r="F400" s="1953"/>
      <c r="G400" s="1953"/>
      <c r="H400" s="1953"/>
      <c r="I400"/>
      <c r="J400"/>
      <c r="K400"/>
    </row>
    <row r="401" spans="2:11" x14ac:dyDescent="0.35">
      <c r="B401" s="1953"/>
      <c r="C401" s="1953"/>
      <c r="D401" s="1953"/>
      <c r="E401" s="1953"/>
      <c r="F401" s="1953"/>
      <c r="G401" s="1953"/>
      <c r="H401" s="1953"/>
      <c r="I401"/>
      <c r="J401"/>
      <c r="K401"/>
    </row>
    <row r="402" spans="2:11" x14ac:dyDescent="0.35">
      <c r="B402" s="1953"/>
      <c r="C402" s="1953"/>
      <c r="D402" s="1953"/>
      <c r="E402" s="1953"/>
      <c r="F402" s="1953"/>
      <c r="G402" s="1953"/>
      <c r="H402" s="1953"/>
      <c r="I402"/>
      <c r="J402"/>
      <c r="K402"/>
    </row>
    <row r="403" spans="2:11" x14ac:dyDescent="0.35">
      <c r="B403" s="1953"/>
      <c r="C403" s="1953"/>
      <c r="D403" s="1953"/>
      <c r="E403" s="1953"/>
      <c r="F403" s="1953"/>
      <c r="G403" s="1953"/>
      <c r="H403" s="1953"/>
      <c r="I403"/>
      <c r="J403"/>
      <c r="K403"/>
    </row>
    <row r="404" spans="2:11" x14ac:dyDescent="0.35">
      <c r="B404" s="1953"/>
      <c r="C404" s="1953"/>
      <c r="D404" s="1953"/>
      <c r="E404" s="1953"/>
      <c r="F404" s="1953"/>
      <c r="G404" s="1953"/>
      <c r="H404" s="1953"/>
      <c r="I404"/>
      <c r="J404"/>
      <c r="K404"/>
    </row>
    <row r="405" spans="2:11" x14ac:dyDescent="0.35">
      <c r="B405" s="1953"/>
      <c r="C405" s="1953"/>
      <c r="D405" s="1953"/>
      <c r="E405" s="1953"/>
      <c r="F405" s="1953"/>
      <c r="G405" s="1953"/>
      <c r="H405" s="1953"/>
      <c r="I405"/>
      <c r="J405"/>
      <c r="K405"/>
    </row>
    <row r="406" spans="2:11" x14ac:dyDescent="0.35">
      <c r="B406" s="1953"/>
      <c r="C406" s="1953"/>
      <c r="D406" s="1953"/>
      <c r="E406" s="1953"/>
      <c r="F406" s="1953"/>
      <c r="G406" s="1953"/>
      <c r="H406" s="1953"/>
      <c r="I406"/>
      <c r="J406"/>
      <c r="K406"/>
    </row>
    <row r="407" spans="2:11" x14ac:dyDescent="0.35">
      <c r="B407" s="1953"/>
      <c r="C407" s="1953"/>
      <c r="D407" s="1953"/>
      <c r="E407" s="1953"/>
      <c r="F407" s="1953"/>
      <c r="G407" s="1953"/>
      <c r="H407" s="1953"/>
      <c r="I407"/>
      <c r="J407"/>
      <c r="K407"/>
    </row>
    <row r="408" spans="2:11" x14ac:dyDescent="0.35">
      <c r="B408" s="1953"/>
      <c r="C408" s="1953"/>
      <c r="D408" s="1953"/>
      <c r="E408" s="1953"/>
      <c r="F408" s="1953"/>
      <c r="G408" s="1953"/>
      <c r="H408" s="1953"/>
      <c r="I408"/>
      <c r="J408"/>
      <c r="K408"/>
    </row>
    <row r="409" spans="2:11" x14ac:dyDescent="0.35">
      <c r="B409" s="1953"/>
      <c r="C409" s="1953"/>
      <c r="D409" s="1953"/>
      <c r="E409" s="1953"/>
      <c r="F409" s="1953"/>
      <c r="G409" s="1953"/>
      <c r="H409" s="1953"/>
      <c r="I409"/>
      <c r="J409"/>
      <c r="K409"/>
    </row>
    <row r="410" spans="2:11" x14ac:dyDescent="0.35">
      <c r="B410" s="1953"/>
      <c r="C410" s="1953"/>
      <c r="D410" s="1953"/>
      <c r="E410" s="1953"/>
      <c r="F410" s="1953"/>
      <c r="G410" s="1953"/>
      <c r="H410" s="1953"/>
      <c r="I410"/>
      <c r="J410"/>
      <c r="K410"/>
    </row>
    <row r="411" spans="2:11" x14ac:dyDescent="0.35">
      <c r="B411" s="1953"/>
      <c r="C411" s="1953"/>
      <c r="D411" s="1953"/>
      <c r="E411" s="1953"/>
      <c r="F411" s="1953"/>
      <c r="G411" s="1953"/>
      <c r="H411" s="1953"/>
      <c r="I411"/>
      <c r="J411"/>
      <c r="K411"/>
    </row>
    <row r="412" spans="2:11" x14ac:dyDescent="0.35">
      <c r="B412" s="1953"/>
      <c r="C412" s="1953"/>
      <c r="D412" s="1953"/>
      <c r="E412" s="1953"/>
      <c r="F412" s="1953"/>
      <c r="G412" s="1953"/>
      <c r="H412" s="1953"/>
      <c r="I412"/>
      <c r="J412"/>
      <c r="K412"/>
    </row>
    <row r="413" spans="2:11" x14ac:dyDescent="0.35">
      <c r="B413" s="1953"/>
      <c r="C413" s="1953"/>
      <c r="D413" s="1953"/>
      <c r="E413" s="1953"/>
      <c r="F413" s="1953"/>
      <c r="G413" s="1953"/>
      <c r="H413" s="1953"/>
      <c r="I413"/>
      <c r="J413"/>
      <c r="K413"/>
    </row>
    <row r="414" spans="2:11" x14ac:dyDescent="0.35">
      <c r="B414" s="1953"/>
      <c r="C414" s="1953"/>
      <c r="D414" s="1953"/>
      <c r="E414" s="1953"/>
      <c r="F414" s="1953"/>
      <c r="G414" s="1953"/>
      <c r="H414" s="1953"/>
      <c r="I414"/>
      <c r="J414"/>
      <c r="K414"/>
    </row>
    <row r="415" spans="2:11" x14ac:dyDescent="0.35">
      <c r="B415" s="1953"/>
      <c r="C415" s="1953"/>
      <c r="D415" s="1953"/>
      <c r="E415" s="1953"/>
      <c r="F415" s="1953"/>
      <c r="G415" s="1953"/>
      <c r="H415" s="1953"/>
      <c r="I415"/>
      <c r="J415"/>
      <c r="K415"/>
    </row>
    <row r="416" spans="2:11" x14ac:dyDescent="0.35">
      <c r="B416" s="1953"/>
      <c r="C416" s="1953"/>
      <c r="D416" s="1953"/>
      <c r="E416" s="1953"/>
      <c r="F416" s="1953"/>
      <c r="G416" s="1953"/>
      <c r="H416" s="1953"/>
      <c r="I416"/>
      <c r="J416"/>
      <c r="K416"/>
    </row>
    <row r="417" spans="2:11" x14ac:dyDescent="0.35">
      <c r="B417" s="1953"/>
      <c r="C417" s="1953"/>
      <c r="D417" s="1953"/>
      <c r="E417" s="1953"/>
      <c r="F417" s="1953"/>
      <c r="G417" s="1953"/>
      <c r="H417" s="1953"/>
      <c r="I417"/>
      <c r="J417"/>
      <c r="K417"/>
    </row>
    <row r="418" spans="2:11" x14ac:dyDescent="0.35">
      <c r="B418" s="1953"/>
      <c r="C418" s="1953"/>
      <c r="D418" s="1953"/>
      <c r="E418" s="1953"/>
      <c r="F418" s="1953"/>
      <c r="G418" s="1953"/>
      <c r="H418" s="1953"/>
      <c r="I418"/>
      <c r="J418"/>
      <c r="K418"/>
    </row>
    <row r="419" spans="2:11" x14ac:dyDescent="0.35">
      <c r="B419" s="1953"/>
      <c r="C419" s="1953"/>
      <c r="D419" s="1953"/>
      <c r="E419" s="1953"/>
      <c r="F419" s="1953"/>
      <c r="G419" s="1953"/>
      <c r="H419" s="1953"/>
      <c r="I419"/>
      <c r="J419"/>
      <c r="K419"/>
    </row>
    <row r="420" spans="2:11" x14ac:dyDescent="0.35">
      <c r="B420" s="1953"/>
      <c r="C420" s="1953"/>
      <c r="D420" s="1953"/>
      <c r="E420" s="1953"/>
      <c r="F420" s="1953"/>
      <c r="G420" s="1953"/>
      <c r="H420" s="1953"/>
      <c r="I420"/>
      <c r="J420"/>
      <c r="K420"/>
    </row>
    <row r="421" spans="2:11" x14ac:dyDescent="0.35">
      <c r="B421" s="1953"/>
      <c r="C421" s="1953"/>
      <c r="D421" s="1953"/>
      <c r="E421" s="1953"/>
      <c r="F421" s="1953"/>
      <c r="G421" s="1953"/>
      <c r="H421" s="1953"/>
      <c r="I421"/>
      <c r="J421"/>
      <c r="K421"/>
    </row>
    <row r="422" spans="2:11" x14ac:dyDescent="0.35">
      <c r="B422" s="1953"/>
      <c r="C422" s="1953"/>
      <c r="D422" s="1953"/>
      <c r="E422" s="1953"/>
      <c r="F422" s="1953"/>
      <c r="G422" s="1953"/>
      <c r="H422" s="1953"/>
      <c r="I422"/>
      <c r="J422"/>
      <c r="K422"/>
    </row>
    <row r="423" spans="2:11" x14ac:dyDescent="0.35">
      <c r="B423" s="1953"/>
      <c r="C423" s="1953"/>
      <c r="D423" s="1953"/>
      <c r="E423" s="1953"/>
      <c r="F423" s="1953"/>
      <c r="G423" s="1953"/>
      <c r="H423" s="1953"/>
      <c r="I423"/>
      <c r="J423"/>
      <c r="K423"/>
    </row>
    <row r="424" spans="2:11" x14ac:dyDescent="0.35">
      <c r="B424" s="1953"/>
      <c r="C424" s="1953"/>
      <c r="D424" s="1953"/>
      <c r="E424" s="1953"/>
      <c r="F424" s="1953"/>
      <c r="G424" s="1953"/>
      <c r="H424" s="1953"/>
      <c r="I424"/>
      <c r="J424"/>
      <c r="K424"/>
    </row>
    <row r="425" spans="2:11" x14ac:dyDescent="0.35">
      <c r="B425" s="1953"/>
      <c r="C425" s="1953"/>
      <c r="D425" s="1953"/>
      <c r="E425" s="1953"/>
      <c r="F425" s="1953"/>
      <c r="G425" s="1953"/>
      <c r="H425" s="1953"/>
      <c r="I425"/>
      <c r="J425"/>
      <c r="K425"/>
    </row>
    <row r="426" spans="2:11" x14ac:dyDescent="0.35">
      <c r="B426" s="1953"/>
      <c r="C426" s="1953"/>
      <c r="D426" s="1953"/>
      <c r="E426" s="1953"/>
      <c r="F426" s="1953"/>
      <c r="G426" s="1953"/>
      <c r="H426" s="1953"/>
      <c r="I426"/>
      <c r="J426"/>
      <c r="K426"/>
    </row>
    <row r="427" spans="2:11" x14ac:dyDescent="0.35">
      <c r="B427" s="1953"/>
      <c r="C427" s="1953"/>
      <c r="D427" s="1953"/>
      <c r="E427" s="1953"/>
      <c r="F427" s="1953"/>
      <c r="G427" s="1953"/>
      <c r="H427" s="1953"/>
      <c r="I427"/>
      <c r="J427"/>
      <c r="K427"/>
    </row>
    <row r="428" spans="2:11" x14ac:dyDescent="0.35">
      <c r="B428" s="1953"/>
      <c r="C428" s="1953"/>
      <c r="D428" s="1953"/>
      <c r="E428" s="1953"/>
      <c r="F428" s="1953"/>
      <c r="G428" s="1953"/>
      <c r="H428" s="1953"/>
      <c r="I428"/>
      <c r="J428"/>
      <c r="K428"/>
    </row>
    <row r="429" spans="2:11" x14ac:dyDescent="0.35">
      <c r="B429" s="1953"/>
      <c r="C429" s="1953"/>
      <c r="D429" s="1953"/>
      <c r="E429" s="1953"/>
      <c r="F429" s="1953"/>
      <c r="G429" s="1953"/>
      <c r="H429" s="1953"/>
      <c r="I429"/>
      <c r="J429"/>
      <c r="K429"/>
    </row>
    <row r="430" spans="2:11" x14ac:dyDescent="0.35">
      <c r="B430" s="1953"/>
      <c r="C430" s="1953"/>
      <c r="D430" s="1953"/>
      <c r="E430" s="1953"/>
      <c r="F430" s="1953"/>
      <c r="G430" s="1953"/>
      <c r="H430" s="1953"/>
      <c r="I430"/>
      <c r="J430"/>
      <c r="K430"/>
    </row>
    <row r="431" spans="2:11" x14ac:dyDescent="0.35">
      <c r="B431" s="1953"/>
      <c r="C431" s="1953"/>
      <c r="D431" s="1953"/>
      <c r="E431" s="1953"/>
      <c r="F431" s="1953"/>
      <c r="G431" s="1953"/>
      <c r="H431" s="1953"/>
      <c r="I431"/>
      <c r="J431"/>
      <c r="K431"/>
    </row>
    <row r="432" spans="2:11" x14ac:dyDescent="0.35">
      <c r="B432" s="1953"/>
      <c r="C432" s="1953"/>
      <c r="D432" s="1953"/>
      <c r="E432" s="1953"/>
      <c r="F432" s="1953"/>
      <c r="G432" s="1953"/>
      <c r="H432" s="1953"/>
      <c r="I432"/>
      <c r="J432"/>
      <c r="K432"/>
    </row>
    <row r="433" spans="2:11" x14ac:dyDescent="0.35">
      <c r="B433" s="1953"/>
      <c r="C433" s="1953"/>
      <c r="D433" s="1953"/>
      <c r="E433" s="1953"/>
      <c r="F433" s="1953"/>
      <c r="G433" s="1953"/>
      <c r="H433" s="1953"/>
      <c r="I433"/>
      <c r="J433"/>
      <c r="K433"/>
    </row>
    <row r="434" spans="2:11" x14ac:dyDescent="0.35">
      <c r="B434" s="1953"/>
      <c r="C434" s="1953"/>
      <c r="D434" s="1953"/>
      <c r="E434" s="1953"/>
      <c r="F434" s="1953"/>
      <c r="G434" s="1953"/>
      <c r="H434" s="1953"/>
      <c r="I434"/>
      <c r="J434"/>
      <c r="K434"/>
    </row>
    <row r="435" spans="2:11" x14ac:dyDescent="0.35">
      <c r="B435" s="1953"/>
      <c r="C435" s="1953"/>
      <c r="D435" s="1953"/>
      <c r="E435" s="1953"/>
      <c r="F435" s="1953"/>
      <c r="G435" s="1953"/>
      <c r="H435" s="1953"/>
      <c r="I435"/>
      <c r="J435"/>
      <c r="K435"/>
    </row>
    <row r="436" spans="2:11" x14ac:dyDescent="0.35">
      <c r="B436" s="1953"/>
      <c r="C436" s="1953"/>
      <c r="D436" s="1953"/>
      <c r="E436" s="1953"/>
      <c r="F436" s="1953"/>
      <c r="G436" s="1953"/>
      <c r="H436" s="1953"/>
      <c r="I436"/>
      <c r="J436"/>
      <c r="K436"/>
    </row>
    <row r="437" spans="2:11" x14ac:dyDescent="0.35">
      <c r="B437" s="1953"/>
      <c r="C437" s="1953"/>
      <c r="D437" s="1953"/>
      <c r="E437" s="1953"/>
      <c r="F437" s="1953"/>
      <c r="G437" s="1953"/>
      <c r="H437" s="1953"/>
      <c r="I437"/>
      <c r="J437"/>
      <c r="K437"/>
    </row>
    <row r="438" spans="2:11" x14ac:dyDescent="0.35">
      <c r="B438" s="1953"/>
      <c r="C438" s="1953"/>
      <c r="D438" s="1953"/>
      <c r="E438" s="1953"/>
      <c r="F438" s="1953"/>
      <c r="G438" s="1953"/>
      <c r="H438" s="1953"/>
      <c r="I438"/>
      <c r="J438"/>
      <c r="K438"/>
    </row>
    <row r="439" spans="2:11" x14ac:dyDescent="0.35">
      <c r="B439" s="1953"/>
      <c r="C439" s="1953"/>
      <c r="D439" s="1953"/>
      <c r="E439" s="1953"/>
      <c r="F439" s="1953"/>
      <c r="G439" s="1953"/>
      <c r="H439" s="1953"/>
      <c r="I439"/>
      <c r="J439"/>
      <c r="K439"/>
    </row>
    <row r="440" spans="2:11" x14ac:dyDescent="0.35">
      <c r="B440" s="1953"/>
      <c r="C440" s="1953"/>
      <c r="D440" s="1953"/>
      <c r="E440" s="1953"/>
      <c r="F440" s="1953"/>
      <c r="G440" s="1953"/>
      <c r="H440" s="1953"/>
      <c r="I440"/>
      <c r="J440"/>
      <c r="K440"/>
    </row>
    <row r="441" spans="2:11" x14ac:dyDescent="0.35">
      <c r="B441" s="1953"/>
      <c r="C441" s="1953"/>
      <c r="D441" s="1953"/>
      <c r="E441" s="1953"/>
      <c r="F441" s="1953"/>
      <c r="G441" s="1953"/>
      <c r="H441" s="1953"/>
      <c r="I441"/>
      <c r="J441"/>
      <c r="K441"/>
    </row>
    <row r="442" spans="2:11" x14ac:dyDescent="0.35">
      <c r="B442" s="1953"/>
      <c r="C442" s="1953"/>
      <c r="D442" s="1953"/>
      <c r="E442" s="1953"/>
      <c r="F442" s="1953"/>
      <c r="G442" s="1953"/>
      <c r="H442" s="1953"/>
      <c r="I442"/>
      <c r="J442"/>
      <c r="K442"/>
    </row>
    <row r="443" spans="2:11" x14ac:dyDescent="0.35">
      <c r="B443" s="1953"/>
      <c r="C443" s="1953"/>
      <c r="D443" s="1953"/>
      <c r="E443" s="1953"/>
      <c r="F443" s="1953"/>
      <c r="G443" s="1953"/>
      <c r="H443" s="1953"/>
      <c r="I443"/>
      <c r="J443"/>
      <c r="K443"/>
    </row>
    <row r="444" spans="2:11" x14ac:dyDescent="0.35">
      <c r="B444" s="1953"/>
      <c r="C444" s="1953"/>
      <c r="D444" s="1953"/>
      <c r="E444" s="1953"/>
      <c r="F444" s="1953"/>
      <c r="G444" s="1953"/>
      <c r="H444" s="1953"/>
      <c r="I444"/>
      <c r="J444"/>
      <c r="K444"/>
    </row>
    <row r="445" spans="2:11" x14ac:dyDescent="0.35">
      <c r="B445" s="1953"/>
      <c r="C445" s="1953"/>
      <c r="D445" s="1953"/>
      <c r="E445" s="1953"/>
      <c r="F445" s="1953"/>
      <c r="G445" s="1953"/>
      <c r="H445" s="1953"/>
      <c r="I445"/>
      <c r="J445"/>
      <c r="K445"/>
    </row>
    <row r="446" spans="2:11" x14ac:dyDescent="0.35">
      <c r="B446" s="1953"/>
      <c r="C446" s="1953"/>
      <c r="D446" s="1953"/>
      <c r="E446" s="1953"/>
      <c r="F446" s="1953"/>
      <c r="G446" s="1953"/>
      <c r="H446" s="1953"/>
      <c r="I446"/>
      <c r="J446"/>
      <c r="K446"/>
    </row>
    <row r="447" spans="2:11" x14ac:dyDescent="0.35">
      <c r="B447" s="1953"/>
      <c r="C447" s="1953"/>
      <c r="D447" s="1953"/>
      <c r="E447" s="1953"/>
      <c r="F447" s="1953"/>
      <c r="G447" s="1953"/>
      <c r="H447" s="1953"/>
      <c r="I447"/>
      <c r="J447"/>
      <c r="K447"/>
    </row>
    <row r="448" spans="2:11" x14ac:dyDescent="0.35">
      <c r="B448" s="1953"/>
      <c r="C448" s="1953"/>
      <c r="D448" s="1953"/>
      <c r="E448" s="1953"/>
      <c r="F448" s="1953"/>
      <c r="G448" s="1953"/>
      <c r="H448" s="1953"/>
      <c r="I448"/>
      <c r="J448"/>
      <c r="K448"/>
    </row>
    <row r="449" spans="2:11" x14ac:dyDescent="0.35">
      <c r="B449" s="1953"/>
      <c r="C449" s="1953"/>
      <c r="D449" s="1953"/>
      <c r="E449" s="1953"/>
      <c r="F449" s="1953"/>
      <c r="G449" s="1953"/>
      <c r="H449" s="1953"/>
      <c r="I449"/>
      <c r="J449"/>
      <c r="K449"/>
    </row>
    <row r="450" spans="2:11" x14ac:dyDescent="0.35">
      <c r="B450" s="1953"/>
      <c r="C450" s="1953"/>
      <c r="D450" s="1953"/>
      <c r="E450" s="1953"/>
      <c r="F450" s="1953"/>
      <c r="G450" s="1953"/>
      <c r="H450" s="1953"/>
      <c r="I450"/>
      <c r="J450"/>
      <c r="K450"/>
    </row>
    <row r="451" spans="2:11" x14ac:dyDescent="0.35">
      <c r="B451" s="1953"/>
      <c r="C451" s="1953"/>
      <c r="D451" s="1953"/>
      <c r="E451" s="1953"/>
      <c r="F451" s="1953"/>
      <c r="G451" s="1953"/>
      <c r="H451" s="1953"/>
      <c r="I451"/>
      <c r="J451"/>
      <c r="K451"/>
    </row>
    <row r="452" spans="2:11" x14ac:dyDescent="0.35">
      <c r="B452" s="1953"/>
      <c r="C452" s="1953"/>
      <c r="D452" s="1953"/>
      <c r="E452" s="1953"/>
      <c r="F452" s="1953"/>
      <c r="G452" s="1953"/>
      <c r="H452" s="1953"/>
      <c r="I452"/>
      <c r="J452"/>
      <c r="K452"/>
    </row>
    <row r="453" spans="2:11" x14ac:dyDescent="0.35">
      <c r="B453" s="1953"/>
      <c r="C453" s="1953"/>
      <c r="D453" s="1953"/>
      <c r="E453" s="1953"/>
      <c r="F453" s="1953"/>
      <c r="G453" s="1953"/>
      <c r="H453" s="1953"/>
      <c r="I453"/>
      <c r="J453"/>
      <c r="K453"/>
    </row>
    <row r="454" spans="2:11" x14ac:dyDescent="0.35">
      <c r="B454" s="1953"/>
      <c r="C454" s="1953"/>
      <c r="D454" s="1953"/>
      <c r="E454" s="1953"/>
      <c r="F454" s="1953"/>
      <c r="G454" s="1953"/>
      <c r="H454" s="1953"/>
      <c r="I454"/>
      <c r="J454"/>
      <c r="K454"/>
    </row>
    <row r="455" spans="2:11" x14ac:dyDescent="0.35">
      <c r="B455" s="1953"/>
      <c r="C455" s="1953"/>
      <c r="D455" s="1953"/>
      <c r="E455" s="1953"/>
      <c r="F455" s="1953"/>
      <c r="G455" s="1953"/>
      <c r="H455" s="1953"/>
      <c r="I455"/>
      <c r="J455"/>
      <c r="K455"/>
    </row>
    <row r="456" spans="2:11" x14ac:dyDescent="0.35">
      <c r="B456" s="1953"/>
      <c r="C456" s="1953"/>
      <c r="D456" s="1953"/>
      <c r="E456" s="1953"/>
      <c r="F456" s="1953"/>
      <c r="G456" s="1953"/>
      <c r="H456" s="1953"/>
      <c r="I456"/>
      <c r="J456"/>
      <c r="K456"/>
    </row>
    <row r="457" spans="2:11" x14ac:dyDescent="0.35">
      <c r="B457" s="1953"/>
      <c r="C457" s="1953"/>
      <c r="D457" s="1953"/>
      <c r="E457" s="1953"/>
      <c r="F457" s="1953"/>
      <c r="G457" s="1953"/>
      <c r="H457" s="1953"/>
      <c r="I457"/>
      <c r="J457"/>
      <c r="K457"/>
    </row>
    <row r="458" spans="2:11" x14ac:dyDescent="0.35">
      <c r="B458" s="1953"/>
      <c r="C458" s="1953"/>
      <c r="D458" s="1953"/>
      <c r="E458" s="1953"/>
      <c r="F458" s="1953"/>
      <c r="G458" s="1953"/>
      <c r="H458" s="1953"/>
      <c r="I458"/>
      <c r="J458"/>
      <c r="K458"/>
    </row>
    <row r="459" spans="2:11" x14ac:dyDescent="0.35">
      <c r="B459" s="1953"/>
      <c r="C459" s="1953"/>
      <c r="D459" s="1953"/>
      <c r="E459" s="1953"/>
      <c r="F459" s="1953"/>
      <c r="G459" s="1953"/>
      <c r="H459" s="1953"/>
      <c r="I459"/>
      <c r="J459"/>
      <c r="K459"/>
    </row>
    <row r="460" spans="2:11" x14ac:dyDescent="0.35">
      <c r="B460" s="1953"/>
      <c r="C460" s="1953"/>
      <c r="D460" s="1953"/>
      <c r="E460" s="1953"/>
      <c r="F460" s="1953"/>
      <c r="G460" s="1953"/>
      <c r="H460" s="1953"/>
      <c r="I460"/>
      <c r="J460"/>
      <c r="K460"/>
    </row>
    <row r="461" spans="2:11" x14ac:dyDescent="0.35">
      <c r="B461" s="1953"/>
      <c r="C461" s="1953"/>
      <c r="D461" s="1953"/>
      <c r="E461" s="1953"/>
      <c r="F461" s="1953"/>
      <c r="G461" s="1953"/>
      <c r="H461" s="1953"/>
      <c r="I461"/>
      <c r="J461"/>
      <c r="K461"/>
    </row>
    <row r="462" spans="2:11" x14ac:dyDescent="0.35">
      <c r="B462" s="1953"/>
      <c r="C462" s="1953"/>
      <c r="D462" s="1953"/>
      <c r="E462" s="1953"/>
      <c r="F462" s="1953"/>
      <c r="G462" s="1953"/>
      <c r="H462" s="1953"/>
      <c r="I462"/>
      <c r="J462"/>
      <c r="K462"/>
    </row>
    <row r="463" spans="2:11" x14ac:dyDescent="0.35">
      <c r="B463" s="1953"/>
      <c r="C463" s="1953"/>
      <c r="D463" s="1953"/>
      <c r="E463" s="1953"/>
      <c r="F463" s="1953"/>
      <c r="G463" s="1953"/>
      <c r="H463" s="1953"/>
      <c r="I463"/>
      <c r="J463"/>
      <c r="K463"/>
    </row>
    <row r="464" spans="2:11" x14ac:dyDescent="0.35">
      <c r="B464" s="1953"/>
      <c r="C464" s="1953"/>
      <c r="D464" s="1953"/>
      <c r="E464" s="1953"/>
      <c r="F464" s="1953"/>
      <c r="G464" s="1953"/>
      <c r="H464" s="1953"/>
      <c r="I464"/>
      <c r="J464"/>
      <c r="K464"/>
    </row>
    <row r="465" spans="2:11" x14ac:dyDescent="0.35">
      <c r="B465" s="1953"/>
      <c r="C465" s="1953"/>
      <c r="D465" s="1953"/>
      <c r="E465" s="1953"/>
      <c r="F465" s="1953"/>
      <c r="G465" s="1953"/>
      <c r="H465" s="1953"/>
      <c r="I465"/>
      <c r="J465"/>
      <c r="K465"/>
    </row>
    <row r="466" spans="2:11" x14ac:dyDescent="0.35">
      <c r="B466" s="1953"/>
      <c r="C466" s="1953"/>
      <c r="D466" s="1953"/>
      <c r="E466" s="1953"/>
      <c r="F466" s="1953"/>
      <c r="G466" s="1953"/>
      <c r="H466" s="1953"/>
      <c r="I466"/>
      <c r="J466"/>
      <c r="K466"/>
    </row>
    <row r="467" spans="2:11" x14ac:dyDescent="0.35">
      <c r="B467" s="1953"/>
      <c r="C467" s="1953"/>
      <c r="D467" s="1953"/>
      <c r="E467" s="1953"/>
      <c r="F467" s="1953"/>
      <c r="G467" s="1953"/>
      <c r="H467" s="1953"/>
      <c r="I467"/>
      <c r="J467"/>
      <c r="K467"/>
    </row>
    <row r="468" spans="2:11" x14ac:dyDescent="0.35">
      <c r="B468" s="1953"/>
      <c r="C468" s="1953"/>
      <c r="D468" s="1953"/>
      <c r="E468" s="1953"/>
      <c r="F468" s="1953"/>
      <c r="G468" s="1953"/>
      <c r="H468" s="1953"/>
      <c r="I468"/>
      <c r="J468"/>
      <c r="K468"/>
    </row>
    <row r="469" spans="2:11" x14ac:dyDescent="0.35">
      <c r="B469" s="1953"/>
      <c r="C469" s="1953"/>
      <c r="D469" s="1953"/>
      <c r="E469" s="1953"/>
      <c r="F469" s="1953"/>
      <c r="G469" s="1953"/>
      <c r="H469" s="1953"/>
      <c r="I469"/>
      <c r="J469"/>
      <c r="K469"/>
    </row>
    <row r="470" spans="2:11" x14ac:dyDescent="0.35">
      <c r="B470" s="1953"/>
      <c r="C470" s="1953"/>
      <c r="D470" s="1953"/>
      <c r="E470" s="1953"/>
      <c r="F470" s="1953"/>
      <c r="G470" s="1953"/>
      <c r="H470" s="1953"/>
      <c r="I470"/>
      <c r="J470"/>
      <c r="K470"/>
    </row>
    <row r="471" spans="2:11" x14ac:dyDescent="0.35">
      <c r="B471" s="1953"/>
      <c r="C471" s="1953"/>
      <c r="D471" s="1953"/>
      <c r="E471" s="1953"/>
      <c r="F471" s="1953"/>
      <c r="G471" s="1953"/>
      <c r="H471" s="1953"/>
      <c r="I471"/>
      <c r="J471"/>
      <c r="K471"/>
    </row>
    <row r="472" spans="2:11" x14ac:dyDescent="0.35">
      <c r="B472" s="1953"/>
      <c r="C472" s="1953"/>
      <c r="D472" s="1953"/>
      <c r="E472" s="1953"/>
      <c r="F472" s="1953"/>
      <c r="G472" s="1953"/>
      <c r="H472" s="1953"/>
      <c r="I472"/>
      <c r="J472"/>
      <c r="K472"/>
    </row>
    <row r="473" spans="2:11" x14ac:dyDescent="0.35">
      <c r="B473" s="1953"/>
      <c r="C473" s="1953"/>
      <c r="D473" s="1953"/>
      <c r="E473" s="1953"/>
      <c r="F473" s="1953"/>
      <c r="G473" s="1953"/>
      <c r="H473" s="1953"/>
      <c r="I473"/>
      <c r="J473"/>
      <c r="K473"/>
    </row>
    <row r="474" spans="2:11" x14ac:dyDescent="0.35">
      <c r="B474" s="1953"/>
      <c r="C474" s="1953"/>
      <c r="D474" s="1953"/>
      <c r="E474" s="1953"/>
      <c r="F474" s="1953"/>
      <c r="G474" s="1953"/>
      <c r="H474" s="1953"/>
      <c r="I474"/>
      <c r="J474"/>
      <c r="K474"/>
    </row>
    <row r="475" spans="2:11" x14ac:dyDescent="0.35">
      <c r="B475" s="1953"/>
      <c r="C475" s="1953"/>
      <c r="D475" s="1953"/>
      <c r="E475" s="1953"/>
      <c r="F475" s="1953"/>
      <c r="G475" s="1953"/>
      <c r="H475" s="1953"/>
      <c r="I475"/>
      <c r="J475"/>
      <c r="K475"/>
    </row>
    <row r="476" spans="2:11" x14ac:dyDescent="0.35">
      <c r="B476" s="1953"/>
      <c r="C476" s="1953"/>
      <c r="D476" s="1953"/>
      <c r="E476" s="1953"/>
      <c r="F476" s="1953"/>
      <c r="G476" s="1953"/>
      <c r="H476" s="1953"/>
      <c r="I476"/>
      <c r="J476"/>
      <c r="K476"/>
    </row>
    <row r="477" spans="2:11" x14ac:dyDescent="0.35">
      <c r="B477" s="1953"/>
      <c r="C477" s="1953"/>
      <c r="D477" s="1953"/>
      <c r="E477" s="1953"/>
      <c r="F477" s="1953"/>
      <c r="G477" s="1953"/>
      <c r="H477" s="1953"/>
      <c r="I477"/>
      <c r="J477"/>
      <c r="K477"/>
    </row>
    <row r="478" spans="2:11" x14ac:dyDescent="0.35">
      <c r="B478" s="1953"/>
      <c r="C478" s="1953"/>
      <c r="D478" s="1953"/>
      <c r="E478" s="1953"/>
      <c r="F478" s="1953"/>
      <c r="G478" s="1953"/>
      <c r="H478" s="1953"/>
      <c r="I478"/>
      <c r="J478"/>
      <c r="K478"/>
    </row>
    <row r="479" spans="2:11" x14ac:dyDescent="0.35">
      <c r="B479" s="1953"/>
      <c r="C479" s="1953"/>
      <c r="D479" s="1953"/>
      <c r="E479" s="1953"/>
      <c r="F479" s="1953"/>
      <c r="G479" s="1953"/>
      <c r="H479" s="1953"/>
      <c r="I479"/>
      <c r="J479"/>
      <c r="K479"/>
    </row>
    <row r="480" spans="2:11" x14ac:dyDescent="0.35">
      <c r="B480" s="1953"/>
      <c r="C480" s="1953"/>
      <c r="D480" s="1953"/>
      <c r="E480" s="1953"/>
      <c r="F480" s="1953"/>
      <c r="G480" s="1953"/>
      <c r="H480" s="1953"/>
      <c r="I480"/>
      <c r="J480"/>
      <c r="K480"/>
    </row>
    <row r="481" spans="2:11" x14ac:dyDescent="0.35">
      <c r="B481" s="1953"/>
      <c r="C481" s="1953"/>
      <c r="D481" s="1953"/>
      <c r="E481" s="1953"/>
      <c r="F481" s="1953"/>
      <c r="G481" s="1953"/>
      <c r="H481" s="1953"/>
      <c r="I481"/>
      <c r="J481"/>
      <c r="K481"/>
    </row>
    <row r="482" spans="2:11" x14ac:dyDescent="0.35">
      <c r="B482" s="1953"/>
      <c r="C482" s="1953"/>
      <c r="D482" s="1953"/>
      <c r="E482" s="1953"/>
      <c r="F482" s="1953"/>
      <c r="G482" s="1953"/>
      <c r="H482" s="1953"/>
      <c r="I482"/>
      <c r="J482"/>
      <c r="K482"/>
    </row>
    <row r="483" spans="2:11" x14ac:dyDescent="0.35">
      <c r="B483" s="1953"/>
      <c r="C483" s="1953"/>
      <c r="D483" s="1953"/>
      <c r="E483" s="1953"/>
      <c r="F483" s="1953"/>
      <c r="G483" s="1953"/>
      <c r="H483" s="1953"/>
      <c r="I483"/>
      <c r="J483"/>
      <c r="K483"/>
    </row>
    <row r="484" spans="2:11" x14ac:dyDescent="0.35">
      <c r="B484" s="1953"/>
      <c r="C484" s="1953"/>
      <c r="D484" s="1953"/>
      <c r="E484" s="1953"/>
      <c r="F484" s="1953"/>
      <c r="G484" s="1953"/>
      <c r="H484" s="1953"/>
      <c r="I484"/>
      <c r="J484"/>
      <c r="K484"/>
    </row>
    <row r="485" spans="2:11" x14ac:dyDescent="0.35">
      <c r="B485" s="1953"/>
      <c r="C485" s="1953"/>
      <c r="D485" s="1953"/>
      <c r="E485" s="1953"/>
      <c r="F485" s="1953"/>
      <c r="G485" s="1953"/>
      <c r="H485" s="1953"/>
      <c r="I485"/>
      <c r="J485"/>
      <c r="K485"/>
    </row>
    <row r="486" spans="2:11" x14ac:dyDescent="0.35">
      <c r="B486" s="1953"/>
      <c r="C486" s="1953"/>
      <c r="D486" s="1953"/>
      <c r="E486" s="1953"/>
      <c r="F486" s="1953"/>
      <c r="G486" s="1953"/>
      <c r="H486" s="1953"/>
      <c r="I486"/>
      <c r="J486"/>
      <c r="K486"/>
    </row>
    <row r="487" spans="2:11" x14ac:dyDescent="0.35">
      <c r="B487" s="1953"/>
      <c r="C487" s="1953"/>
      <c r="D487" s="1953"/>
      <c r="E487" s="1953"/>
      <c r="F487" s="1953"/>
      <c r="G487" s="1953"/>
      <c r="H487" s="1953"/>
      <c r="I487"/>
      <c r="J487"/>
      <c r="K487"/>
    </row>
    <row r="488" spans="2:11" x14ac:dyDescent="0.35">
      <c r="B488" s="1953"/>
      <c r="C488" s="1953"/>
      <c r="D488" s="1953"/>
      <c r="E488" s="1953"/>
      <c r="F488" s="1953"/>
      <c r="G488" s="1953"/>
      <c r="H488" s="1953"/>
      <c r="I488"/>
      <c r="J488"/>
      <c r="K488"/>
    </row>
    <row r="489" spans="2:11" x14ac:dyDescent="0.35">
      <c r="B489" s="1953"/>
      <c r="C489" s="1953"/>
      <c r="D489" s="1953"/>
      <c r="E489" s="1953"/>
      <c r="F489" s="1953"/>
      <c r="G489" s="1953"/>
      <c r="H489" s="1953"/>
      <c r="I489"/>
      <c r="J489"/>
      <c r="K489"/>
    </row>
    <row r="490" spans="2:11" x14ac:dyDescent="0.35">
      <c r="B490" s="1953"/>
      <c r="C490" s="1953"/>
      <c r="D490" s="1953"/>
      <c r="E490" s="1953"/>
      <c r="F490" s="1953"/>
      <c r="G490" s="1953"/>
      <c r="H490" s="1953"/>
      <c r="I490"/>
      <c r="J490"/>
      <c r="K490"/>
    </row>
    <row r="491" spans="2:11" x14ac:dyDescent="0.35">
      <c r="B491" s="1953"/>
      <c r="C491" s="1953"/>
      <c r="D491" s="1953"/>
      <c r="E491" s="1953"/>
      <c r="F491" s="1953"/>
      <c r="G491" s="1953"/>
      <c r="H491" s="1953"/>
      <c r="I491"/>
      <c r="J491"/>
      <c r="K491"/>
    </row>
    <row r="492" spans="2:11" x14ac:dyDescent="0.35">
      <c r="B492" s="1953"/>
      <c r="C492" s="1953"/>
      <c r="D492" s="1953"/>
      <c r="E492" s="1953"/>
      <c r="F492" s="1953"/>
      <c r="G492" s="1953"/>
      <c r="H492" s="1953"/>
      <c r="I492"/>
      <c r="J492"/>
      <c r="K492"/>
    </row>
    <row r="493" spans="2:11" x14ac:dyDescent="0.35">
      <c r="B493" s="1953"/>
      <c r="C493" s="1953"/>
      <c r="D493" s="1953"/>
      <c r="E493" s="1953"/>
      <c r="F493" s="1953"/>
      <c r="G493" s="1953"/>
      <c r="H493" s="1953"/>
      <c r="I493"/>
      <c r="J493"/>
      <c r="K493"/>
    </row>
    <row r="494" spans="2:11" x14ac:dyDescent="0.35">
      <c r="B494" s="1953"/>
      <c r="C494" s="1953"/>
      <c r="D494" s="1953"/>
      <c r="E494" s="1953"/>
      <c r="F494" s="1953"/>
      <c r="G494" s="1953"/>
      <c r="H494" s="1953"/>
      <c r="I494"/>
      <c r="J494"/>
      <c r="K494"/>
    </row>
    <row r="495" spans="2:11" x14ac:dyDescent="0.35">
      <c r="B495" s="1953"/>
      <c r="C495" s="1953"/>
      <c r="D495" s="1953"/>
      <c r="E495" s="1953"/>
      <c r="F495" s="1953"/>
      <c r="G495" s="1953"/>
      <c r="H495" s="1953"/>
      <c r="I495"/>
      <c r="J495"/>
      <c r="K495"/>
    </row>
    <row r="496" spans="2:11" x14ac:dyDescent="0.35">
      <c r="B496" s="1953"/>
      <c r="C496" s="1953"/>
      <c r="D496" s="1953"/>
      <c r="E496" s="1953"/>
      <c r="F496" s="1953"/>
      <c r="G496" s="1953"/>
      <c r="H496" s="1953"/>
      <c r="I496"/>
      <c r="J496"/>
      <c r="K496"/>
    </row>
    <row r="497" spans="2:11" x14ac:dyDescent="0.35">
      <c r="B497" s="1953"/>
      <c r="C497" s="1953"/>
      <c r="D497" s="1953"/>
      <c r="E497" s="1953"/>
      <c r="F497" s="1953"/>
      <c r="G497" s="1953"/>
      <c r="H497" s="1953"/>
      <c r="I497"/>
      <c r="J497"/>
      <c r="K497"/>
    </row>
    <row r="498" spans="2:11" x14ac:dyDescent="0.35">
      <c r="B498" s="1953"/>
      <c r="C498" s="1953"/>
      <c r="D498" s="1953"/>
      <c r="E498" s="1953"/>
      <c r="F498" s="1953"/>
      <c r="G498" s="1953"/>
      <c r="H498" s="1953"/>
      <c r="I498"/>
      <c r="J498"/>
      <c r="K498"/>
    </row>
    <row r="499" spans="2:11" x14ac:dyDescent="0.35">
      <c r="B499" s="1953"/>
      <c r="C499" s="1953"/>
      <c r="D499" s="1953"/>
      <c r="E499" s="1953"/>
      <c r="F499" s="1953"/>
      <c r="G499" s="1953"/>
      <c r="H499" s="1953"/>
      <c r="I499"/>
      <c r="J499"/>
      <c r="K499"/>
    </row>
    <row r="500" spans="2:11" x14ac:dyDescent="0.35">
      <c r="B500" s="1953"/>
      <c r="C500" s="1953"/>
      <c r="D500" s="1953"/>
      <c r="E500" s="1953"/>
      <c r="F500" s="1953"/>
      <c r="G500" s="1953"/>
      <c r="H500" s="1953"/>
      <c r="I500"/>
      <c r="J500"/>
      <c r="K500"/>
    </row>
    <row r="501" spans="2:11" x14ac:dyDescent="0.35">
      <c r="B501" s="1953"/>
      <c r="C501" s="1953"/>
      <c r="D501" s="1953"/>
      <c r="E501" s="1953"/>
      <c r="F501" s="1953"/>
      <c r="G501" s="1953"/>
      <c r="H501" s="1953"/>
      <c r="I501"/>
      <c r="J501"/>
      <c r="K501"/>
    </row>
    <row r="502" spans="2:11" x14ac:dyDescent="0.35">
      <c r="B502" s="1953"/>
      <c r="C502" s="1953"/>
      <c r="D502" s="1953"/>
      <c r="E502" s="1953"/>
      <c r="F502" s="1953"/>
      <c r="G502" s="1953"/>
      <c r="H502" s="1953"/>
      <c r="I502"/>
      <c r="J502"/>
      <c r="K502"/>
    </row>
    <row r="503" spans="2:11" x14ac:dyDescent="0.35">
      <c r="B503" s="1953"/>
      <c r="C503" s="1953"/>
      <c r="D503" s="1953"/>
      <c r="E503" s="1953"/>
      <c r="F503" s="1953"/>
      <c r="G503" s="1953"/>
      <c r="H503" s="1953"/>
      <c r="I503"/>
      <c r="J503"/>
      <c r="K503"/>
    </row>
    <row r="504" spans="2:11" x14ac:dyDescent="0.35">
      <c r="B504" s="1953"/>
      <c r="C504" s="1953"/>
      <c r="D504" s="1953"/>
      <c r="E504" s="1953"/>
      <c r="F504" s="1953"/>
      <c r="G504" s="1953"/>
      <c r="H504" s="1953"/>
      <c r="I504"/>
      <c r="J504"/>
      <c r="K504"/>
    </row>
    <row r="505" spans="2:11" x14ac:dyDescent="0.35">
      <c r="B505" s="1953"/>
      <c r="C505" s="1953"/>
      <c r="D505" s="1953"/>
      <c r="E505" s="1953"/>
      <c r="F505" s="1953"/>
      <c r="G505" s="1953"/>
      <c r="H505" s="1953"/>
      <c r="I505"/>
      <c r="J505"/>
      <c r="K505"/>
    </row>
    <row r="506" spans="2:11" x14ac:dyDescent="0.35">
      <c r="B506" s="1953"/>
      <c r="C506" s="1953"/>
      <c r="D506" s="1953"/>
      <c r="E506" s="1953"/>
      <c r="F506" s="1953"/>
      <c r="G506" s="1953"/>
      <c r="H506" s="1953"/>
      <c r="I506"/>
      <c r="J506"/>
      <c r="K506"/>
    </row>
    <row r="507" spans="2:11" x14ac:dyDescent="0.35">
      <c r="B507" s="1953"/>
      <c r="C507" s="1953"/>
      <c r="D507" s="1953"/>
      <c r="E507" s="1953"/>
      <c r="F507" s="1953"/>
      <c r="G507" s="1953"/>
      <c r="H507" s="1953"/>
      <c r="I507"/>
      <c r="J507"/>
      <c r="K507"/>
    </row>
    <row r="508" spans="2:11" x14ac:dyDescent="0.35">
      <c r="B508" s="1953"/>
      <c r="C508" s="1953"/>
      <c r="D508" s="1953"/>
      <c r="E508" s="1953"/>
      <c r="F508" s="1953"/>
      <c r="G508" s="1953"/>
      <c r="H508" s="1953"/>
      <c r="I508"/>
      <c r="J508"/>
      <c r="K508"/>
    </row>
    <row r="509" spans="2:11" x14ac:dyDescent="0.35">
      <c r="B509" s="1953"/>
      <c r="C509" s="1953"/>
      <c r="D509" s="1953"/>
      <c r="E509" s="1953"/>
      <c r="F509" s="1953"/>
      <c r="G509" s="1953"/>
      <c r="H509" s="1953"/>
      <c r="I509"/>
      <c r="J509"/>
      <c r="K509"/>
    </row>
    <row r="510" spans="2:11" x14ac:dyDescent="0.35">
      <c r="B510" s="1953"/>
      <c r="C510" s="1953"/>
      <c r="D510" s="1953"/>
      <c r="E510" s="1953"/>
      <c r="F510" s="1953"/>
      <c r="G510" s="1953"/>
      <c r="H510" s="1953"/>
      <c r="I510"/>
      <c r="J510"/>
      <c r="K510"/>
    </row>
    <row r="511" spans="2:11" x14ac:dyDescent="0.35">
      <c r="B511" s="1953"/>
      <c r="C511" s="1953"/>
      <c r="D511" s="1953"/>
      <c r="E511" s="1953"/>
      <c r="F511" s="1953"/>
      <c r="G511" s="1953"/>
      <c r="H511" s="1953"/>
      <c r="I511"/>
      <c r="J511"/>
      <c r="K511"/>
    </row>
    <row r="512" spans="2:11" x14ac:dyDescent="0.35">
      <c r="B512" s="1953"/>
      <c r="C512" s="1953"/>
      <c r="D512" s="1953"/>
      <c r="E512" s="1953"/>
      <c r="F512" s="1953"/>
      <c r="G512" s="1953"/>
      <c r="H512" s="1953"/>
      <c r="I512"/>
      <c r="J512"/>
      <c r="K512"/>
    </row>
    <row r="513" spans="2:11" x14ac:dyDescent="0.35">
      <c r="B513" s="1953"/>
      <c r="C513" s="1953"/>
      <c r="D513" s="1953"/>
      <c r="E513" s="1953"/>
      <c r="F513" s="1953"/>
      <c r="G513" s="1953"/>
      <c r="H513" s="1953"/>
      <c r="I513"/>
      <c r="J513"/>
      <c r="K513"/>
    </row>
    <row r="514" spans="2:11" x14ac:dyDescent="0.35">
      <c r="B514" s="1953"/>
      <c r="C514" s="1953"/>
      <c r="D514" s="1953"/>
      <c r="E514" s="1953"/>
      <c r="F514" s="1953"/>
      <c r="G514" s="1953"/>
      <c r="H514" s="1953"/>
      <c r="I514"/>
      <c r="J514"/>
      <c r="K514"/>
    </row>
    <row r="515" spans="2:11" x14ac:dyDescent="0.35">
      <c r="B515" s="1953"/>
      <c r="C515" s="1953"/>
      <c r="D515" s="1953"/>
      <c r="E515" s="1953"/>
      <c r="F515" s="1953"/>
      <c r="G515" s="1953"/>
      <c r="H515" s="1953"/>
      <c r="I515"/>
      <c r="J515"/>
      <c r="K515"/>
    </row>
    <row r="516" spans="2:11" x14ac:dyDescent="0.35">
      <c r="B516" s="1953"/>
      <c r="C516" s="1953"/>
      <c r="D516" s="1953"/>
      <c r="E516" s="1953"/>
      <c r="F516" s="1953"/>
      <c r="G516" s="1953"/>
      <c r="H516" s="1953"/>
      <c r="I516"/>
      <c r="J516"/>
      <c r="K516"/>
    </row>
    <row r="517" spans="2:11" x14ac:dyDescent="0.35">
      <c r="B517" s="1953"/>
      <c r="C517" s="1953"/>
      <c r="D517" s="1953"/>
      <c r="E517" s="1953"/>
      <c r="F517" s="1953"/>
      <c r="G517" s="1953"/>
      <c r="H517" s="1953"/>
      <c r="I517"/>
      <c r="J517"/>
      <c r="K517"/>
    </row>
    <row r="518" spans="2:11" x14ac:dyDescent="0.35">
      <c r="B518" s="1953"/>
      <c r="C518" s="1953"/>
      <c r="D518" s="1953"/>
      <c r="E518" s="1953"/>
      <c r="F518" s="1953"/>
      <c r="G518" s="1953"/>
      <c r="H518" s="1953"/>
      <c r="I518"/>
      <c r="J518"/>
      <c r="K518"/>
    </row>
    <row r="519" spans="2:11" x14ac:dyDescent="0.35">
      <c r="B519" s="1953"/>
      <c r="C519" s="1953"/>
      <c r="D519" s="1953"/>
      <c r="E519" s="1953"/>
      <c r="F519" s="1953"/>
      <c r="G519" s="1953"/>
      <c r="H519" s="1953"/>
      <c r="I519"/>
      <c r="J519"/>
      <c r="K519"/>
    </row>
    <row r="520" spans="2:11" x14ac:dyDescent="0.35">
      <c r="B520" s="1953"/>
      <c r="C520" s="1953"/>
      <c r="D520" s="1953"/>
      <c r="E520" s="1953"/>
      <c r="F520" s="1953"/>
      <c r="G520" s="1953"/>
      <c r="H520" s="1953"/>
      <c r="I520"/>
      <c r="J520"/>
      <c r="K520"/>
    </row>
    <row r="521" spans="2:11" x14ac:dyDescent="0.35">
      <c r="B521" s="1953"/>
      <c r="C521" s="1953"/>
      <c r="D521" s="1953"/>
      <c r="E521" s="1953"/>
      <c r="F521" s="1953"/>
      <c r="G521" s="1953"/>
      <c r="H521" s="1953"/>
      <c r="I521"/>
      <c r="J521"/>
      <c r="K521"/>
    </row>
    <row r="522" spans="2:11" x14ac:dyDescent="0.35">
      <c r="B522" s="1953"/>
      <c r="C522" s="1953"/>
      <c r="D522" s="1953"/>
      <c r="E522" s="1953"/>
      <c r="F522" s="1953"/>
      <c r="G522" s="1953"/>
      <c r="H522" s="1953"/>
      <c r="I522"/>
      <c r="J522"/>
      <c r="K522"/>
    </row>
    <row r="523" spans="2:11" x14ac:dyDescent="0.35">
      <c r="B523" s="1953"/>
      <c r="C523" s="1953"/>
      <c r="D523" s="1953"/>
      <c r="E523" s="1953"/>
      <c r="F523" s="1953"/>
      <c r="G523" s="1953"/>
      <c r="H523" s="1953"/>
      <c r="I523"/>
      <c r="J523"/>
      <c r="K523"/>
    </row>
    <row r="524" spans="2:11" x14ac:dyDescent="0.35">
      <c r="B524" s="1953"/>
      <c r="C524" s="1953"/>
      <c r="D524" s="1953"/>
      <c r="E524" s="1953"/>
      <c r="F524" s="1953"/>
      <c r="G524" s="1953"/>
      <c r="H524" s="1953"/>
      <c r="I524"/>
      <c r="J524"/>
      <c r="K524"/>
    </row>
    <row r="525" spans="2:11" x14ac:dyDescent="0.35">
      <c r="B525" s="1953"/>
      <c r="C525" s="1953"/>
      <c r="D525" s="1953"/>
      <c r="E525" s="1953"/>
      <c r="F525" s="1953"/>
      <c r="G525" s="1953"/>
      <c r="H525" s="1953"/>
      <c r="I525"/>
      <c r="J525"/>
      <c r="K525"/>
    </row>
    <row r="526" spans="2:11" x14ac:dyDescent="0.35">
      <c r="B526" s="1953"/>
      <c r="C526" s="1953"/>
      <c r="D526" s="1953"/>
      <c r="E526" s="1953"/>
      <c r="F526" s="1953"/>
      <c r="G526" s="1953"/>
      <c r="H526" s="1953"/>
      <c r="I526"/>
      <c r="J526"/>
      <c r="K526"/>
    </row>
    <row r="527" spans="2:11" x14ac:dyDescent="0.35">
      <c r="B527" s="1953"/>
      <c r="C527" s="1953"/>
      <c r="D527" s="1953"/>
      <c r="E527" s="1953"/>
      <c r="F527" s="1953"/>
      <c r="G527" s="1953"/>
      <c r="H527" s="1953"/>
      <c r="I527"/>
      <c r="J527"/>
      <c r="K527"/>
    </row>
    <row r="528" spans="2:11" x14ac:dyDescent="0.35">
      <c r="B528" s="1953"/>
      <c r="C528" s="1953"/>
      <c r="D528" s="1953"/>
      <c r="E528" s="1953"/>
      <c r="F528" s="1953"/>
      <c r="G528" s="1953"/>
      <c r="H528" s="1953"/>
      <c r="I528"/>
      <c r="J528"/>
      <c r="K528"/>
    </row>
    <row r="529" spans="2:11" x14ac:dyDescent="0.35">
      <c r="B529" s="1953"/>
      <c r="C529" s="1953"/>
      <c r="D529" s="1953"/>
      <c r="E529" s="1953"/>
      <c r="F529" s="1953"/>
      <c r="G529" s="1953"/>
      <c r="H529" s="1953"/>
      <c r="I529"/>
      <c r="J529"/>
      <c r="K529"/>
    </row>
    <row r="530" spans="2:11" x14ac:dyDescent="0.35">
      <c r="B530" s="1953"/>
      <c r="C530" s="1953"/>
      <c r="D530" s="1953"/>
      <c r="E530" s="1953"/>
      <c r="F530" s="1953"/>
      <c r="G530" s="1953"/>
      <c r="H530" s="1953"/>
      <c r="I530"/>
      <c r="J530"/>
      <c r="K530"/>
    </row>
    <row r="531" spans="2:11" x14ac:dyDescent="0.35">
      <c r="B531" s="1953"/>
      <c r="C531" s="1953"/>
      <c r="D531" s="1953"/>
      <c r="E531" s="1953"/>
      <c r="F531" s="1953"/>
      <c r="G531" s="1953"/>
      <c r="H531" s="1953"/>
      <c r="I531"/>
      <c r="J531"/>
      <c r="K531"/>
    </row>
    <row r="532" spans="2:11" x14ac:dyDescent="0.35">
      <c r="B532" s="1953"/>
      <c r="C532" s="1953"/>
      <c r="D532" s="1953"/>
      <c r="E532" s="1953"/>
      <c r="F532" s="1953"/>
      <c r="G532" s="1953"/>
      <c r="H532" s="1953"/>
      <c r="I532"/>
      <c r="J532"/>
      <c r="K532"/>
    </row>
    <row r="533" spans="2:11" x14ac:dyDescent="0.35">
      <c r="B533" s="1953"/>
      <c r="C533" s="1953"/>
      <c r="D533" s="1953"/>
      <c r="E533" s="1953"/>
      <c r="F533" s="1953"/>
      <c r="G533" s="1953"/>
      <c r="H533" s="1953"/>
      <c r="I533"/>
      <c r="J533"/>
      <c r="K533"/>
    </row>
    <row r="534" spans="2:11" x14ac:dyDescent="0.35">
      <c r="B534" s="1953"/>
      <c r="C534" s="1953"/>
      <c r="D534" s="1953"/>
      <c r="E534" s="1953"/>
      <c r="F534" s="1953"/>
      <c r="G534" s="1953"/>
      <c r="H534" s="1953"/>
      <c r="I534"/>
      <c r="J534"/>
      <c r="K534"/>
    </row>
    <row r="535" spans="2:11" x14ac:dyDescent="0.35">
      <c r="B535" s="1953"/>
      <c r="C535" s="1953"/>
      <c r="D535" s="1953"/>
      <c r="E535" s="1953"/>
      <c r="F535" s="1953"/>
      <c r="G535" s="1953"/>
      <c r="H535" s="1953"/>
      <c r="I535"/>
      <c r="J535"/>
      <c r="K535"/>
    </row>
    <row r="536" spans="2:11" x14ac:dyDescent="0.35">
      <c r="B536" s="1953"/>
      <c r="C536" s="1953"/>
      <c r="D536" s="1953"/>
      <c r="E536" s="1953"/>
      <c r="F536" s="1953"/>
      <c r="G536" s="1953"/>
      <c r="H536" s="1953"/>
      <c r="I536"/>
      <c r="J536"/>
      <c r="K536"/>
    </row>
    <row r="537" spans="2:11" x14ac:dyDescent="0.35">
      <c r="B537" s="1953"/>
      <c r="C537" s="1953"/>
      <c r="D537" s="1953"/>
      <c r="E537" s="1953"/>
      <c r="F537" s="1953"/>
      <c r="G537" s="1953"/>
      <c r="H537" s="1953"/>
      <c r="I537"/>
      <c r="J537"/>
      <c r="K537"/>
    </row>
    <row r="538" spans="2:11" x14ac:dyDescent="0.35">
      <c r="B538" s="1953"/>
      <c r="C538" s="1953"/>
      <c r="D538" s="1953"/>
      <c r="E538" s="1953"/>
      <c r="F538" s="1953"/>
      <c r="G538" s="1953"/>
      <c r="H538" s="1953"/>
      <c r="I538"/>
      <c r="J538"/>
      <c r="K538"/>
    </row>
    <row r="539" spans="2:11" x14ac:dyDescent="0.35">
      <c r="B539" s="1953"/>
      <c r="C539" s="1953"/>
      <c r="D539" s="1953"/>
      <c r="E539" s="1953"/>
      <c r="F539" s="1953"/>
      <c r="G539" s="1953"/>
      <c r="H539" s="1953"/>
      <c r="I539"/>
      <c r="J539"/>
      <c r="K539"/>
    </row>
    <row r="540" spans="2:11" x14ac:dyDescent="0.35">
      <c r="B540" s="1953"/>
      <c r="C540" s="1953"/>
      <c r="D540" s="1953"/>
      <c r="E540" s="1953"/>
      <c r="F540" s="1953"/>
      <c r="G540" s="1953"/>
      <c r="H540" s="1953"/>
      <c r="I540"/>
      <c r="J540"/>
      <c r="K540"/>
    </row>
    <row r="541" spans="2:11" x14ac:dyDescent="0.35">
      <c r="B541" s="1953"/>
      <c r="C541" s="1953"/>
      <c r="D541" s="1953"/>
      <c r="E541" s="1953"/>
      <c r="F541" s="1953"/>
      <c r="G541" s="1953"/>
      <c r="H541" s="1953"/>
      <c r="I541"/>
      <c r="J541"/>
      <c r="K541"/>
    </row>
    <row r="542" spans="2:11" x14ac:dyDescent="0.35">
      <c r="B542" s="1953"/>
      <c r="C542" s="1953"/>
      <c r="D542" s="1953"/>
      <c r="E542" s="1953"/>
      <c r="F542" s="1953"/>
      <c r="G542" s="1953"/>
      <c r="H542" s="1953"/>
      <c r="I542"/>
      <c r="J542"/>
      <c r="K542"/>
    </row>
    <row r="543" spans="2:11" x14ac:dyDescent="0.35">
      <c r="B543" s="1953"/>
      <c r="C543" s="1953"/>
      <c r="D543" s="1953"/>
      <c r="E543" s="1953"/>
      <c r="F543" s="1953"/>
      <c r="G543" s="1953"/>
      <c r="H543" s="1953"/>
      <c r="I543"/>
      <c r="J543"/>
      <c r="K543"/>
    </row>
    <row r="544" spans="2:11" x14ac:dyDescent="0.35">
      <c r="B544" s="1953"/>
      <c r="C544" s="1953"/>
      <c r="D544" s="1953"/>
      <c r="E544" s="1953"/>
      <c r="F544" s="1953"/>
      <c r="G544" s="1953"/>
      <c r="H544" s="1953"/>
      <c r="I544"/>
      <c r="J544"/>
      <c r="K544"/>
    </row>
    <row r="545" spans="2:11" x14ac:dyDescent="0.35">
      <c r="B545" s="1953"/>
      <c r="C545" s="1953"/>
      <c r="D545" s="1953"/>
      <c r="E545" s="1953"/>
      <c r="F545" s="1953"/>
      <c r="G545" s="1953"/>
      <c r="H545" s="1953"/>
      <c r="I545"/>
      <c r="J545"/>
      <c r="K545"/>
    </row>
    <row r="546" spans="2:11" x14ac:dyDescent="0.35">
      <c r="B546" s="1953"/>
      <c r="C546" s="1953"/>
      <c r="D546" s="1953"/>
      <c r="E546" s="1953"/>
      <c r="F546" s="1953"/>
      <c r="G546" s="1953"/>
      <c r="H546" s="1953"/>
      <c r="I546"/>
      <c r="J546"/>
      <c r="K546"/>
    </row>
    <row r="547" spans="2:11" x14ac:dyDescent="0.35">
      <c r="B547" s="1953"/>
      <c r="C547" s="1953"/>
      <c r="D547" s="1953"/>
      <c r="E547" s="1953"/>
      <c r="F547" s="1953"/>
      <c r="G547" s="1953"/>
      <c r="H547" s="1953"/>
      <c r="I547"/>
      <c r="J547"/>
      <c r="K547"/>
    </row>
    <row r="548" spans="2:11" x14ac:dyDescent="0.35">
      <c r="B548" s="1953"/>
      <c r="C548" s="1953"/>
      <c r="D548" s="1953"/>
      <c r="E548" s="1953"/>
      <c r="F548" s="1953"/>
      <c r="G548" s="1953"/>
      <c r="H548" s="1953"/>
      <c r="I548"/>
      <c r="J548"/>
      <c r="K548"/>
    </row>
    <row r="549" spans="2:11" x14ac:dyDescent="0.35">
      <c r="B549" s="1953"/>
      <c r="C549" s="1953"/>
      <c r="D549" s="1953"/>
      <c r="E549" s="1953"/>
      <c r="F549" s="1953"/>
      <c r="G549" s="1953"/>
      <c r="H549" s="1953"/>
      <c r="I549"/>
      <c r="J549"/>
      <c r="K549"/>
    </row>
    <row r="550" spans="2:11" x14ac:dyDescent="0.35">
      <c r="B550" s="1953"/>
      <c r="C550" s="1953"/>
      <c r="D550" s="1953"/>
      <c r="E550" s="1953"/>
      <c r="F550" s="1953"/>
      <c r="G550" s="1953"/>
      <c r="H550" s="1953"/>
      <c r="I550"/>
      <c r="J550"/>
      <c r="K550"/>
    </row>
    <row r="551" spans="2:11" x14ac:dyDescent="0.35">
      <c r="B551" s="1953"/>
      <c r="C551" s="1953"/>
      <c r="D551" s="1953"/>
      <c r="E551" s="1953"/>
      <c r="F551" s="1953"/>
      <c r="G551" s="1953"/>
      <c r="H551" s="1953"/>
      <c r="I551"/>
      <c r="J551"/>
      <c r="K551"/>
    </row>
    <row r="552" spans="2:11" x14ac:dyDescent="0.35">
      <c r="B552" s="1953"/>
      <c r="C552" s="1953"/>
      <c r="D552" s="1953"/>
      <c r="E552" s="1953"/>
      <c r="F552" s="1953"/>
      <c r="G552" s="1953"/>
      <c r="H552" s="1953"/>
      <c r="I552"/>
      <c r="J552"/>
      <c r="K552"/>
    </row>
    <row r="553" spans="2:11" x14ac:dyDescent="0.35">
      <c r="B553" s="1953"/>
      <c r="C553" s="1953"/>
      <c r="D553" s="1953"/>
      <c r="E553" s="1953"/>
      <c r="F553" s="1953"/>
      <c r="G553" s="1953"/>
      <c r="H553" s="1953"/>
      <c r="I553"/>
      <c r="J553"/>
      <c r="K553"/>
    </row>
    <row r="554" spans="2:11" x14ac:dyDescent="0.35">
      <c r="B554" s="1953"/>
      <c r="C554" s="1953"/>
      <c r="D554" s="1953"/>
      <c r="E554" s="1953"/>
      <c r="F554" s="1953"/>
      <c r="G554" s="1953"/>
      <c r="H554" s="1953"/>
      <c r="I554"/>
      <c r="J554"/>
      <c r="K554"/>
    </row>
    <row r="555" spans="2:11" x14ac:dyDescent="0.35">
      <c r="B555" s="1953"/>
      <c r="C555" s="1953"/>
      <c r="D555" s="1953"/>
      <c r="E555" s="1953"/>
      <c r="F555" s="1953"/>
      <c r="G555" s="1953"/>
      <c r="H555" s="1953"/>
      <c r="I555"/>
      <c r="J555"/>
      <c r="K555"/>
    </row>
    <row r="556" spans="2:11" x14ac:dyDescent="0.35">
      <c r="B556" s="1953"/>
      <c r="C556" s="1953"/>
      <c r="D556" s="1953"/>
      <c r="E556" s="1953"/>
      <c r="F556" s="1953"/>
      <c r="G556" s="1953"/>
      <c r="H556" s="1953"/>
      <c r="I556"/>
      <c r="J556"/>
      <c r="K556"/>
    </row>
    <row r="557" spans="2:11" x14ac:dyDescent="0.35">
      <c r="B557" s="1953"/>
      <c r="C557" s="1953"/>
      <c r="D557" s="1953"/>
      <c r="E557" s="1953"/>
      <c r="F557" s="1953"/>
      <c r="G557" s="1953"/>
      <c r="H557" s="1953"/>
      <c r="I557"/>
      <c r="J557"/>
      <c r="K557"/>
    </row>
    <row r="558" spans="2:11" x14ac:dyDescent="0.35">
      <c r="B558" s="1953"/>
      <c r="C558" s="1953"/>
      <c r="D558" s="1953"/>
      <c r="E558" s="1953"/>
      <c r="F558" s="1953"/>
      <c r="G558" s="1953"/>
      <c r="H558" s="1953"/>
      <c r="I558"/>
      <c r="J558"/>
      <c r="K558"/>
    </row>
    <row r="559" spans="2:11" x14ac:dyDescent="0.35">
      <c r="B559" s="1953"/>
      <c r="C559" s="1953"/>
      <c r="D559" s="1953"/>
      <c r="E559" s="1953"/>
      <c r="F559" s="1953"/>
      <c r="G559" s="1953"/>
      <c r="H559" s="1953"/>
      <c r="I559"/>
      <c r="J559"/>
      <c r="K559"/>
    </row>
    <row r="560" spans="2:11" x14ac:dyDescent="0.35">
      <c r="B560" s="1953"/>
      <c r="C560" s="1953"/>
      <c r="D560" s="1953"/>
      <c r="E560" s="1953"/>
      <c r="F560" s="1953"/>
      <c r="G560" s="1953"/>
      <c r="H560" s="1953"/>
      <c r="I560"/>
      <c r="J560"/>
      <c r="K560"/>
    </row>
    <row r="561" spans="2:11" x14ac:dyDescent="0.35">
      <c r="B561" s="1953"/>
      <c r="C561" s="1953"/>
      <c r="D561" s="1953"/>
      <c r="E561" s="1953"/>
      <c r="F561" s="1953"/>
      <c r="G561" s="1953"/>
      <c r="H561" s="1953"/>
      <c r="I561"/>
      <c r="J561"/>
      <c r="K561"/>
    </row>
    <row r="562" spans="2:11" x14ac:dyDescent="0.35">
      <c r="B562" s="1953"/>
      <c r="C562" s="1953"/>
      <c r="D562" s="1953"/>
      <c r="E562" s="1953"/>
      <c r="F562" s="1953"/>
      <c r="G562" s="1953"/>
      <c r="H562" s="1953"/>
      <c r="I562"/>
      <c r="J562"/>
      <c r="K562"/>
    </row>
    <row r="563" spans="2:11" x14ac:dyDescent="0.35">
      <c r="B563" s="1953"/>
      <c r="C563" s="1953"/>
      <c r="D563" s="1953"/>
      <c r="E563" s="1953"/>
      <c r="F563" s="1953"/>
      <c r="G563" s="1953"/>
      <c r="H563" s="1953"/>
      <c r="I563"/>
      <c r="J563"/>
      <c r="K563"/>
    </row>
    <row r="564" spans="2:11" x14ac:dyDescent="0.35">
      <c r="B564" s="1953"/>
      <c r="C564" s="1953"/>
      <c r="D564" s="1953"/>
      <c r="E564" s="1953"/>
      <c r="F564" s="1953"/>
      <c r="G564" s="1953"/>
      <c r="H564" s="1953"/>
      <c r="I564"/>
      <c r="J564"/>
      <c r="K564"/>
    </row>
    <row r="565" spans="2:11" x14ac:dyDescent="0.35">
      <c r="B565" s="1953"/>
      <c r="C565" s="1953"/>
      <c r="D565" s="1953"/>
      <c r="E565" s="1953"/>
      <c r="F565" s="1953"/>
      <c r="G565" s="1953"/>
      <c r="H565" s="1953"/>
      <c r="I565"/>
      <c r="J565"/>
      <c r="K565"/>
    </row>
    <row r="566" spans="2:11" x14ac:dyDescent="0.35">
      <c r="B566" s="1953"/>
      <c r="C566" s="1953"/>
      <c r="D566" s="1953"/>
      <c r="E566" s="1953"/>
      <c r="F566" s="1953"/>
      <c r="G566" s="1953"/>
      <c r="H566" s="1953"/>
      <c r="I566"/>
      <c r="J566"/>
      <c r="K566"/>
    </row>
    <row r="567" spans="2:11" x14ac:dyDescent="0.35">
      <c r="B567" s="1953"/>
      <c r="C567" s="1953"/>
      <c r="D567" s="1953"/>
      <c r="E567" s="1953"/>
      <c r="F567" s="1953"/>
      <c r="G567" s="1953"/>
      <c r="H567" s="1953"/>
      <c r="I567"/>
      <c r="J567"/>
      <c r="K567"/>
    </row>
    <row r="568" spans="2:11" x14ac:dyDescent="0.35">
      <c r="B568" s="1953"/>
      <c r="C568" s="1953"/>
      <c r="D568" s="1953"/>
      <c r="E568" s="1953"/>
      <c r="F568" s="1953"/>
      <c r="G568" s="1953"/>
      <c r="H568" s="1953"/>
      <c r="I568"/>
      <c r="J568"/>
      <c r="K568"/>
    </row>
    <row r="569" spans="2:11" x14ac:dyDescent="0.35">
      <c r="B569" s="1953"/>
      <c r="C569" s="1953"/>
      <c r="D569" s="1953"/>
      <c r="E569" s="1953"/>
      <c r="F569" s="1953"/>
      <c r="G569" s="1953"/>
      <c r="H569" s="1953"/>
      <c r="I569"/>
      <c r="J569"/>
      <c r="K569"/>
    </row>
    <row r="570" spans="2:11" x14ac:dyDescent="0.35">
      <c r="B570" s="1953"/>
      <c r="C570" s="1953"/>
      <c r="D570" s="1953"/>
      <c r="E570" s="1953"/>
      <c r="F570" s="1953"/>
      <c r="G570" s="1953"/>
      <c r="H570" s="1953"/>
      <c r="I570"/>
      <c r="J570"/>
      <c r="K570"/>
    </row>
    <row r="571" spans="2:11" x14ac:dyDescent="0.35">
      <c r="B571" s="1953"/>
      <c r="C571" s="1953"/>
      <c r="D571" s="1953"/>
      <c r="E571" s="1953"/>
      <c r="F571" s="1953"/>
      <c r="G571" s="1953"/>
      <c r="H571" s="1953"/>
      <c r="I571"/>
      <c r="J571"/>
      <c r="K571"/>
    </row>
    <row r="572" spans="2:11" x14ac:dyDescent="0.35">
      <c r="B572" s="1953"/>
      <c r="C572" s="1953"/>
      <c r="D572" s="1953"/>
      <c r="E572" s="1953"/>
      <c r="F572" s="1953"/>
      <c r="G572" s="1953"/>
      <c r="H572" s="1953"/>
      <c r="I572"/>
      <c r="J572"/>
      <c r="K572"/>
    </row>
    <row r="573" spans="2:11" x14ac:dyDescent="0.35">
      <c r="B573" s="1953"/>
      <c r="C573" s="1953"/>
      <c r="D573" s="1953"/>
      <c r="E573" s="1953"/>
      <c r="F573" s="1953"/>
      <c r="G573" s="1953"/>
      <c r="H573" s="1953"/>
      <c r="I573"/>
      <c r="J573"/>
      <c r="K573"/>
    </row>
    <row r="574" spans="2:11" x14ac:dyDescent="0.35">
      <c r="B574" s="1953"/>
      <c r="C574" s="1953"/>
      <c r="D574" s="1953"/>
      <c r="E574" s="1953"/>
      <c r="F574" s="1953"/>
      <c r="G574" s="1953"/>
      <c r="H574" s="1953"/>
      <c r="I574"/>
      <c r="J574"/>
      <c r="K574"/>
    </row>
    <row r="575" spans="2:11" x14ac:dyDescent="0.35">
      <c r="B575" s="1953"/>
      <c r="C575" s="1953"/>
      <c r="D575" s="1953"/>
      <c r="E575" s="1953"/>
      <c r="F575" s="1953"/>
      <c r="G575" s="1953"/>
      <c r="H575" s="1953"/>
      <c r="I575"/>
      <c r="J575"/>
      <c r="K575"/>
    </row>
    <row r="576" spans="2:11" x14ac:dyDescent="0.35">
      <c r="B576" s="1953"/>
      <c r="C576" s="1953"/>
      <c r="D576" s="1953"/>
      <c r="E576" s="1953"/>
      <c r="F576" s="1953"/>
      <c r="G576" s="1953"/>
      <c r="H576" s="1953"/>
      <c r="I576"/>
      <c r="J576"/>
      <c r="K576"/>
    </row>
    <row r="577" spans="2:11" x14ac:dyDescent="0.35">
      <c r="B577" s="1953"/>
      <c r="C577" s="1953"/>
      <c r="D577" s="1953"/>
      <c r="E577" s="1953"/>
      <c r="F577" s="1953"/>
      <c r="G577" s="1953"/>
      <c r="H577" s="1953"/>
      <c r="I577"/>
      <c r="J577"/>
      <c r="K577"/>
    </row>
    <row r="578" spans="2:11" x14ac:dyDescent="0.35">
      <c r="B578" s="1953"/>
      <c r="C578" s="1953"/>
      <c r="D578" s="1953"/>
      <c r="E578" s="1953"/>
      <c r="F578" s="1953"/>
      <c r="G578" s="1953"/>
      <c r="H578" s="1953"/>
      <c r="I578"/>
      <c r="J578"/>
      <c r="K578"/>
    </row>
    <row r="579" spans="2:11" x14ac:dyDescent="0.35">
      <c r="B579" s="1953"/>
      <c r="C579" s="1953"/>
      <c r="D579" s="1953"/>
      <c r="E579" s="1953"/>
      <c r="F579" s="1953"/>
      <c r="G579" s="1953"/>
      <c r="H579" s="1953"/>
      <c r="I579"/>
      <c r="J579"/>
      <c r="K579"/>
    </row>
    <row r="580" spans="2:11" x14ac:dyDescent="0.35">
      <c r="B580" s="1953"/>
      <c r="C580" s="1953"/>
      <c r="D580" s="1953"/>
      <c r="E580" s="1953"/>
      <c r="F580" s="1953"/>
      <c r="G580" s="1953"/>
      <c r="H580" s="1953"/>
      <c r="I580"/>
      <c r="J580"/>
      <c r="K580"/>
    </row>
    <row r="581" spans="2:11" x14ac:dyDescent="0.35">
      <c r="B581" s="1953"/>
      <c r="C581" s="1953"/>
      <c r="D581" s="1953"/>
      <c r="E581" s="1953"/>
      <c r="F581" s="1953"/>
      <c r="G581" s="1953"/>
      <c r="H581" s="1953"/>
      <c r="I581"/>
      <c r="J581"/>
      <c r="K581"/>
    </row>
    <row r="582" spans="2:11" x14ac:dyDescent="0.35">
      <c r="B582" s="1953"/>
      <c r="C582" s="1953"/>
      <c r="D582" s="1953"/>
      <c r="E582" s="1953"/>
      <c r="F582" s="1953"/>
      <c r="G582" s="1953"/>
      <c r="H582" s="1953"/>
      <c r="I582"/>
      <c r="J582"/>
      <c r="K582"/>
    </row>
    <row r="583" spans="2:11" x14ac:dyDescent="0.35">
      <c r="B583" s="1953"/>
      <c r="C583" s="1953"/>
      <c r="D583" s="1953"/>
      <c r="E583" s="1953"/>
      <c r="F583" s="1953"/>
      <c r="G583" s="1953"/>
      <c r="H583" s="1953"/>
      <c r="I583"/>
      <c r="J583"/>
      <c r="K583"/>
    </row>
    <row r="584" spans="2:11" x14ac:dyDescent="0.35">
      <c r="B584" s="1953"/>
      <c r="C584" s="1953"/>
      <c r="D584" s="1953"/>
      <c r="E584" s="1953"/>
      <c r="F584" s="1953"/>
      <c r="G584" s="1953"/>
      <c r="H584" s="1953"/>
      <c r="I584"/>
      <c r="J584"/>
      <c r="K584"/>
    </row>
    <row r="585" spans="2:11" x14ac:dyDescent="0.35">
      <c r="B585" s="1953"/>
      <c r="C585" s="1953"/>
      <c r="D585" s="1953"/>
      <c r="E585" s="1953"/>
      <c r="F585" s="1953"/>
      <c r="G585" s="1953"/>
      <c r="H585" s="1953"/>
      <c r="I585"/>
      <c r="J585"/>
      <c r="K585"/>
    </row>
    <row r="586" spans="2:11" x14ac:dyDescent="0.35">
      <c r="B586" s="1953"/>
      <c r="C586" s="1953"/>
      <c r="D586" s="1953"/>
      <c r="E586" s="1953"/>
      <c r="F586" s="1953"/>
      <c r="G586" s="1953"/>
      <c r="H586" s="1953"/>
      <c r="I586"/>
      <c r="J586"/>
      <c r="K586"/>
    </row>
    <row r="587" spans="2:11" x14ac:dyDescent="0.35">
      <c r="B587" s="1953"/>
      <c r="C587" s="1953"/>
      <c r="D587" s="1953"/>
      <c r="E587" s="1953"/>
      <c r="F587" s="1953"/>
      <c r="G587" s="1953"/>
      <c r="H587" s="1953"/>
      <c r="I587"/>
      <c r="J587"/>
      <c r="K587"/>
    </row>
    <row r="588" spans="2:11" x14ac:dyDescent="0.35">
      <c r="B588" s="1953"/>
      <c r="C588" s="1953"/>
      <c r="D588" s="1953"/>
      <c r="E588" s="1953"/>
      <c r="F588" s="1953"/>
      <c r="G588" s="1953"/>
      <c r="H588" s="1953"/>
      <c r="I588"/>
      <c r="J588"/>
      <c r="K588"/>
    </row>
    <row r="589" spans="2:11" x14ac:dyDescent="0.35">
      <c r="B589" s="1953"/>
      <c r="C589" s="1953"/>
      <c r="D589" s="1953"/>
      <c r="E589" s="1953"/>
      <c r="F589" s="1953"/>
      <c r="G589" s="1953"/>
      <c r="H589" s="1953"/>
      <c r="I589"/>
      <c r="J589"/>
      <c r="K589"/>
    </row>
    <row r="590" spans="2:11" x14ac:dyDescent="0.35">
      <c r="B590" s="1953"/>
      <c r="C590" s="1953"/>
      <c r="D590" s="1953"/>
      <c r="E590" s="1953"/>
      <c r="F590" s="1953"/>
      <c r="G590" s="1953"/>
      <c r="H590" s="1953"/>
      <c r="I590"/>
      <c r="J590"/>
      <c r="K590"/>
    </row>
    <row r="591" spans="2:11" x14ac:dyDescent="0.35">
      <c r="B591" s="1953"/>
      <c r="C591" s="1953"/>
      <c r="D591" s="1953"/>
      <c r="E591" s="1953"/>
      <c r="F591" s="1953"/>
      <c r="G591" s="1953"/>
      <c r="H591" s="1953"/>
      <c r="I591"/>
      <c r="J591"/>
      <c r="K591"/>
    </row>
    <row r="592" spans="2:11" x14ac:dyDescent="0.35">
      <c r="B592" s="1953"/>
      <c r="C592" s="1953"/>
      <c r="D592" s="1953"/>
      <c r="E592" s="1953"/>
      <c r="F592" s="1953"/>
      <c r="G592" s="1953"/>
      <c r="H592" s="1953"/>
      <c r="I592"/>
      <c r="J592"/>
      <c r="K592"/>
    </row>
    <row r="593" spans="2:11" x14ac:dyDescent="0.35">
      <c r="B593" s="1953"/>
      <c r="C593" s="1953"/>
      <c r="D593" s="1953"/>
      <c r="E593" s="1953"/>
      <c r="F593" s="1953"/>
      <c r="G593" s="1953"/>
      <c r="H593" s="1953"/>
      <c r="I593"/>
      <c r="J593"/>
      <c r="K593"/>
    </row>
    <row r="594" spans="2:11" x14ac:dyDescent="0.35">
      <c r="B594" s="1953"/>
      <c r="C594" s="1953"/>
      <c r="D594" s="1953"/>
      <c r="E594" s="1953"/>
      <c r="F594" s="1953"/>
      <c r="G594" s="1953"/>
      <c r="H594" s="1953"/>
      <c r="I594"/>
      <c r="J594"/>
      <c r="K594"/>
    </row>
    <row r="595" spans="2:11" x14ac:dyDescent="0.35">
      <c r="B595" s="1953"/>
      <c r="C595" s="1953"/>
      <c r="D595" s="1953"/>
      <c r="E595" s="1953"/>
      <c r="F595" s="1953"/>
      <c r="G595" s="1953"/>
      <c r="H595" s="1953"/>
      <c r="I595"/>
      <c r="J595"/>
      <c r="K595"/>
    </row>
    <row r="596" spans="2:11" x14ac:dyDescent="0.35">
      <c r="B596" s="1953"/>
      <c r="C596" s="1953"/>
      <c r="D596" s="1953"/>
      <c r="E596" s="1953"/>
      <c r="F596" s="1953"/>
      <c r="G596" s="1953"/>
      <c r="H596" s="1953"/>
      <c r="I596"/>
      <c r="J596"/>
      <c r="K596"/>
    </row>
    <row r="597" spans="2:11" x14ac:dyDescent="0.35">
      <c r="B597" s="1953"/>
      <c r="C597" s="1953"/>
      <c r="D597" s="1953"/>
      <c r="E597" s="1953"/>
      <c r="F597" s="1953"/>
      <c r="G597" s="1953"/>
      <c r="H597" s="1953"/>
      <c r="I597"/>
      <c r="J597"/>
      <c r="K597"/>
    </row>
    <row r="598" spans="2:11" x14ac:dyDescent="0.35">
      <c r="B598" s="1953"/>
      <c r="C598" s="1953"/>
      <c r="D598" s="1953"/>
      <c r="E598" s="1953"/>
      <c r="F598" s="1953"/>
      <c r="G598" s="1953"/>
      <c r="H598" s="1953"/>
      <c r="I598"/>
      <c r="J598"/>
      <c r="K598"/>
    </row>
    <row r="599" spans="2:11" x14ac:dyDescent="0.35">
      <c r="B599" s="1953"/>
      <c r="C599" s="1953"/>
      <c r="D599" s="1953"/>
      <c r="E599" s="1953"/>
      <c r="F599" s="1953"/>
      <c r="G599" s="1953"/>
      <c r="H599" s="1953"/>
      <c r="I599"/>
      <c r="J599"/>
      <c r="K599"/>
    </row>
    <row r="600" spans="2:11" x14ac:dyDescent="0.35">
      <c r="B600" s="1953"/>
      <c r="C600" s="1953"/>
      <c r="D600" s="1953"/>
      <c r="E600" s="1953"/>
      <c r="F600" s="1953"/>
      <c r="G600" s="1953"/>
      <c r="H600" s="1953"/>
      <c r="I600"/>
      <c r="J600"/>
      <c r="K600"/>
    </row>
    <row r="601" spans="2:11" x14ac:dyDescent="0.35">
      <c r="B601" s="1953"/>
      <c r="C601" s="1953"/>
      <c r="D601" s="1953"/>
      <c r="E601" s="1953"/>
      <c r="F601" s="1953"/>
      <c r="G601" s="1953"/>
      <c r="H601" s="1953"/>
      <c r="I601"/>
      <c r="J601"/>
      <c r="K601"/>
    </row>
    <row r="602" spans="2:11" x14ac:dyDescent="0.35">
      <c r="B602" s="1953"/>
      <c r="C602" s="1953"/>
      <c r="D602" s="1953"/>
      <c r="E602" s="1953"/>
      <c r="F602" s="1953"/>
      <c r="G602" s="1953"/>
      <c r="H602" s="1953"/>
      <c r="I602"/>
      <c r="J602"/>
      <c r="K602"/>
    </row>
    <row r="603" spans="2:11" x14ac:dyDescent="0.35">
      <c r="B603" s="1953"/>
      <c r="C603" s="1953"/>
      <c r="D603" s="1953"/>
      <c r="E603" s="1953"/>
      <c r="F603" s="1953"/>
      <c r="G603" s="1953"/>
      <c r="H603" s="1953"/>
      <c r="I603"/>
      <c r="J603"/>
      <c r="K603"/>
    </row>
    <row r="604" spans="2:11" x14ac:dyDescent="0.35">
      <c r="B604" s="1953"/>
      <c r="C604" s="1953"/>
      <c r="D604" s="1953"/>
      <c r="E604" s="1953"/>
      <c r="F604" s="1953"/>
      <c r="G604" s="1953"/>
      <c r="H604" s="1953"/>
      <c r="I604"/>
      <c r="J604"/>
      <c r="K604"/>
    </row>
    <row r="605" spans="2:11" x14ac:dyDescent="0.35">
      <c r="B605" s="1953"/>
      <c r="C605" s="1953"/>
      <c r="D605" s="1953"/>
      <c r="E605" s="1953"/>
      <c r="F605" s="1953"/>
      <c r="G605" s="1953"/>
      <c r="H605" s="1953"/>
      <c r="I605"/>
      <c r="J605"/>
      <c r="K605"/>
    </row>
    <row r="606" spans="2:11" x14ac:dyDescent="0.35">
      <c r="B606" s="1953"/>
      <c r="C606" s="1953"/>
      <c r="D606" s="1953"/>
      <c r="E606" s="1953"/>
      <c r="F606" s="1953"/>
      <c r="G606" s="1953"/>
      <c r="H606" s="1953"/>
      <c r="I606"/>
      <c r="J606"/>
      <c r="K606"/>
    </row>
    <row r="607" spans="2:11" x14ac:dyDescent="0.35">
      <c r="B607" s="1953"/>
      <c r="C607" s="1953"/>
      <c r="D607" s="1953"/>
      <c r="E607" s="1953"/>
      <c r="F607" s="1953"/>
      <c r="G607" s="1953"/>
      <c r="H607" s="1953"/>
      <c r="I607"/>
      <c r="J607"/>
      <c r="K607"/>
    </row>
    <row r="608" spans="2:11" x14ac:dyDescent="0.35">
      <c r="B608" s="1953"/>
      <c r="C608" s="1953"/>
      <c r="D608" s="1953"/>
      <c r="E608" s="1953"/>
      <c r="F608" s="1953"/>
      <c r="G608" s="1953"/>
      <c r="H608" s="1953"/>
      <c r="I608"/>
      <c r="J608"/>
      <c r="K608"/>
    </row>
    <row r="609" spans="2:11" x14ac:dyDescent="0.35">
      <c r="B609" s="1953"/>
      <c r="C609" s="1953"/>
      <c r="D609" s="1953"/>
      <c r="E609" s="1953"/>
      <c r="F609" s="1953"/>
      <c r="G609" s="1953"/>
      <c r="H609" s="1953"/>
      <c r="I609"/>
      <c r="J609"/>
      <c r="K609"/>
    </row>
    <row r="610" spans="2:11" x14ac:dyDescent="0.35">
      <c r="B610" s="1953"/>
      <c r="C610" s="1953"/>
      <c r="D610" s="1953"/>
      <c r="E610" s="1953"/>
      <c r="F610" s="1953"/>
      <c r="G610" s="1953"/>
      <c r="H610" s="1953"/>
      <c r="I610"/>
      <c r="J610"/>
      <c r="K610"/>
    </row>
    <row r="611" spans="2:11" x14ac:dyDescent="0.35">
      <c r="B611" s="1953"/>
      <c r="C611" s="1953"/>
      <c r="D611" s="1953"/>
      <c r="E611" s="1953"/>
      <c r="F611" s="1953"/>
      <c r="G611" s="1953"/>
      <c r="H611" s="1953"/>
      <c r="I611"/>
      <c r="J611"/>
      <c r="K611"/>
    </row>
    <row r="612" spans="2:11" x14ac:dyDescent="0.35">
      <c r="B612" s="1953"/>
      <c r="C612" s="1953"/>
      <c r="D612" s="1953"/>
      <c r="E612" s="1953"/>
      <c r="F612" s="1953"/>
      <c r="G612" s="1953"/>
      <c r="H612" s="1953"/>
      <c r="I612"/>
      <c r="J612"/>
      <c r="K612"/>
    </row>
    <row r="613" spans="2:11" x14ac:dyDescent="0.35">
      <c r="B613" s="1953"/>
      <c r="C613" s="1953"/>
      <c r="D613" s="1953"/>
      <c r="E613" s="1953"/>
      <c r="F613" s="1953"/>
      <c r="G613" s="1953"/>
      <c r="H613" s="1953"/>
      <c r="I613"/>
      <c r="J613"/>
      <c r="K613"/>
    </row>
    <row r="614" spans="2:11" x14ac:dyDescent="0.35">
      <c r="B614" s="1953"/>
      <c r="C614" s="1953"/>
      <c r="D614" s="1953"/>
      <c r="E614" s="1953"/>
      <c r="F614" s="1953"/>
      <c r="G614" s="1953"/>
      <c r="H614" s="1953"/>
      <c r="I614"/>
      <c r="J614"/>
      <c r="K614"/>
    </row>
    <row r="615" spans="2:11" x14ac:dyDescent="0.35">
      <c r="B615" s="1953"/>
      <c r="C615" s="1953"/>
      <c r="D615" s="1953"/>
      <c r="E615" s="1953"/>
      <c r="F615" s="1953"/>
      <c r="G615" s="1953"/>
      <c r="H615" s="1953"/>
      <c r="I615"/>
      <c r="J615"/>
      <c r="K615"/>
    </row>
    <row r="616" spans="2:11" x14ac:dyDescent="0.35">
      <c r="B616" s="1953"/>
      <c r="C616" s="1953"/>
      <c r="D616" s="1953"/>
      <c r="E616" s="1953"/>
      <c r="F616" s="1953"/>
      <c r="G616" s="1953"/>
      <c r="H616" s="1953"/>
      <c r="I616"/>
      <c r="J616"/>
      <c r="K616"/>
    </row>
    <row r="617" spans="2:11" x14ac:dyDescent="0.35">
      <c r="B617" s="1953"/>
      <c r="C617" s="1953"/>
      <c r="D617" s="1953"/>
      <c r="E617" s="1953"/>
      <c r="F617" s="1953"/>
      <c r="G617" s="1953"/>
      <c r="H617" s="1953"/>
      <c r="I617"/>
      <c r="J617"/>
      <c r="K617"/>
    </row>
    <row r="618" spans="2:11" x14ac:dyDescent="0.35">
      <c r="B618" s="1953"/>
      <c r="C618" s="1953"/>
      <c r="D618" s="1953"/>
      <c r="E618" s="1953"/>
      <c r="F618" s="1953"/>
      <c r="G618" s="1953"/>
      <c r="H618" s="1953"/>
      <c r="I618"/>
      <c r="J618"/>
      <c r="K618"/>
    </row>
    <row r="619" spans="2:11" x14ac:dyDescent="0.35">
      <c r="B619" s="1953"/>
      <c r="C619" s="1953"/>
      <c r="D619" s="1953"/>
      <c r="E619" s="1953"/>
      <c r="F619" s="1953"/>
      <c r="G619" s="1953"/>
      <c r="H619" s="1953"/>
      <c r="I619"/>
      <c r="J619"/>
      <c r="K619"/>
    </row>
    <row r="620" spans="2:11" x14ac:dyDescent="0.35">
      <c r="B620" s="1953"/>
      <c r="C620" s="1953"/>
      <c r="D620" s="1953"/>
      <c r="E620" s="1953"/>
      <c r="F620" s="1953"/>
      <c r="G620" s="1953"/>
      <c r="H620" s="1953"/>
      <c r="I620"/>
      <c r="J620"/>
      <c r="K620"/>
    </row>
    <row r="621" spans="2:11" x14ac:dyDescent="0.35">
      <c r="B621" s="1953"/>
      <c r="C621" s="1953"/>
      <c r="D621" s="1953"/>
      <c r="E621" s="1953"/>
      <c r="F621" s="1953"/>
      <c r="G621" s="1953"/>
      <c r="H621" s="1953"/>
      <c r="I621"/>
      <c r="J621"/>
      <c r="K621"/>
    </row>
    <row r="622" spans="2:11" x14ac:dyDescent="0.35">
      <c r="B622" s="1953"/>
      <c r="C622" s="1953"/>
      <c r="D622" s="1953"/>
      <c r="E622" s="1953"/>
      <c r="F622" s="1953"/>
      <c r="G622" s="1953"/>
      <c r="H622" s="1953"/>
      <c r="I622"/>
      <c r="J622"/>
      <c r="K622"/>
    </row>
    <row r="623" spans="2:11" x14ac:dyDescent="0.35">
      <c r="B623" s="1953"/>
      <c r="C623" s="1953"/>
      <c r="D623" s="1953"/>
      <c r="E623" s="1953"/>
      <c r="F623" s="1953"/>
      <c r="G623" s="1953"/>
      <c r="H623" s="1953"/>
      <c r="I623"/>
      <c r="J623"/>
      <c r="K623"/>
    </row>
    <row r="624" spans="2:11" x14ac:dyDescent="0.35">
      <c r="B624" s="1953"/>
      <c r="C624" s="1953"/>
      <c r="D624" s="1953"/>
      <c r="E624" s="1953"/>
      <c r="F624" s="1953"/>
      <c r="G624" s="1953"/>
      <c r="H624" s="1953"/>
      <c r="I624"/>
      <c r="J624"/>
      <c r="K624"/>
    </row>
    <row r="625" spans="2:11" x14ac:dyDescent="0.35">
      <c r="B625" s="1953"/>
      <c r="C625" s="1953"/>
      <c r="D625" s="1953"/>
      <c r="E625" s="1953"/>
      <c r="F625" s="1953"/>
      <c r="G625" s="1953"/>
      <c r="H625" s="1953"/>
      <c r="I625"/>
      <c r="J625"/>
      <c r="K625"/>
    </row>
    <row r="626" spans="2:11" x14ac:dyDescent="0.35">
      <c r="B626" s="1953"/>
      <c r="C626" s="1953"/>
      <c r="D626" s="1953"/>
      <c r="E626" s="1953"/>
      <c r="F626" s="1953"/>
      <c r="G626" s="1953"/>
      <c r="H626" s="1953"/>
      <c r="I626"/>
      <c r="J626"/>
      <c r="K626"/>
    </row>
    <row r="627" spans="2:11" x14ac:dyDescent="0.35">
      <c r="B627" s="1953"/>
      <c r="C627" s="1953"/>
      <c r="D627" s="1953"/>
      <c r="E627" s="1953"/>
      <c r="F627" s="1953"/>
      <c r="G627" s="1953"/>
      <c r="H627" s="1953"/>
      <c r="I627"/>
      <c r="J627"/>
      <c r="K627"/>
    </row>
    <row r="628" spans="2:11" x14ac:dyDescent="0.35">
      <c r="B628" s="1953"/>
      <c r="C628" s="1953"/>
      <c r="D628" s="1953"/>
      <c r="E628" s="1953"/>
      <c r="F628" s="1953"/>
      <c r="G628" s="1953"/>
      <c r="H628" s="1953"/>
      <c r="I628"/>
      <c r="J628"/>
      <c r="K628"/>
    </row>
    <row r="629" spans="2:11" x14ac:dyDescent="0.35">
      <c r="B629" s="1953"/>
      <c r="C629" s="1953"/>
      <c r="D629" s="1953"/>
      <c r="E629" s="1953"/>
      <c r="F629" s="1953"/>
      <c r="G629" s="1953"/>
      <c r="H629" s="1953"/>
      <c r="I629"/>
      <c r="J629"/>
      <c r="K629"/>
    </row>
    <row r="630" spans="2:11" x14ac:dyDescent="0.35">
      <c r="B630" s="1953"/>
      <c r="C630" s="1953"/>
      <c r="D630" s="1953"/>
      <c r="E630" s="1953"/>
      <c r="F630" s="1953"/>
      <c r="G630" s="1953"/>
      <c r="H630" s="1953"/>
      <c r="I630"/>
      <c r="J630"/>
      <c r="K630"/>
    </row>
    <row r="631" spans="2:11" x14ac:dyDescent="0.35">
      <c r="B631" s="1953"/>
      <c r="C631" s="1953"/>
      <c r="D631" s="1953"/>
      <c r="E631" s="1953"/>
      <c r="F631" s="1953"/>
      <c r="G631" s="1953"/>
      <c r="H631" s="1953"/>
      <c r="I631"/>
      <c r="J631"/>
      <c r="K631"/>
    </row>
    <row r="632" spans="2:11" x14ac:dyDescent="0.35">
      <c r="B632" s="1953"/>
      <c r="C632" s="1953"/>
      <c r="D632" s="1953"/>
      <c r="E632" s="1953"/>
      <c r="F632" s="1953"/>
      <c r="G632" s="1953"/>
      <c r="H632" s="1953"/>
      <c r="I632"/>
      <c r="J632"/>
      <c r="K632"/>
    </row>
    <row r="633" spans="2:11" x14ac:dyDescent="0.35">
      <c r="B633" s="1953"/>
      <c r="C633" s="1953"/>
      <c r="D633" s="1953"/>
      <c r="E633" s="1953"/>
      <c r="F633" s="1953"/>
      <c r="G633" s="1953"/>
      <c r="H633" s="1953"/>
      <c r="I633"/>
      <c r="J633"/>
      <c r="K633"/>
    </row>
    <row r="634" spans="2:11" x14ac:dyDescent="0.35">
      <c r="B634" s="1953"/>
      <c r="C634" s="1953"/>
      <c r="D634" s="1953"/>
      <c r="E634" s="1953"/>
      <c r="F634" s="1953"/>
      <c r="G634" s="1953"/>
      <c r="H634" s="1953"/>
      <c r="I634"/>
      <c r="J634"/>
      <c r="K634"/>
    </row>
    <row r="635" spans="2:11" x14ac:dyDescent="0.35">
      <c r="B635" s="1953"/>
      <c r="C635" s="1953"/>
      <c r="D635" s="1953"/>
      <c r="E635" s="1953"/>
      <c r="F635" s="1953"/>
      <c r="G635" s="1953"/>
      <c r="H635" s="1953"/>
      <c r="I635"/>
      <c r="J635"/>
      <c r="K635"/>
    </row>
    <row r="636" spans="2:11" x14ac:dyDescent="0.35">
      <c r="B636" s="1953"/>
      <c r="C636" s="1953"/>
      <c r="D636" s="1953"/>
      <c r="E636" s="1953"/>
      <c r="F636" s="1953"/>
      <c r="G636" s="1953"/>
      <c r="H636" s="1953"/>
      <c r="I636"/>
      <c r="J636"/>
      <c r="K636"/>
    </row>
    <row r="637" spans="2:11" x14ac:dyDescent="0.35">
      <c r="B637" s="1953"/>
      <c r="C637" s="1953"/>
      <c r="D637" s="1953"/>
      <c r="E637" s="1953"/>
      <c r="F637" s="1953"/>
      <c r="G637" s="1953"/>
      <c r="H637" s="1953"/>
      <c r="I637"/>
      <c r="J637"/>
      <c r="K637"/>
    </row>
    <row r="638" spans="2:11" x14ac:dyDescent="0.35">
      <c r="B638" s="1953"/>
      <c r="C638" s="1953"/>
      <c r="D638" s="1953"/>
      <c r="E638" s="1953"/>
      <c r="F638" s="1953"/>
      <c r="G638" s="1953"/>
      <c r="H638" s="1953"/>
      <c r="I638"/>
      <c r="J638"/>
      <c r="K638"/>
    </row>
    <row r="639" spans="2:11" x14ac:dyDescent="0.35">
      <c r="B639" s="1953"/>
      <c r="C639" s="1953"/>
      <c r="D639" s="1953"/>
      <c r="E639" s="1953"/>
      <c r="F639" s="1953"/>
      <c r="G639" s="1953"/>
      <c r="H639" s="1953"/>
      <c r="I639"/>
      <c r="J639"/>
      <c r="K639"/>
    </row>
    <row r="640" spans="2:11" x14ac:dyDescent="0.35">
      <c r="B640" s="1953"/>
      <c r="C640" s="1953"/>
      <c r="D640" s="1953"/>
      <c r="E640" s="1953"/>
      <c r="F640" s="1953"/>
      <c r="G640" s="1953"/>
      <c r="H640" s="1953"/>
      <c r="I640"/>
      <c r="J640"/>
      <c r="K640"/>
    </row>
    <row r="641" spans="2:11" x14ac:dyDescent="0.35">
      <c r="B641" s="1953"/>
      <c r="C641" s="1953"/>
      <c r="D641" s="1953"/>
      <c r="E641" s="1953"/>
      <c r="F641" s="1953"/>
      <c r="G641" s="1953"/>
      <c r="H641" s="1953"/>
      <c r="I641"/>
      <c r="J641"/>
      <c r="K641"/>
    </row>
    <row r="642" spans="2:11" x14ac:dyDescent="0.35">
      <c r="B642" s="1953"/>
      <c r="C642" s="1953"/>
      <c r="D642" s="1953"/>
      <c r="E642" s="1953"/>
      <c r="F642" s="1953"/>
      <c r="G642" s="1953"/>
      <c r="H642" s="1953"/>
      <c r="I642"/>
      <c r="J642"/>
      <c r="K642"/>
    </row>
    <row r="643" spans="2:11" x14ac:dyDescent="0.35">
      <c r="B643" s="1953"/>
      <c r="C643" s="1953"/>
      <c r="D643" s="1953"/>
      <c r="E643" s="1953"/>
      <c r="F643" s="1953"/>
      <c r="G643" s="1953"/>
      <c r="H643" s="1953"/>
      <c r="I643"/>
      <c r="J643"/>
      <c r="K643"/>
    </row>
    <row r="644" spans="2:11" x14ac:dyDescent="0.35">
      <c r="B644" s="1953"/>
      <c r="C644" s="1953"/>
      <c r="D644" s="1953"/>
      <c r="E644" s="1953"/>
      <c r="F644" s="1953"/>
      <c r="G644" s="1953"/>
      <c r="H644" s="1953"/>
      <c r="I644"/>
      <c r="J644"/>
      <c r="K644"/>
    </row>
    <row r="645" spans="2:11" x14ac:dyDescent="0.35">
      <c r="B645" s="1953"/>
      <c r="C645" s="1953"/>
      <c r="D645" s="1953"/>
      <c r="E645" s="1953"/>
      <c r="F645" s="1953"/>
      <c r="G645" s="1953"/>
      <c r="H645" s="1953"/>
      <c r="I645"/>
      <c r="J645"/>
      <c r="K645"/>
    </row>
    <row r="646" spans="2:11" x14ac:dyDescent="0.35">
      <c r="B646" s="1953"/>
      <c r="C646" s="1953"/>
      <c r="D646" s="1953"/>
      <c r="E646" s="1953"/>
      <c r="F646" s="1953"/>
      <c r="G646" s="1953"/>
      <c r="H646" s="1953"/>
      <c r="I646"/>
      <c r="J646"/>
      <c r="K646"/>
    </row>
    <row r="647" spans="2:11" x14ac:dyDescent="0.35">
      <c r="B647" s="1953"/>
      <c r="C647" s="1953"/>
      <c r="D647" s="1953"/>
      <c r="E647" s="1953"/>
      <c r="F647" s="1953"/>
      <c r="G647" s="1953"/>
      <c r="H647" s="1953"/>
      <c r="I647"/>
      <c r="J647"/>
      <c r="K647"/>
    </row>
    <row r="648" spans="2:11" x14ac:dyDescent="0.35">
      <c r="B648" s="1953"/>
      <c r="C648" s="1953"/>
      <c r="D648" s="1953"/>
      <c r="E648" s="1953"/>
      <c r="F648" s="1953"/>
      <c r="G648" s="1953"/>
      <c r="H648" s="1953"/>
      <c r="I648"/>
      <c r="J648"/>
      <c r="K648"/>
    </row>
    <row r="649" spans="2:11" x14ac:dyDescent="0.35">
      <c r="B649" s="1953"/>
      <c r="C649" s="1953"/>
      <c r="D649" s="1953"/>
      <c r="E649" s="1953"/>
      <c r="F649" s="1953"/>
      <c r="G649" s="1953"/>
      <c r="H649" s="1953"/>
      <c r="I649"/>
      <c r="J649"/>
      <c r="K649"/>
    </row>
    <row r="650" spans="2:11" x14ac:dyDescent="0.35">
      <c r="B650" s="1953"/>
      <c r="C650" s="1953"/>
      <c r="D650" s="1953"/>
      <c r="E650" s="1953"/>
      <c r="F650" s="1953"/>
      <c r="G650" s="1953"/>
      <c r="H650" s="1953"/>
      <c r="I650"/>
      <c r="J650"/>
      <c r="K650"/>
    </row>
    <row r="651" spans="2:11" x14ac:dyDescent="0.35">
      <c r="B651" s="1953"/>
      <c r="C651" s="1953"/>
      <c r="D651" s="1953"/>
      <c r="E651" s="1953"/>
      <c r="F651" s="1953"/>
      <c r="G651" s="1953"/>
      <c r="H651" s="1953"/>
      <c r="I651"/>
      <c r="J651"/>
      <c r="K651"/>
    </row>
    <row r="652" spans="2:11" x14ac:dyDescent="0.35">
      <c r="B652" s="1953"/>
      <c r="C652" s="1953"/>
      <c r="D652" s="1953"/>
      <c r="E652" s="1953"/>
      <c r="F652" s="1953"/>
      <c r="G652" s="1953"/>
      <c r="H652" s="1953"/>
      <c r="I652"/>
      <c r="J652"/>
      <c r="K652"/>
    </row>
    <row r="653" spans="2:11" x14ac:dyDescent="0.35">
      <c r="B653" s="1953"/>
      <c r="C653" s="1953"/>
      <c r="D653" s="1953"/>
      <c r="E653" s="1953"/>
      <c r="F653" s="1953"/>
      <c r="G653" s="1953"/>
      <c r="H653" s="1953"/>
      <c r="I653"/>
      <c r="J653"/>
      <c r="K653"/>
    </row>
    <row r="654" spans="2:11" x14ac:dyDescent="0.35">
      <c r="B654" s="1953"/>
      <c r="C654" s="1953"/>
      <c r="D654" s="1953"/>
      <c r="E654" s="1953"/>
      <c r="F654" s="1953"/>
      <c r="G654" s="1953"/>
      <c r="H654" s="1953"/>
      <c r="I654"/>
      <c r="J654"/>
      <c r="K654"/>
    </row>
    <row r="655" spans="2:11" x14ac:dyDescent="0.35">
      <c r="B655" s="1953"/>
      <c r="C655" s="1953"/>
      <c r="D655" s="1953"/>
      <c r="E655" s="1953"/>
      <c r="F655" s="1953"/>
      <c r="G655" s="1953"/>
      <c r="H655" s="1953"/>
      <c r="I655"/>
      <c r="J655"/>
      <c r="K655"/>
    </row>
    <row r="656" spans="2:11" x14ac:dyDescent="0.35">
      <c r="B656" s="1953"/>
      <c r="C656" s="1953"/>
      <c r="D656" s="1953"/>
      <c r="E656" s="1953"/>
      <c r="F656" s="1953"/>
      <c r="G656" s="1953"/>
      <c r="H656" s="1953"/>
      <c r="I656"/>
      <c r="J656"/>
      <c r="K656"/>
    </row>
    <row r="657" spans="2:11" x14ac:dyDescent="0.35">
      <c r="B657" s="1953"/>
      <c r="C657" s="1953"/>
      <c r="D657" s="1953"/>
      <c r="E657" s="1953"/>
      <c r="F657" s="1953"/>
      <c r="G657" s="1953"/>
      <c r="H657" s="1953"/>
      <c r="I657"/>
      <c r="J657"/>
      <c r="K657"/>
    </row>
    <row r="658" spans="2:11" x14ac:dyDescent="0.35">
      <c r="B658" s="1953"/>
      <c r="C658" s="1953"/>
      <c r="D658" s="1953"/>
      <c r="E658" s="1953"/>
      <c r="F658" s="1953"/>
      <c r="G658" s="1953"/>
      <c r="H658" s="1953"/>
      <c r="I658"/>
      <c r="J658"/>
      <c r="K658"/>
    </row>
    <row r="659" spans="2:11" x14ac:dyDescent="0.35">
      <c r="B659" s="1953"/>
      <c r="C659" s="1953"/>
      <c r="D659" s="1953"/>
      <c r="E659" s="1953"/>
      <c r="F659" s="1953"/>
      <c r="G659" s="1953"/>
      <c r="H659" s="1953"/>
      <c r="I659"/>
      <c r="J659"/>
      <c r="K659"/>
    </row>
    <row r="660" spans="2:11" x14ac:dyDescent="0.35">
      <c r="B660" s="1953"/>
      <c r="C660" s="1953"/>
      <c r="D660" s="1953"/>
      <c r="E660" s="1953"/>
      <c r="F660" s="1953"/>
      <c r="G660" s="1953"/>
      <c r="H660" s="1953"/>
      <c r="I660"/>
      <c r="J660"/>
      <c r="K660"/>
    </row>
    <row r="661" spans="2:11" x14ac:dyDescent="0.35">
      <c r="B661" s="1953"/>
      <c r="C661" s="1953"/>
      <c r="D661" s="1953"/>
      <c r="E661" s="1953"/>
      <c r="F661" s="1953"/>
      <c r="G661" s="1953"/>
      <c r="H661" s="1953"/>
      <c r="I661"/>
      <c r="J661"/>
      <c r="K661"/>
    </row>
    <row r="662" spans="2:11" x14ac:dyDescent="0.35">
      <c r="B662" s="1953"/>
      <c r="C662" s="1953"/>
      <c r="D662" s="1953"/>
      <c r="E662" s="1953"/>
      <c r="F662" s="1953"/>
      <c r="G662" s="1953"/>
      <c r="H662" s="1953"/>
      <c r="I662"/>
      <c r="J662"/>
      <c r="K662"/>
    </row>
    <row r="663" spans="2:11" x14ac:dyDescent="0.35">
      <c r="B663" s="1953"/>
      <c r="C663" s="1953"/>
      <c r="D663" s="1953"/>
      <c r="E663" s="1953"/>
      <c r="F663" s="1953"/>
      <c r="G663" s="1953"/>
      <c r="H663" s="1953"/>
      <c r="I663"/>
      <c r="J663"/>
      <c r="K663"/>
    </row>
    <row r="664" spans="2:11" x14ac:dyDescent="0.35">
      <c r="B664" s="1953"/>
      <c r="C664" s="1953"/>
      <c r="D664" s="1953"/>
      <c r="E664" s="1953"/>
      <c r="F664" s="1953"/>
      <c r="G664" s="1953"/>
      <c r="H664" s="1953"/>
      <c r="I664"/>
      <c r="J664"/>
      <c r="K664"/>
    </row>
    <row r="665" spans="2:11" x14ac:dyDescent="0.35">
      <c r="B665" s="1953"/>
      <c r="C665" s="1953"/>
      <c r="D665" s="1953"/>
      <c r="E665" s="1953"/>
      <c r="F665" s="1953"/>
      <c r="G665" s="1953"/>
      <c r="H665" s="1953"/>
      <c r="I665"/>
      <c r="J665"/>
      <c r="K665"/>
    </row>
    <row r="666" spans="2:11" x14ac:dyDescent="0.35">
      <c r="B666" s="1953"/>
      <c r="C666" s="1953"/>
      <c r="D666" s="1953"/>
      <c r="E666" s="1953"/>
      <c r="F666" s="1953"/>
      <c r="G666" s="1953"/>
      <c r="H666" s="1953"/>
      <c r="I666"/>
      <c r="J666"/>
      <c r="K666"/>
    </row>
    <row r="667" spans="2:11" x14ac:dyDescent="0.35">
      <c r="B667" s="1953"/>
      <c r="C667" s="1953"/>
      <c r="D667" s="1953"/>
      <c r="E667" s="1953"/>
      <c r="F667" s="1953"/>
      <c r="G667" s="1953"/>
      <c r="H667" s="1953"/>
      <c r="I667"/>
      <c r="J667"/>
      <c r="K667"/>
    </row>
    <row r="668" spans="2:11" x14ac:dyDescent="0.35">
      <c r="B668" s="1953"/>
      <c r="C668" s="1953"/>
      <c r="D668" s="1953"/>
      <c r="E668" s="1953"/>
      <c r="F668" s="1953"/>
      <c r="G668" s="1953"/>
      <c r="H668" s="1953"/>
      <c r="I668"/>
      <c r="J668"/>
      <c r="K668"/>
    </row>
    <row r="669" spans="2:11" x14ac:dyDescent="0.35">
      <c r="B669" s="1953"/>
      <c r="C669" s="1953"/>
      <c r="D669" s="1953"/>
      <c r="E669" s="1953"/>
      <c r="F669" s="1953"/>
      <c r="G669" s="1953"/>
      <c r="H669" s="1953"/>
      <c r="I669"/>
      <c r="J669"/>
      <c r="K669"/>
    </row>
    <row r="670" spans="2:11" x14ac:dyDescent="0.35">
      <c r="B670" s="1953"/>
      <c r="C670" s="1953"/>
      <c r="D670" s="1953"/>
      <c r="E670" s="1953"/>
      <c r="F670" s="1953"/>
      <c r="G670" s="1953"/>
      <c r="H670" s="1953"/>
      <c r="I670"/>
      <c r="J670"/>
      <c r="K670"/>
    </row>
    <row r="671" spans="2:11" x14ac:dyDescent="0.35">
      <c r="B671" s="1953"/>
      <c r="C671" s="1953"/>
      <c r="D671" s="1953"/>
      <c r="E671" s="1953"/>
      <c r="F671" s="1953"/>
      <c r="G671" s="1953"/>
      <c r="H671" s="1953"/>
      <c r="I671"/>
      <c r="J671"/>
      <c r="K671"/>
    </row>
    <row r="672" spans="2:11" x14ac:dyDescent="0.35">
      <c r="B672" s="1953"/>
      <c r="C672" s="1953"/>
      <c r="D672" s="1953"/>
      <c r="E672" s="1953"/>
      <c r="F672" s="1953"/>
      <c r="G672" s="1953"/>
      <c r="H672" s="1953"/>
      <c r="I672"/>
      <c r="J672"/>
      <c r="K672"/>
    </row>
    <row r="673" spans="2:11" x14ac:dyDescent="0.35">
      <c r="B673" s="1953"/>
      <c r="C673" s="1953"/>
      <c r="D673" s="1953"/>
      <c r="E673" s="1953"/>
      <c r="F673" s="1953"/>
      <c r="G673" s="1953"/>
      <c r="H673" s="1953"/>
      <c r="I673"/>
      <c r="J673"/>
      <c r="K673"/>
    </row>
    <row r="674" spans="2:11" x14ac:dyDescent="0.35">
      <c r="B674" s="1953"/>
      <c r="C674" s="1953"/>
      <c r="D674" s="1953"/>
      <c r="E674" s="1953"/>
      <c r="F674" s="1953"/>
      <c r="G674" s="1953"/>
      <c r="H674" s="1953"/>
      <c r="I674"/>
      <c r="J674"/>
      <c r="K674"/>
    </row>
    <row r="675" spans="2:11" x14ac:dyDescent="0.35">
      <c r="B675" s="1953"/>
      <c r="C675" s="1953"/>
      <c r="D675" s="1953"/>
      <c r="E675" s="1953"/>
      <c r="F675" s="1953"/>
      <c r="G675" s="1953"/>
      <c r="H675" s="1953"/>
      <c r="I675"/>
      <c r="J675"/>
      <c r="K675"/>
    </row>
    <row r="676" spans="2:11" x14ac:dyDescent="0.35">
      <c r="B676" s="1953"/>
      <c r="C676" s="1953"/>
      <c r="D676" s="1953"/>
      <c r="E676" s="1953"/>
      <c r="F676" s="1953"/>
      <c r="G676" s="1953"/>
      <c r="H676" s="1953"/>
      <c r="I676"/>
      <c r="J676"/>
      <c r="K676"/>
    </row>
    <row r="677" spans="2:11" x14ac:dyDescent="0.35">
      <c r="B677" s="1953"/>
      <c r="C677" s="1953"/>
      <c r="D677" s="1953"/>
      <c r="E677" s="1953"/>
      <c r="F677" s="1953"/>
      <c r="G677" s="1953"/>
      <c r="H677" s="1953"/>
      <c r="I677"/>
      <c r="J677"/>
      <c r="K677"/>
    </row>
    <row r="678" spans="2:11" x14ac:dyDescent="0.35">
      <c r="B678" s="1953"/>
      <c r="C678" s="1953"/>
      <c r="D678" s="1953"/>
      <c r="E678" s="1953"/>
      <c r="F678" s="1953"/>
      <c r="G678" s="1953"/>
      <c r="H678" s="1953"/>
      <c r="I678"/>
      <c r="J678"/>
      <c r="K678"/>
    </row>
    <row r="679" spans="2:11" x14ac:dyDescent="0.35">
      <c r="B679" s="1953"/>
      <c r="C679" s="1953"/>
      <c r="D679" s="1953"/>
      <c r="E679" s="1953"/>
      <c r="F679" s="1953"/>
      <c r="G679" s="1953"/>
      <c r="H679" s="1953"/>
      <c r="I679"/>
      <c r="J679"/>
      <c r="K679"/>
    </row>
    <row r="680" spans="2:11" x14ac:dyDescent="0.35">
      <c r="B680" s="1953"/>
      <c r="C680" s="1953"/>
      <c r="D680" s="1953"/>
      <c r="E680" s="1953"/>
      <c r="F680" s="1953"/>
      <c r="G680" s="1953"/>
      <c r="H680" s="1953"/>
      <c r="I680"/>
      <c r="J680"/>
      <c r="K680"/>
    </row>
    <row r="681" spans="2:11" x14ac:dyDescent="0.35">
      <c r="B681" s="1953"/>
      <c r="C681" s="1953"/>
      <c r="D681" s="1953"/>
      <c r="E681" s="1953"/>
      <c r="F681" s="1953"/>
      <c r="G681" s="1953"/>
      <c r="H681" s="1953"/>
      <c r="I681"/>
      <c r="J681"/>
      <c r="K681"/>
    </row>
    <row r="682" spans="2:11" x14ac:dyDescent="0.35">
      <c r="B682" s="1953"/>
      <c r="C682" s="1953"/>
      <c r="D682" s="1953"/>
      <c r="E682" s="1953"/>
      <c r="F682" s="1953"/>
      <c r="G682" s="1953"/>
      <c r="H682" s="1953"/>
      <c r="I682"/>
      <c r="J682"/>
      <c r="K682"/>
    </row>
    <row r="683" spans="2:11" x14ac:dyDescent="0.35">
      <c r="B683" s="1953"/>
      <c r="C683" s="1953"/>
      <c r="D683" s="1953"/>
      <c r="E683" s="1953"/>
      <c r="F683" s="1953"/>
      <c r="G683" s="1953"/>
      <c r="H683" s="1953"/>
      <c r="I683"/>
      <c r="J683"/>
      <c r="K683"/>
    </row>
    <row r="684" spans="2:11" x14ac:dyDescent="0.35">
      <c r="B684" s="1953"/>
      <c r="C684" s="1953"/>
      <c r="D684" s="1953"/>
      <c r="E684" s="1953"/>
      <c r="F684" s="1953"/>
      <c r="G684" s="1953"/>
      <c r="H684" s="1953"/>
      <c r="I684"/>
      <c r="J684"/>
      <c r="K684"/>
    </row>
    <row r="685" spans="2:11" x14ac:dyDescent="0.35">
      <c r="B685" s="1953"/>
      <c r="C685" s="1953"/>
      <c r="D685" s="1953"/>
      <c r="E685" s="1953"/>
      <c r="F685" s="1953"/>
      <c r="G685" s="1953"/>
      <c r="H685" s="1953"/>
      <c r="I685"/>
      <c r="J685"/>
      <c r="K685"/>
    </row>
    <row r="686" spans="2:11" x14ac:dyDescent="0.35">
      <c r="B686" s="1953"/>
      <c r="C686" s="1953"/>
      <c r="D686" s="1953"/>
      <c r="E686" s="1953"/>
      <c r="F686" s="1953"/>
      <c r="G686" s="1953"/>
      <c r="H686" s="1953"/>
      <c r="I686"/>
      <c r="J686"/>
      <c r="K686"/>
    </row>
    <row r="687" spans="2:11" x14ac:dyDescent="0.35">
      <c r="B687" s="1953"/>
      <c r="C687" s="1953"/>
      <c r="D687" s="1953"/>
      <c r="E687" s="1953"/>
      <c r="F687" s="1953"/>
      <c r="G687" s="1953"/>
      <c r="H687" s="1953"/>
      <c r="I687"/>
      <c r="J687"/>
      <c r="K687"/>
    </row>
    <row r="688" spans="2:11" x14ac:dyDescent="0.35">
      <c r="B688" s="1953"/>
      <c r="C688" s="1953"/>
      <c r="D688" s="1953"/>
      <c r="E688" s="1953"/>
      <c r="F688" s="1953"/>
      <c r="G688" s="1953"/>
      <c r="H688" s="1953"/>
      <c r="I688"/>
      <c r="J688"/>
      <c r="K688"/>
    </row>
    <row r="689" spans="2:11" x14ac:dyDescent="0.35">
      <c r="B689" s="1953"/>
      <c r="C689" s="1953"/>
      <c r="D689" s="1953"/>
      <c r="E689" s="1953"/>
      <c r="F689" s="1953"/>
      <c r="G689" s="1953"/>
      <c r="H689" s="1953"/>
      <c r="I689"/>
      <c r="J689"/>
      <c r="K689"/>
    </row>
    <row r="690" spans="2:11" x14ac:dyDescent="0.35">
      <c r="B690" s="1953"/>
      <c r="C690" s="1953"/>
      <c r="D690" s="1953"/>
      <c r="E690" s="1953"/>
      <c r="F690" s="1953"/>
      <c r="G690" s="1953"/>
      <c r="H690" s="1953"/>
      <c r="I690"/>
      <c r="J690"/>
      <c r="K690"/>
    </row>
    <row r="691" spans="2:11" x14ac:dyDescent="0.35">
      <c r="B691" s="1953"/>
      <c r="C691" s="1953"/>
      <c r="D691" s="1953"/>
      <c r="E691" s="1953"/>
      <c r="F691" s="1953"/>
      <c r="G691" s="1953"/>
      <c r="H691" s="1953"/>
      <c r="I691"/>
      <c r="J691"/>
      <c r="K691"/>
    </row>
    <row r="692" spans="2:11" x14ac:dyDescent="0.35">
      <c r="B692" s="1953"/>
      <c r="C692" s="1953"/>
      <c r="D692" s="1953"/>
      <c r="E692" s="1953"/>
      <c r="F692" s="1953"/>
      <c r="G692" s="1953"/>
      <c r="H692" s="1953"/>
      <c r="I692"/>
      <c r="J692"/>
      <c r="K692"/>
    </row>
    <row r="693" spans="2:11" x14ac:dyDescent="0.35">
      <c r="B693" s="1953"/>
      <c r="C693" s="1953"/>
      <c r="D693" s="1953"/>
      <c r="E693" s="1953"/>
      <c r="F693" s="1953"/>
      <c r="G693" s="1953"/>
      <c r="H693" s="1953"/>
      <c r="I693"/>
      <c r="J693"/>
      <c r="K693"/>
    </row>
    <row r="694" spans="2:11" x14ac:dyDescent="0.35">
      <c r="B694" s="1953"/>
      <c r="C694" s="1953"/>
      <c r="D694" s="1953"/>
      <c r="E694" s="1953"/>
      <c r="F694" s="1953"/>
      <c r="G694" s="1953"/>
      <c r="H694" s="1953"/>
      <c r="I694"/>
      <c r="J694"/>
      <c r="K694"/>
    </row>
    <row r="695" spans="2:11" x14ac:dyDescent="0.35">
      <c r="B695" s="1953"/>
      <c r="C695" s="1953"/>
      <c r="D695" s="1953"/>
      <c r="E695" s="1953"/>
      <c r="F695" s="1953"/>
      <c r="G695" s="1953"/>
      <c r="H695" s="1953"/>
      <c r="I695"/>
      <c r="J695"/>
      <c r="K695"/>
    </row>
    <row r="696" spans="2:11" x14ac:dyDescent="0.35">
      <c r="B696" s="1953"/>
      <c r="C696" s="1953"/>
      <c r="D696" s="1953"/>
      <c r="E696" s="1953"/>
      <c r="F696" s="1953"/>
      <c r="G696" s="1953"/>
      <c r="H696" s="1953"/>
      <c r="I696"/>
      <c r="J696"/>
      <c r="K696"/>
    </row>
    <row r="697" spans="2:11" x14ac:dyDescent="0.35">
      <c r="B697" s="1953"/>
      <c r="C697" s="1953"/>
      <c r="D697" s="1953"/>
      <c r="E697" s="1953"/>
      <c r="F697" s="1953"/>
      <c r="G697" s="1953"/>
      <c r="H697" s="1953"/>
      <c r="I697"/>
      <c r="J697"/>
      <c r="K697"/>
    </row>
    <row r="698" spans="2:11" x14ac:dyDescent="0.35">
      <c r="B698" s="1953"/>
      <c r="C698" s="1953"/>
      <c r="D698" s="1953"/>
      <c r="E698" s="1953"/>
      <c r="F698" s="1953"/>
      <c r="G698" s="1953"/>
      <c r="H698" s="1953"/>
      <c r="I698"/>
      <c r="J698"/>
      <c r="K698"/>
    </row>
    <row r="699" spans="2:11" x14ac:dyDescent="0.35">
      <c r="B699" s="1953"/>
      <c r="C699" s="1953"/>
      <c r="D699" s="1953"/>
      <c r="E699" s="1953"/>
      <c r="F699" s="1953"/>
      <c r="G699" s="1953"/>
      <c r="H699" s="1953"/>
      <c r="I699"/>
      <c r="J699"/>
      <c r="K699"/>
    </row>
    <row r="700" spans="2:11" x14ac:dyDescent="0.35">
      <c r="B700" s="1953"/>
      <c r="C700" s="1953"/>
      <c r="D700" s="1953"/>
      <c r="E700" s="1953"/>
      <c r="F700" s="1953"/>
      <c r="G700" s="1953"/>
      <c r="H700" s="1953"/>
      <c r="I700"/>
      <c r="J700"/>
      <c r="K700"/>
    </row>
    <row r="701" spans="2:11" x14ac:dyDescent="0.35">
      <c r="B701" s="1953"/>
      <c r="C701" s="1953"/>
      <c r="D701" s="1953"/>
      <c r="E701" s="1953"/>
      <c r="F701" s="1953"/>
      <c r="G701" s="1953"/>
      <c r="H701" s="1953"/>
      <c r="I701"/>
      <c r="J701"/>
      <c r="K701"/>
    </row>
    <row r="702" spans="2:11" x14ac:dyDescent="0.35">
      <c r="B702" s="1953"/>
      <c r="C702" s="1953"/>
      <c r="D702" s="1953"/>
      <c r="E702" s="1953"/>
      <c r="F702" s="1953"/>
      <c r="G702" s="1953"/>
      <c r="H702" s="1953"/>
      <c r="I702"/>
      <c r="J702"/>
      <c r="K702"/>
    </row>
    <row r="703" spans="2:11" x14ac:dyDescent="0.35">
      <c r="B703" s="1953"/>
      <c r="C703" s="1953"/>
      <c r="D703" s="1953"/>
      <c r="E703" s="1953"/>
      <c r="F703" s="1953"/>
      <c r="G703" s="1953"/>
      <c r="H703" s="1953"/>
      <c r="I703"/>
      <c r="J703"/>
      <c r="K703"/>
    </row>
    <row r="704" spans="2:11" x14ac:dyDescent="0.35">
      <c r="B704" s="1953"/>
      <c r="C704" s="1953"/>
      <c r="D704" s="1953"/>
      <c r="E704" s="1953"/>
      <c r="F704" s="1953"/>
      <c r="G704" s="1953"/>
      <c r="H704" s="1953"/>
      <c r="I704"/>
      <c r="J704"/>
      <c r="K704"/>
    </row>
    <row r="705" spans="2:11" x14ac:dyDescent="0.35">
      <c r="B705" s="1953"/>
      <c r="C705" s="1953"/>
      <c r="D705" s="1953"/>
      <c r="E705" s="1953"/>
      <c r="F705" s="1953"/>
      <c r="G705" s="1953"/>
      <c r="H705" s="1953"/>
      <c r="I705"/>
      <c r="J705"/>
      <c r="K705"/>
    </row>
    <row r="706" spans="2:11" x14ac:dyDescent="0.35">
      <c r="B706" s="1953"/>
      <c r="C706" s="1953"/>
      <c r="D706" s="1953"/>
      <c r="E706" s="1953"/>
      <c r="F706" s="1953"/>
      <c r="G706" s="1953"/>
      <c r="H706" s="1953"/>
      <c r="I706"/>
      <c r="J706"/>
      <c r="K706"/>
    </row>
    <row r="707" spans="2:11" x14ac:dyDescent="0.35">
      <c r="B707" s="1953"/>
      <c r="C707" s="1953"/>
      <c r="D707" s="1953"/>
      <c r="E707" s="1953"/>
      <c r="F707" s="1953"/>
      <c r="G707" s="1953"/>
      <c r="H707" s="1953"/>
      <c r="I707"/>
      <c r="J707"/>
      <c r="K707"/>
    </row>
    <row r="708" spans="2:11" x14ac:dyDescent="0.35">
      <c r="B708" s="1953"/>
      <c r="C708" s="1953"/>
      <c r="D708" s="1953"/>
      <c r="E708" s="1953"/>
      <c r="F708" s="1953"/>
      <c r="G708" s="1953"/>
      <c r="H708" s="1953"/>
      <c r="I708"/>
      <c r="J708"/>
      <c r="K708"/>
    </row>
    <row r="709" spans="2:11" x14ac:dyDescent="0.35">
      <c r="B709" s="1953"/>
      <c r="C709" s="1953"/>
      <c r="D709" s="1953"/>
      <c r="E709" s="1953"/>
      <c r="F709" s="1953"/>
      <c r="G709" s="1953"/>
      <c r="H709" s="1953"/>
      <c r="I709"/>
      <c r="J709"/>
      <c r="K709"/>
    </row>
    <row r="710" spans="2:11" x14ac:dyDescent="0.35">
      <c r="B710" s="1953"/>
      <c r="C710" s="1953"/>
      <c r="D710" s="1953"/>
      <c r="E710" s="1953"/>
      <c r="F710" s="1953"/>
      <c r="G710" s="1953"/>
      <c r="H710" s="1953"/>
      <c r="I710"/>
      <c r="J710"/>
      <c r="K710"/>
    </row>
    <row r="711" spans="2:11" x14ac:dyDescent="0.35">
      <c r="B711" s="1953"/>
      <c r="C711" s="1953"/>
      <c r="D711" s="1953"/>
      <c r="E711" s="1953"/>
      <c r="F711" s="1953"/>
      <c r="G711" s="1953"/>
      <c r="H711" s="1953"/>
      <c r="I711"/>
      <c r="J711"/>
      <c r="K711"/>
    </row>
    <row r="712" spans="2:11" x14ac:dyDescent="0.35">
      <c r="B712" s="1953"/>
      <c r="C712" s="1953"/>
      <c r="D712" s="1953"/>
      <c r="E712" s="1953"/>
      <c r="F712" s="1953"/>
      <c r="G712" s="1953"/>
      <c r="H712" s="1953"/>
      <c r="I712"/>
      <c r="J712"/>
      <c r="K712"/>
    </row>
    <row r="713" spans="2:11" x14ac:dyDescent="0.35">
      <c r="B713" s="1953"/>
      <c r="C713" s="1953"/>
      <c r="D713" s="1953"/>
      <c r="E713" s="1953"/>
      <c r="F713" s="1953"/>
      <c r="G713" s="1953"/>
      <c r="H713" s="1953"/>
      <c r="I713"/>
      <c r="J713"/>
      <c r="K713"/>
    </row>
    <row r="714" spans="2:11" x14ac:dyDescent="0.35">
      <c r="B714" s="1953"/>
      <c r="C714" s="1953"/>
      <c r="D714" s="1953"/>
      <c r="E714" s="1953"/>
      <c r="F714" s="1953"/>
      <c r="G714" s="1953"/>
      <c r="H714" s="1953"/>
      <c r="I714"/>
      <c r="J714"/>
      <c r="K714"/>
    </row>
    <row r="715" spans="2:11" x14ac:dyDescent="0.35">
      <c r="B715" s="1953"/>
      <c r="C715" s="1953"/>
      <c r="D715" s="1953"/>
      <c r="E715" s="1953"/>
      <c r="F715" s="1953"/>
      <c r="G715" s="1953"/>
      <c r="H715" s="1953"/>
      <c r="I715"/>
      <c r="J715"/>
      <c r="K715"/>
    </row>
    <row r="716" spans="2:11" x14ac:dyDescent="0.35">
      <c r="B716" s="1953"/>
      <c r="C716" s="1953"/>
      <c r="D716" s="1953"/>
      <c r="E716" s="1953"/>
      <c r="F716" s="1953"/>
      <c r="G716" s="1953"/>
      <c r="H716" s="1953"/>
      <c r="I716"/>
      <c r="J716"/>
      <c r="K716"/>
    </row>
    <row r="717" spans="2:11" x14ac:dyDescent="0.35">
      <c r="B717" s="1953"/>
      <c r="C717" s="1953"/>
      <c r="D717" s="1953"/>
      <c r="E717" s="1953"/>
      <c r="F717" s="1953"/>
      <c r="G717" s="1953"/>
      <c r="H717" s="1953"/>
      <c r="I717"/>
      <c r="J717"/>
      <c r="K717"/>
    </row>
    <row r="718" spans="2:11" x14ac:dyDescent="0.35">
      <c r="B718" s="1953"/>
      <c r="C718" s="1953"/>
      <c r="D718" s="1953"/>
      <c r="E718" s="1953"/>
      <c r="F718" s="1953"/>
      <c r="G718" s="1953"/>
      <c r="H718" s="1953"/>
      <c r="I718"/>
      <c r="J718"/>
      <c r="K718"/>
    </row>
    <row r="719" spans="2:11" x14ac:dyDescent="0.35">
      <c r="B719" s="1953"/>
      <c r="C719" s="1953"/>
      <c r="D719" s="1953"/>
      <c r="E719" s="1953"/>
      <c r="F719" s="1953"/>
      <c r="G719" s="1953"/>
      <c r="H719" s="1953"/>
      <c r="I719"/>
      <c r="J719"/>
      <c r="K719"/>
    </row>
    <row r="720" spans="2:11" x14ac:dyDescent="0.35">
      <c r="B720" s="1953"/>
      <c r="C720" s="1953"/>
      <c r="D720" s="1953"/>
      <c r="E720" s="1953"/>
      <c r="F720" s="1953"/>
      <c r="G720" s="1953"/>
      <c r="H720" s="1953"/>
      <c r="I720"/>
      <c r="J720"/>
      <c r="K720"/>
    </row>
    <row r="721" spans="2:11" x14ac:dyDescent="0.35">
      <c r="B721" s="1953"/>
      <c r="C721" s="1953"/>
      <c r="D721" s="1953"/>
      <c r="E721" s="1953"/>
      <c r="F721" s="1953"/>
      <c r="G721" s="1953"/>
      <c r="H721" s="1953"/>
      <c r="I721"/>
      <c r="J721"/>
      <c r="K721"/>
    </row>
    <row r="722" spans="2:11" x14ac:dyDescent="0.35">
      <c r="B722" s="1953"/>
      <c r="C722" s="1953"/>
      <c r="D722" s="1953"/>
      <c r="E722" s="1953"/>
      <c r="F722" s="1953"/>
      <c r="G722" s="1953"/>
      <c r="H722" s="1953"/>
      <c r="I722"/>
      <c r="J722"/>
      <c r="K722"/>
    </row>
    <row r="723" spans="2:11" x14ac:dyDescent="0.35">
      <c r="B723" s="1953"/>
      <c r="C723" s="1953"/>
      <c r="D723" s="1953"/>
      <c r="E723" s="1953"/>
      <c r="F723" s="1953"/>
      <c r="G723" s="1953"/>
      <c r="H723" s="1953"/>
      <c r="I723"/>
      <c r="J723"/>
      <c r="K723"/>
    </row>
    <row r="724" spans="2:11" x14ac:dyDescent="0.35">
      <c r="B724" s="1953"/>
      <c r="C724" s="1953"/>
      <c r="D724" s="1953"/>
      <c r="E724" s="1953"/>
      <c r="F724" s="1953"/>
      <c r="G724" s="1953"/>
      <c r="H724" s="1953"/>
      <c r="I724"/>
      <c r="J724"/>
      <c r="K724"/>
    </row>
    <row r="725" spans="2:11" x14ac:dyDescent="0.35">
      <c r="B725" s="1953"/>
      <c r="C725" s="1953"/>
      <c r="D725" s="1953"/>
      <c r="E725" s="1953"/>
      <c r="F725" s="1953"/>
      <c r="G725" s="1953"/>
      <c r="H725" s="1953"/>
      <c r="I725"/>
      <c r="J725"/>
      <c r="K725"/>
    </row>
    <row r="726" spans="2:11" x14ac:dyDescent="0.35">
      <c r="B726" s="1953"/>
      <c r="C726" s="1953"/>
      <c r="D726" s="1953"/>
      <c r="E726" s="1953"/>
      <c r="F726" s="1953"/>
      <c r="G726" s="1953"/>
      <c r="H726" s="1953"/>
      <c r="I726"/>
      <c r="J726"/>
      <c r="K726"/>
    </row>
    <row r="727" spans="2:11" x14ac:dyDescent="0.35">
      <c r="B727" s="1953"/>
      <c r="C727" s="1953"/>
      <c r="D727" s="1953"/>
      <c r="E727" s="1953"/>
      <c r="F727" s="1953"/>
      <c r="G727" s="1953"/>
      <c r="H727" s="1953"/>
      <c r="I727"/>
      <c r="J727"/>
      <c r="K727"/>
    </row>
    <row r="728" spans="2:11" x14ac:dyDescent="0.35">
      <c r="B728" s="1953"/>
      <c r="C728" s="1953"/>
      <c r="D728" s="1953"/>
      <c r="E728" s="1953"/>
      <c r="F728" s="1953"/>
      <c r="G728" s="1953"/>
      <c r="H728" s="1953"/>
      <c r="I728"/>
      <c r="J728"/>
      <c r="K728"/>
    </row>
    <row r="729" spans="2:11" x14ac:dyDescent="0.35">
      <c r="B729" s="1953"/>
      <c r="C729" s="1953"/>
      <c r="D729" s="1953"/>
      <c r="E729" s="1953"/>
      <c r="F729" s="1953"/>
      <c r="G729" s="1953"/>
      <c r="H729" s="1953"/>
      <c r="I729"/>
      <c r="J729"/>
      <c r="K729"/>
    </row>
    <row r="730" spans="2:11" x14ac:dyDescent="0.35">
      <c r="B730" s="1953"/>
      <c r="C730" s="1953"/>
      <c r="D730" s="1953"/>
      <c r="E730" s="1953"/>
      <c r="F730" s="1953"/>
      <c r="G730" s="1953"/>
      <c r="H730" s="1953"/>
      <c r="I730"/>
      <c r="J730"/>
      <c r="K730"/>
    </row>
    <row r="731" spans="2:11" x14ac:dyDescent="0.35">
      <c r="B731" s="1953"/>
      <c r="C731" s="1953"/>
      <c r="D731" s="1953"/>
      <c r="E731" s="1953"/>
      <c r="F731" s="1953"/>
      <c r="G731" s="1953"/>
      <c r="H731" s="1953"/>
      <c r="I731"/>
      <c r="J731"/>
      <c r="K731"/>
    </row>
    <row r="732" spans="2:11" x14ac:dyDescent="0.35">
      <c r="B732" s="1953"/>
      <c r="C732" s="1953"/>
      <c r="D732" s="1953"/>
      <c r="E732" s="1953"/>
      <c r="F732" s="1953"/>
      <c r="G732" s="1953"/>
      <c r="H732" s="1953"/>
      <c r="I732"/>
      <c r="J732"/>
      <c r="K732"/>
    </row>
    <row r="733" spans="2:11" x14ac:dyDescent="0.35">
      <c r="B733" s="1953"/>
      <c r="C733" s="1953"/>
      <c r="D733" s="1953"/>
      <c r="E733" s="1953"/>
      <c r="F733" s="1953"/>
      <c r="G733" s="1953"/>
      <c r="H733" s="1953"/>
      <c r="I733"/>
      <c r="J733"/>
      <c r="K733"/>
    </row>
    <row r="734" spans="2:11" x14ac:dyDescent="0.35">
      <c r="B734" s="1953"/>
      <c r="C734" s="1953"/>
      <c r="D734" s="1953"/>
      <c r="E734" s="1953"/>
      <c r="F734" s="1953"/>
      <c r="G734" s="1953"/>
      <c r="H734" s="1953"/>
      <c r="I734"/>
      <c r="J734"/>
      <c r="K734"/>
    </row>
    <row r="735" spans="2:11" x14ac:dyDescent="0.35">
      <c r="B735" s="1953"/>
      <c r="C735" s="1953"/>
      <c r="D735" s="1953"/>
      <c r="E735" s="1953"/>
      <c r="F735" s="1953"/>
      <c r="G735" s="1953"/>
      <c r="H735" s="1953"/>
      <c r="I735"/>
      <c r="J735"/>
      <c r="K735"/>
    </row>
    <row r="736" spans="2:11" x14ac:dyDescent="0.35">
      <c r="B736" s="1953"/>
      <c r="C736" s="1953"/>
      <c r="D736" s="1953"/>
      <c r="E736" s="1953"/>
      <c r="F736" s="1953"/>
      <c r="G736" s="1953"/>
      <c r="H736" s="1953"/>
      <c r="I736"/>
      <c r="J736"/>
      <c r="K736"/>
    </row>
    <row r="737" spans="2:11" x14ac:dyDescent="0.35">
      <c r="B737" s="1953"/>
      <c r="C737" s="1953"/>
      <c r="D737" s="1953"/>
      <c r="E737" s="1953"/>
      <c r="F737" s="1953"/>
      <c r="G737" s="1953"/>
      <c r="H737" s="1953"/>
      <c r="I737"/>
      <c r="J737"/>
      <c r="K737"/>
    </row>
    <row r="738" spans="2:11" x14ac:dyDescent="0.35">
      <c r="B738" s="1953"/>
      <c r="C738" s="1953"/>
      <c r="D738" s="1953"/>
      <c r="E738" s="1953"/>
      <c r="F738" s="1953"/>
      <c r="G738" s="1953"/>
      <c r="H738" s="1953"/>
      <c r="I738"/>
      <c r="J738"/>
      <c r="K738"/>
    </row>
    <row r="739" spans="2:11" x14ac:dyDescent="0.35">
      <c r="B739" s="1953"/>
      <c r="C739" s="1953"/>
      <c r="D739" s="1953"/>
      <c r="E739" s="1953"/>
      <c r="F739" s="1953"/>
      <c r="G739" s="1953"/>
      <c r="H739" s="1953"/>
      <c r="I739"/>
      <c r="J739"/>
      <c r="K739"/>
    </row>
    <row r="740" spans="2:11" x14ac:dyDescent="0.35">
      <c r="B740" s="1953"/>
      <c r="C740" s="1953"/>
      <c r="D740" s="1953"/>
      <c r="E740" s="1953"/>
      <c r="F740" s="1953"/>
      <c r="G740" s="1953"/>
      <c r="H740" s="1953"/>
      <c r="I740"/>
      <c r="J740"/>
      <c r="K740"/>
    </row>
    <row r="741" spans="2:11" x14ac:dyDescent="0.35">
      <c r="B741" s="1953"/>
      <c r="C741" s="1953"/>
      <c r="D741" s="1953"/>
      <c r="E741" s="1953"/>
      <c r="F741" s="1953"/>
      <c r="G741" s="1953"/>
      <c r="H741" s="1953"/>
      <c r="I741"/>
      <c r="J741"/>
      <c r="K741"/>
    </row>
    <row r="742" spans="2:11" x14ac:dyDescent="0.35">
      <c r="B742" s="1953"/>
      <c r="C742" s="1953"/>
      <c r="D742" s="1953"/>
      <c r="E742" s="1953"/>
      <c r="F742" s="1953"/>
      <c r="G742" s="1953"/>
      <c r="H742" s="1953"/>
      <c r="I742"/>
      <c r="J742"/>
      <c r="K742"/>
    </row>
    <row r="743" spans="2:11" x14ac:dyDescent="0.35">
      <c r="B743" s="1953"/>
      <c r="C743" s="1953"/>
      <c r="D743" s="1953"/>
      <c r="E743" s="1953"/>
      <c r="F743" s="1953"/>
      <c r="G743" s="1953"/>
      <c r="H743" s="1953"/>
      <c r="I743"/>
      <c r="J743"/>
      <c r="K743"/>
    </row>
    <row r="744" spans="2:11" x14ac:dyDescent="0.35">
      <c r="B744" s="1953"/>
      <c r="C744" s="1953"/>
      <c r="D744" s="1953"/>
      <c r="E744" s="1953"/>
      <c r="F744" s="1953"/>
      <c r="G744" s="1953"/>
      <c r="H744" s="1953"/>
      <c r="I744"/>
      <c r="J744"/>
      <c r="K744"/>
    </row>
    <row r="745" spans="2:11" x14ac:dyDescent="0.35">
      <c r="B745" s="1953"/>
      <c r="C745" s="1953"/>
      <c r="D745" s="1953"/>
      <c r="E745" s="1953"/>
      <c r="F745" s="1953"/>
      <c r="G745" s="1953"/>
      <c r="H745" s="1953"/>
      <c r="I745"/>
      <c r="J745"/>
      <c r="K745"/>
    </row>
    <row r="746" spans="2:11" x14ac:dyDescent="0.35">
      <c r="B746" s="1953"/>
      <c r="C746" s="1953"/>
      <c r="D746" s="1953"/>
      <c r="E746" s="1953"/>
      <c r="F746" s="1953"/>
      <c r="G746" s="1953"/>
      <c r="H746" s="1953"/>
      <c r="I746"/>
      <c r="J746"/>
      <c r="K746"/>
    </row>
    <row r="747" spans="2:11" x14ac:dyDescent="0.35">
      <c r="B747" s="1953"/>
      <c r="C747" s="1953"/>
      <c r="D747" s="1953"/>
      <c r="E747" s="1953"/>
      <c r="F747" s="1953"/>
      <c r="G747" s="1953"/>
      <c r="H747" s="1953"/>
      <c r="I747"/>
      <c r="J747"/>
      <c r="K747"/>
    </row>
    <row r="748" spans="2:11" x14ac:dyDescent="0.35">
      <c r="B748" s="1953"/>
      <c r="C748" s="1953"/>
      <c r="D748" s="1953"/>
      <c r="E748" s="1953"/>
      <c r="F748" s="1953"/>
      <c r="G748" s="1953"/>
      <c r="H748" s="1953"/>
      <c r="I748"/>
      <c r="J748"/>
      <c r="K748"/>
    </row>
    <row r="749" spans="2:11" x14ac:dyDescent="0.35">
      <c r="B749" s="1953"/>
      <c r="C749" s="1953"/>
      <c r="D749" s="1953"/>
      <c r="E749" s="1953"/>
      <c r="F749" s="1953"/>
      <c r="G749" s="1953"/>
      <c r="H749" s="1953"/>
      <c r="I749"/>
      <c r="J749"/>
      <c r="K749"/>
    </row>
    <row r="750" spans="2:11" x14ac:dyDescent="0.35">
      <c r="B750" s="1953"/>
      <c r="C750" s="1953"/>
      <c r="D750" s="1953"/>
      <c r="E750" s="1953"/>
      <c r="F750" s="1953"/>
      <c r="G750" s="1953"/>
      <c r="H750" s="1953"/>
      <c r="I750"/>
      <c r="J750"/>
      <c r="K750"/>
    </row>
    <row r="751" spans="2:11" x14ac:dyDescent="0.35">
      <c r="B751" s="1953"/>
      <c r="C751" s="1953"/>
      <c r="D751" s="1953"/>
      <c r="E751" s="1953"/>
      <c r="F751" s="1953"/>
      <c r="G751" s="1953"/>
      <c r="H751" s="1953"/>
      <c r="I751"/>
      <c r="J751"/>
      <c r="K751"/>
    </row>
    <row r="752" spans="2:11" x14ac:dyDescent="0.35">
      <c r="B752" s="1953"/>
      <c r="C752" s="1953"/>
      <c r="D752" s="1953"/>
      <c r="E752" s="1953"/>
      <c r="F752" s="1953"/>
      <c r="G752" s="1953"/>
      <c r="H752" s="1953"/>
      <c r="I752"/>
      <c r="J752"/>
      <c r="K752"/>
    </row>
    <row r="753" spans="2:11" x14ac:dyDescent="0.35">
      <c r="B753" s="1953"/>
      <c r="C753" s="1953"/>
      <c r="D753" s="1953"/>
      <c r="E753" s="1953"/>
      <c r="F753" s="1953"/>
      <c r="G753" s="1953"/>
      <c r="H753" s="1953"/>
      <c r="I753"/>
      <c r="J753"/>
      <c r="K753"/>
    </row>
    <row r="754" spans="2:11" x14ac:dyDescent="0.35">
      <c r="B754" s="1953"/>
      <c r="C754" s="1953"/>
      <c r="D754" s="1953"/>
      <c r="E754" s="1953"/>
      <c r="F754" s="1953"/>
      <c r="G754" s="1953"/>
      <c r="H754" s="1953"/>
      <c r="I754"/>
      <c r="J754"/>
      <c r="K754"/>
    </row>
    <row r="755" spans="2:11" x14ac:dyDescent="0.35">
      <c r="B755" s="1953"/>
      <c r="C755" s="1953"/>
      <c r="D755" s="1953"/>
      <c r="E755" s="1953"/>
      <c r="F755" s="1953"/>
      <c r="G755" s="1953"/>
      <c r="H755" s="1953"/>
      <c r="I755"/>
      <c r="J755"/>
      <c r="K755"/>
    </row>
    <row r="756" spans="2:11" x14ac:dyDescent="0.35">
      <c r="B756" s="1953"/>
      <c r="C756" s="1953"/>
      <c r="D756" s="1953"/>
      <c r="E756" s="1953"/>
      <c r="F756" s="1953"/>
      <c r="G756" s="1953"/>
      <c r="H756" s="1953"/>
      <c r="I756"/>
      <c r="J756"/>
      <c r="K756"/>
    </row>
    <row r="757" spans="2:11" x14ac:dyDescent="0.35">
      <c r="B757" s="1953"/>
      <c r="C757" s="1953"/>
      <c r="D757" s="1953"/>
      <c r="E757" s="1953"/>
      <c r="F757" s="1953"/>
      <c r="G757" s="1953"/>
      <c r="H757" s="1953"/>
      <c r="I757"/>
      <c r="J757"/>
      <c r="K757"/>
    </row>
    <row r="758" spans="2:11" x14ac:dyDescent="0.35">
      <c r="B758" s="1953"/>
      <c r="C758" s="1953"/>
      <c r="D758" s="1953"/>
      <c r="E758" s="1953"/>
      <c r="F758" s="1953"/>
      <c r="G758" s="1953"/>
      <c r="H758" s="1953"/>
      <c r="I758"/>
      <c r="J758"/>
      <c r="K758"/>
    </row>
    <row r="759" spans="2:11" x14ac:dyDescent="0.35">
      <c r="B759" s="1953"/>
      <c r="C759" s="1953"/>
      <c r="D759" s="1953"/>
      <c r="E759" s="1953"/>
      <c r="F759" s="1953"/>
      <c r="G759" s="1953"/>
      <c r="H759" s="1953"/>
      <c r="I759"/>
      <c r="J759"/>
      <c r="K759"/>
    </row>
    <row r="760" spans="2:11" x14ac:dyDescent="0.35">
      <c r="B760" s="1953"/>
      <c r="C760" s="1953"/>
      <c r="D760" s="1953"/>
      <c r="E760" s="1953"/>
      <c r="F760" s="1953"/>
      <c r="G760" s="1953"/>
      <c r="H760" s="1953"/>
      <c r="I760"/>
      <c r="J760"/>
      <c r="K760"/>
    </row>
    <row r="761" spans="2:11" x14ac:dyDescent="0.35">
      <c r="B761" s="1953"/>
      <c r="C761" s="1953"/>
      <c r="D761" s="1953"/>
      <c r="E761" s="1953"/>
      <c r="F761" s="1953"/>
      <c r="G761" s="1953"/>
      <c r="H761" s="1953"/>
      <c r="I761"/>
      <c r="J761"/>
      <c r="K761"/>
    </row>
    <row r="762" spans="2:11" x14ac:dyDescent="0.35">
      <c r="B762" s="1953"/>
      <c r="C762" s="1953"/>
      <c r="D762" s="1953"/>
      <c r="E762" s="1953"/>
      <c r="F762" s="1953"/>
      <c r="G762" s="1953"/>
      <c r="H762" s="1953"/>
      <c r="I762"/>
      <c r="J762"/>
      <c r="K762"/>
    </row>
    <row r="763" spans="2:11" x14ac:dyDescent="0.35">
      <c r="B763" s="1953"/>
      <c r="C763" s="1953"/>
      <c r="D763" s="1953"/>
      <c r="E763" s="1953"/>
      <c r="F763" s="1953"/>
      <c r="G763" s="1953"/>
      <c r="H763" s="1953"/>
      <c r="I763"/>
      <c r="J763"/>
      <c r="K763"/>
    </row>
    <row r="764" spans="2:11" x14ac:dyDescent="0.35">
      <c r="B764" s="1953"/>
      <c r="C764" s="1953"/>
      <c r="D764" s="1953"/>
      <c r="E764" s="1953"/>
      <c r="F764" s="1953"/>
      <c r="G764" s="1953"/>
      <c r="H764" s="1953"/>
      <c r="I764"/>
      <c r="J764"/>
      <c r="K764"/>
    </row>
    <row r="765" spans="2:11" x14ac:dyDescent="0.35">
      <c r="B765" s="1953"/>
      <c r="C765" s="1953"/>
      <c r="D765" s="1953"/>
      <c r="E765" s="1953"/>
      <c r="F765" s="1953"/>
      <c r="G765" s="1953"/>
      <c r="H765" s="1953"/>
      <c r="I765"/>
      <c r="J765"/>
      <c r="K765"/>
    </row>
    <row r="766" spans="2:11" x14ac:dyDescent="0.35">
      <c r="B766" s="1953"/>
      <c r="C766" s="1953"/>
      <c r="D766" s="1953"/>
      <c r="E766" s="1953"/>
      <c r="F766" s="1953"/>
      <c r="G766" s="1953"/>
      <c r="H766" s="1953"/>
      <c r="I766"/>
      <c r="J766"/>
      <c r="K766"/>
    </row>
    <row r="767" spans="2:11" x14ac:dyDescent="0.35">
      <c r="B767" s="1953"/>
      <c r="C767" s="1953"/>
      <c r="D767" s="1953"/>
      <c r="E767" s="1953"/>
      <c r="F767" s="1953"/>
      <c r="G767" s="1953"/>
      <c r="H767" s="1953"/>
      <c r="I767"/>
      <c r="J767"/>
      <c r="K767"/>
    </row>
    <row r="768" spans="2:11" x14ac:dyDescent="0.35">
      <c r="B768" s="1953"/>
      <c r="C768" s="1953"/>
      <c r="D768" s="1953"/>
      <c r="E768" s="1953"/>
      <c r="F768" s="1953"/>
      <c r="G768" s="1953"/>
      <c r="H768" s="1953"/>
      <c r="I768"/>
      <c r="J768"/>
      <c r="K768"/>
    </row>
    <row r="769" spans="2:11" x14ac:dyDescent="0.35">
      <c r="B769" s="1953"/>
      <c r="C769" s="1953"/>
      <c r="D769" s="1953"/>
      <c r="E769" s="1953"/>
      <c r="F769" s="1953"/>
      <c r="G769" s="1953"/>
      <c r="H769" s="1953"/>
      <c r="I769"/>
      <c r="J769"/>
      <c r="K769"/>
    </row>
    <row r="770" spans="2:11" x14ac:dyDescent="0.35">
      <c r="B770" s="1953"/>
      <c r="C770" s="1953"/>
      <c r="D770" s="1953"/>
      <c r="E770" s="1953"/>
      <c r="F770" s="1953"/>
      <c r="G770" s="1953"/>
      <c r="H770" s="1953"/>
      <c r="I770"/>
      <c r="J770"/>
      <c r="K770"/>
    </row>
    <row r="771" spans="2:11" x14ac:dyDescent="0.35">
      <c r="B771" s="1953"/>
      <c r="C771" s="1953"/>
      <c r="D771" s="1953"/>
      <c r="E771" s="1953"/>
      <c r="F771" s="1953"/>
      <c r="G771" s="1953"/>
      <c r="H771" s="1953"/>
      <c r="I771"/>
      <c r="J771"/>
      <c r="K771"/>
    </row>
    <row r="772" spans="2:11" x14ac:dyDescent="0.35">
      <c r="B772" s="1953"/>
      <c r="C772" s="1953"/>
      <c r="D772" s="1953"/>
      <c r="E772" s="1953"/>
      <c r="F772" s="1953"/>
      <c r="G772" s="1953"/>
      <c r="H772" s="1953"/>
      <c r="I772"/>
      <c r="J772"/>
      <c r="K772"/>
    </row>
    <row r="773" spans="2:11" x14ac:dyDescent="0.35">
      <c r="B773" s="1953"/>
      <c r="C773" s="1953"/>
      <c r="D773" s="1953"/>
      <c r="E773" s="1953"/>
      <c r="F773" s="1953"/>
      <c r="G773" s="1953"/>
      <c r="H773" s="1953"/>
      <c r="I773"/>
      <c r="J773"/>
      <c r="K773"/>
    </row>
    <row r="774" spans="2:11" x14ac:dyDescent="0.35">
      <c r="B774" s="1953"/>
      <c r="C774" s="1953"/>
      <c r="D774" s="1953"/>
      <c r="E774" s="1953"/>
      <c r="F774" s="1953"/>
      <c r="G774" s="1953"/>
      <c r="H774" s="1953"/>
      <c r="I774"/>
      <c r="J774"/>
      <c r="K774"/>
    </row>
    <row r="775" spans="2:11" x14ac:dyDescent="0.35">
      <c r="B775" s="1953"/>
      <c r="C775" s="1953"/>
      <c r="D775" s="1953"/>
      <c r="E775" s="1953"/>
      <c r="F775" s="1953"/>
      <c r="G775" s="1953"/>
      <c r="H775" s="1953"/>
      <c r="I775"/>
      <c r="J775"/>
      <c r="K775"/>
    </row>
    <row r="776" spans="2:11" x14ac:dyDescent="0.35">
      <c r="B776" s="1953"/>
      <c r="C776" s="1953"/>
      <c r="D776" s="1953"/>
      <c r="E776" s="1953"/>
      <c r="F776" s="1953"/>
      <c r="G776" s="1953"/>
      <c r="H776" s="1953"/>
      <c r="I776"/>
      <c r="J776"/>
      <c r="K776"/>
    </row>
    <row r="777" spans="2:11" x14ac:dyDescent="0.35">
      <c r="B777" s="1953"/>
      <c r="C777" s="1953"/>
      <c r="D777" s="1953"/>
      <c r="E777" s="1953"/>
      <c r="F777" s="1953"/>
      <c r="G777" s="1953"/>
      <c r="H777" s="1953"/>
      <c r="I777"/>
      <c r="J777"/>
      <c r="K777"/>
    </row>
    <row r="778" spans="2:11" x14ac:dyDescent="0.35">
      <c r="B778" s="1953"/>
      <c r="C778" s="1953"/>
      <c r="D778" s="1953"/>
      <c r="E778" s="1953"/>
      <c r="F778" s="1953"/>
      <c r="G778" s="1953"/>
      <c r="H778" s="1953"/>
      <c r="I778"/>
      <c r="J778"/>
      <c r="K778"/>
    </row>
    <row r="779" spans="2:11" x14ac:dyDescent="0.35">
      <c r="B779" s="1953"/>
      <c r="C779" s="1953"/>
      <c r="D779" s="1953"/>
      <c r="E779" s="1953"/>
      <c r="F779" s="1953"/>
      <c r="G779" s="1953"/>
      <c r="H779" s="1953"/>
      <c r="I779"/>
      <c r="J779"/>
      <c r="K779"/>
    </row>
    <row r="780" spans="2:11" x14ac:dyDescent="0.35">
      <c r="B780" s="1953"/>
      <c r="C780" s="1953"/>
      <c r="D780" s="1953"/>
      <c r="E780" s="1953"/>
      <c r="F780" s="1953"/>
      <c r="G780" s="1953"/>
      <c r="H780" s="1953"/>
      <c r="I780"/>
      <c r="J780"/>
      <c r="K780"/>
    </row>
    <row r="781" spans="2:11" x14ac:dyDescent="0.35">
      <c r="B781" s="1953"/>
      <c r="C781" s="1953"/>
      <c r="D781" s="1953"/>
      <c r="E781" s="1953"/>
      <c r="F781" s="1953"/>
      <c r="G781" s="1953"/>
      <c r="H781" s="1953"/>
      <c r="I781"/>
      <c r="J781"/>
      <c r="K781"/>
    </row>
    <row r="782" spans="2:11" x14ac:dyDescent="0.35">
      <c r="B782" s="1953"/>
      <c r="C782" s="1953"/>
      <c r="D782" s="1953"/>
      <c r="E782" s="1953"/>
      <c r="F782" s="1953"/>
      <c r="G782" s="1953"/>
      <c r="H782" s="1953"/>
      <c r="I782"/>
      <c r="J782"/>
      <c r="K782"/>
    </row>
    <row r="783" spans="2:11" x14ac:dyDescent="0.35">
      <c r="B783" s="1953"/>
      <c r="C783" s="1953"/>
      <c r="D783" s="1953"/>
      <c r="E783" s="1953"/>
      <c r="F783" s="1953"/>
      <c r="G783" s="1953"/>
      <c r="H783" s="1953"/>
      <c r="I783"/>
      <c r="J783"/>
      <c r="K783"/>
    </row>
    <row r="784" spans="2:11" x14ac:dyDescent="0.35">
      <c r="B784" s="1953"/>
      <c r="C784" s="1953"/>
      <c r="D784" s="1953"/>
      <c r="E784" s="1953"/>
      <c r="F784" s="1953"/>
      <c r="G784" s="1953"/>
      <c r="H784" s="1953"/>
      <c r="I784"/>
      <c r="J784"/>
      <c r="K784"/>
    </row>
    <row r="785" spans="2:11" x14ac:dyDescent="0.35">
      <c r="B785" s="1953"/>
      <c r="C785" s="1953"/>
      <c r="D785" s="1953"/>
      <c r="E785" s="1953"/>
      <c r="F785" s="1953"/>
      <c r="G785" s="1953"/>
      <c r="H785" s="1953"/>
      <c r="I785"/>
      <c r="J785"/>
      <c r="K785"/>
    </row>
    <row r="786" spans="2:11" x14ac:dyDescent="0.35">
      <c r="B786" s="1953"/>
      <c r="C786" s="1953"/>
      <c r="D786" s="1953"/>
      <c r="E786" s="1953"/>
      <c r="F786" s="1953"/>
      <c r="G786" s="1953"/>
      <c r="H786" s="1953"/>
      <c r="I786"/>
      <c r="J786"/>
      <c r="K786"/>
    </row>
    <row r="787" spans="2:11" x14ac:dyDescent="0.35">
      <c r="B787" s="1953"/>
      <c r="C787" s="1953"/>
      <c r="D787" s="1953"/>
      <c r="E787" s="1953"/>
      <c r="F787" s="1953"/>
      <c r="G787" s="1953"/>
      <c r="H787" s="1953"/>
      <c r="I787"/>
      <c r="J787"/>
      <c r="K787"/>
    </row>
    <row r="788" spans="2:11" x14ac:dyDescent="0.35">
      <c r="B788" s="1953"/>
      <c r="C788" s="1953"/>
      <c r="D788" s="1953"/>
      <c r="E788" s="1953"/>
      <c r="F788" s="1953"/>
      <c r="G788" s="1953"/>
      <c r="H788" s="1953"/>
      <c r="I788"/>
      <c r="J788"/>
      <c r="K788"/>
    </row>
    <row r="789" spans="2:11" x14ac:dyDescent="0.35">
      <c r="B789" s="1953"/>
      <c r="C789" s="1953"/>
      <c r="D789" s="1953"/>
      <c r="E789" s="1953"/>
      <c r="F789" s="1953"/>
      <c r="G789" s="1953"/>
      <c r="H789" s="1953"/>
      <c r="I789"/>
      <c r="J789"/>
      <c r="K789"/>
    </row>
    <row r="790" spans="2:11" x14ac:dyDescent="0.35">
      <c r="B790" s="1953"/>
      <c r="C790" s="1953"/>
      <c r="D790" s="1953"/>
      <c r="E790" s="1953"/>
      <c r="F790" s="1953"/>
      <c r="G790" s="1953"/>
      <c r="H790" s="1953"/>
      <c r="I790"/>
      <c r="J790"/>
      <c r="K790"/>
    </row>
    <row r="791" spans="2:11" x14ac:dyDescent="0.35">
      <c r="B791" s="1953"/>
      <c r="C791" s="1953"/>
      <c r="D791" s="1953"/>
      <c r="E791" s="1953"/>
      <c r="F791" s="1953"/>
      <c r="G791" s="1953"/>
      <c r="H791" s="1953"/>
      <c r="I791"/>
      <c r="J791"/>
      <c r="K791"/>
    </row>
    <row r="792" spans="2:11" x14ac:dyDescent="0.35">
      <c r="B792" s="1953"/>
      <c r="C792" s="1953"/>
      <c r="D792" s="1953"/>
      <c r="E792" s="1953"/>
      <c r="F792" s="1953"/>
      <c r="G792" s="1953"/>
      <c r="H792" s="1953"/>
      <c r="I792"/>
      <c r="J792"/>
      <c r="K792"/>
    </row>
    <row r="793" spans="2:11" x14ac:dyDescent="0.35">
      <c r="B793" s="1953"/>
      <c r="C793" s="1953"/>
      <c r="D793" s="1953"/>
      <c r="E793" s="1953"/>
      <c r="F793" s="1953"/>
      <c r="G793" s="1953"/>
      <c r="H793" s="1953"/>
      <c r="I793"/>
      <c r="J793"/>
      <c r="K793"/>
    </row>
    <row r="794" spans="2:11" x14ac:dyDescent="0.35">
      <c r="B794" s="1953"/>
      <c r="C794" s="1953"/>
      <c r="D794" s="1953"/>
      <c r="E794" s="1953"/>
      <c r="F794" s="1953"/>
      <c r="G794" s="1953"/>
      <c r="H794" s="1953"/>
      <c r="I794"/>
      <c r="J794"/>
      <c r="K794"/>
    </row>
    <row r="795" spans="2:11" x14ac:dyDescent="0.35">
      <c r="B795" s="1953"/>
      <c r="C795" s="1953"/>
      <c r="D795" s="1953"/>
      <c r="E795" s="1953"/>
      <c r="F795" s="1953"/>
      <c r="G795" s="1953"/>
      <c r="H795" s="1953"/>
      <c r="I795"/>
      <c r="J795"/>
      <c r="K795"/>
    </row>
    <row r="796" spans="2:11" x14ac:dyDescent="0.35">
      <c r="B796" s="1953"/>
      <c r="C796" s="1953"/>
      <c r="D796" s="1953"/>
      <c r="E796" s="1953"/>
      <c r="F796" s="1953"/>
      <c r="G796" s="1953"/>
      <c r="H796" s="1953"/>
      <c r="I796"/>
      <c r="J796"/>
      <c r="K796"/>
    </row>
    <row r="797" spans="2:11" x14ac:dyDescent="0.35">
      <c r="B797" s="1953"/>
      <c r="C797" s="1953"/>
      <c r="D797" s="1953"/>
      <c r="E797" s="1953"/>
      <c r="F797" s="1953"/>
      <c r="G797" s="1953"/>
      <c r="H797" s="1953"/>
      <c r="I797"/>
      <c r="J797"/>
      <c r="K797"/>
    </row>
    <row r="798" spans="2:11" x14ac:dyDescent="0.35">
      <c r="B798" s="1953"/>
      <c r="C798" s="1953"/>
      <c r="D798" s="1953"/>
      <c r="E798" s="1953"/>
      <c r="F798" s="1953"/>
      <c r="G798" s="1953"/>
      <c r="H798" s="1953"/>
      <c r="I798"/>
      <c r="J798"/>
      <c r="K798"/>
    </row>
    <row r="799" spans="2:11" x14ac:dyDescent="0.35">
      <c r="B799" s="1953"/>
      <c r="C799" s="1953"/>
      <c r="D799" s="1953"/>
      <c r="E799" s="1953"/>
      <c r="F799" s="1953"/>
      <c r="G799" s="1953"/>
      <c r="H799" s="1953"/>
      <c r="I799"/>
      <c r="J799"/>
      <c r="K799"/>
    </row>
    <row r="800" spans="2:11" x14ac:dyDescent="0.35">
      <c r="B800" s="1953"/>
      <c r="C800" s="1953"/>
      <c r="D800" s="1953"/>
      <c r="E800" s="1953"/>
      <c r="F800" s="1953"/>
      <c r="G800" s="1953"/>
      <c r="H800" s="1953"/>
      <c r="I800"/>
      <c r="J800"/>
      <c r="K800"/>
    </row>
    <row r="801" spans="2:11" x14ac:dyDescent="0.35">
      <c r="B801" s="1953"/>
      <c r="C801" s="1953"/>
      <c r="D801" s="1953"/>
      <c r="E801" s="1953"/>
      <c r="F801" s="1953"/>
      <c r="G801" s="1953"/>
      <c r="H801" s="1953"/>
      <c r="I801"/>
      <c r="J801"/>
      <c r="K801"/>
    </row>
    <row r="802" spans="2:11" x14ac:dyDescent="0.35">
      <c r="B802" s="1953"/>
      <c r="C802" s="1953"/>
      <c r="D802" s="1953"/>
      <c r="E802" s="1953"/>
      <c r="F802" s="1953"/>
      <c r="G802" s="1953"/>
      <c r="H802" s="1953"/>
      <c r="I802"/>
      <c r="J802"/>
      <c r="K802"/>
    </row>
    <row r="803" spans="2:11" x14ac:dyDescent="0.35">
      <c r="B803" s="1953"/>
      <c r="C803" s="1953"/>
      <c r="D803" s="1953"/>
      <c r="E803" s="1953"/>
      <c r="F803" s="1953"/>
      <c r="G803" s="1953"/>
      <c r="H803" s="1953"/>
      <c r="I803"/>
      <c r="J803"/>
      <c r="K803"/>
    </row>
    <row r="804" spans="2:11" x14ac:dyDescent="0.35">
      <c r="B804" s="1953"/>
      <c r="C804" s="1953"/>
      <c r="D804" s="1953"/>
      <c r="E804" s="1953"/>
      <c r="F804" s="1953"/>
      <c r="G804" s="1953"/>
      <c r="H804" s="1953"/>
      <c r="I804"/>
      <c r="J804"/>
      <c r="K804"/>
    </row>
    <row r="805" spans="2:11" x14ac:dyDescent="0.35">
      <c r="B805" s="1953"/>
      <c r="C805" s="1953"/>
      <c r="D805" s="1953"/>
      <c r="E805" s="1953"/>
      <c r="F805" s="1953"/>
      <c r="G805" s="1953"/>
      <c r="H805" s="1953"/>
      <c r="I805"/>
      <c r="J805"/>
      <c r="K805"/>
    </row>
    <row r="806" spans="2:11" x14ac:dyDescent="0.35">
      <c r="B806" s="1953"/>
      <c r="C806" s="1953"/>
      <c r="D806" s="1953"/>
      <c r="E806" s="1953"/>
      <c r="F806" s="1953"/>
      <c r="G806" s="1953"/>
      <c r="H806" s="1953"/>
      <c r="I806"/>
      <c r="J806"/>
      <c r="K806"/>
    </row>
    <row r="807" spans="2:11" x14ac:dyDescent="0.35">
      <c r="B807" s="1953"/>
      <c r="C807" s="1953"/>
      <c r="D807" s="1953"/>
      <c r="E807" s="1953"/>
      <c r="F807" s="1953"/>
      <c r="G807" s="1953"/>
      <c r="H807" s="1953"/>
      <c r="I807"/>
      <c r="J807"/>
      <c r="K807"/>
    </row>
    <row r="808" spans="2:11" x14ac:dyDescent="0.35">
      <c r="B808" s="1953"/>
      <c r="C808" s="1953"/>
      <c r="D808" s="1953"/>
      <c r="E808" s="1953"/>
      <c r="F808" s="1953"/>
      <c r="G808" s="1953"/>
      <c r="H808" s="1953"/>
      <c r="I808"/>
      <c r="J808"/>
      <c r="K808"/>
    </row>
    <row r="809" spans="2:11" x14ac:dyDescent="0.35">
      <c r="B809" s="1953"/>
      <c r="C809" s="1953"/>
      <c r="D809" s="1953"/>
      <c r="E809" s="1953"/>
      <c r="F809" s="1953"/>
      <c r="G809" s="1953"/>
      <c r="H809" s="1953"/>
      <c r="I809"/>
      <c r="J809"/>
      <c r="K809"/>
    </row>
    <row r="810" spans="2:11" x14ac:dyDescent="0.35">
      <c r="B810" s="1953"/>
      <c r="C810" s="1953"/>
      <c r="D810" s="1953"/>
      <c r="E810" s="1953"/>
      <c r="F810" s="1953"/>
      <c r="G810" s="1953"/>
      <c r="H810" s="1953"/>
      <c r="I810"/>
      <c r="J810"/>
      <c r="K810"/>
    </row>
    <row r="811" spans="2:11" x14ac:dyDescent="0.35">
      <c r="B811" s="1953"/>
      <c r="C811" s="1953"/>
      <c r="D811" s="1953"/>
      <c r="E811" s="1953"/>
      <c r="F811" s="1953"/>
      <c r="G811" s="1953"/>
      <c r="H811" s="1953"/>
      <c r="I811"/>
      <c r="J811"/>
      <c r="K811"/>
    </row>
    <row r="812" spans="2:11" x14ac:dyDescent="0.35">
      <c r="B812" s="1953"/>
      <c r="C812" s="1953"/>
      <c r="D812" s="1953"/>
      <c r="E812" s="1953"/>
      <c r="F812" s="1953"/>
      <c r="G812" s="1953"/>
      <c r="H812" s="1953"/>
      <c r="I812"/>
      <c r="J812"/>
      <c r="K812"/>
    </row>
    <row r="813" spans="2:11" x14ac:dyDescent="0.35">
      <c r="B813" s="1953"/>
      <c r="C813" s="1953"/>
      <c r="D813" s="1953"/>
      <c r="E813" s="1953"/>
      <c r="F813" s="1953"/>
      <c r="G813" s="1953"/>
      <c r="H813" s="1953"/>
      <c r="I813"/>
      <c r="J813"/>
      <c r="K813"/>
    </row>
    <row r="814" spans="2:11" x14ac:dyDescent="0.35">
      <c r="B814" s="1953"/>
      <c r="C814" s="1953"/>
      <c r="D814" s="1953"/>
      <c r="E814" s="1953"/>
      <c r="F814" s="1953"/>
      <c r="G814" s="1953"/>
      <c r="H814" s="1953"/>
      <c r="I814"/>
      <c r="J814"/>
      <c r="K814"/>
    </row>
    <row r="815" spans="2:11" x14ac:dyDescent="0.35">
      <c r="B815" s="1953"/>
      <c r="C815" s="1953"/>
      <c r="D815" s="1953"/>
      <c r="E815" s="1953"/>
      <c r="F815" s="1953"/>
      <c r="G815" s="1953"/>
      <c r="H815" s="1953"/>
      <c r="I815"/>
      <c r="J815"/>
      <c r="K815"/>
    </row>
    <row r="816" spans="2:11" x14ac:dyDescent="0.35">
      <c r="B816" s="1953"/>
      <c r="C816" s="1953"/>
      <c r="D816" s="1953"/>
      <c r="E816" s="1953"/>
      <c r="F816" s="1953"/>
      <c r="G816" s="1953"/>
      <c r="H816" s="1953"/>
      <c r="I816"/>
      <c r="J816"/>
      <c r="K816"/>
    </row>
    <row r="817" spans="2:11" x14ac:dyDescent="0.35">
      <c r="B817" s="1953"/>
      <c r="C817" s="1953"/>
      <c r="D817" s="1953"/>
      <c r="E817" s="1953"/>
      <c r="F817" s="1953"/>
      <c r="G817" s="1953"/>
      <c r="H817" s="1953"/>
      <c r="I817"/>
      <c r="J817"/>
      <c r="K817"/>
    </row>
    <row r="818" spans="2:11" x14ac:dyDescent="0.35">
      <c r="B818" s="1953"/>
      <c r="C818" s="1953"/>
      <c r="D818" s="1953"/>
      <c r="E818" s="1953"/>
      <c r="F818" s="1953"/>
      <c r="G818" s="1953"/>
      <c r="H818" s="1953"/>
      <c r="I818"/>
      <c r="J818"/>
      <c r="K818"/>
    </row>
    <row r="819" spans="2:11" x14ac:dyDescent="0.35">
      <c r="B819" s="1953"/>
      <c r="C819" s="1953"/>
      <c r="D819" s="1953"/>
      <c r="E819" s="1953"/>
      <c r="F819" s="1953"/>
      <c r="G819" s="1953"/>
      <c r="H819" s="1953"/>
      <c r="I819"/>
      <c r="J819"/>
      <c r="K819"/>
    </row>
    <row r="820" spans="2:11" x14ac:dyDescent="0.35">
      <c r="B820" s="1953"/>
      <c r="C820" s="1953"/>
      <c r="D820" s="1953"/>
      <c r="E820" s="1953"/>
      <c r="F820" s="1953"/>
      <c r="G820" s="1953"/>
      <c r="H820" s="1953"/>
      <c r="I820"/>
      <c r="J820"/>
      <c r="K820"/>
    </row>
    <row r="821" spans="2:11" x14ac:dyDescent="0.35">
      <c r="B821" s="1953"/>
      <c r="C821" s="1953"/>
      <c r="D821" s="1953"/>
      <c r="E821" s="1953"/>
      <c r="F821" s="1953"/>
      <c r="G821" s="1953"/>
      <c r="H821" s="1953"/>
      <c r="I821"/>
      <c r="J821"/>
      <c r="K821"/>
    </row>
    <row r="822" spans="2:11" x14ac:dyDescent="0.35">
      <c r="B822" s="1953"/>
      <c r="C822" s="1953"/>
      <c r="D822" s="1953"/>
      <c r="E822" s="1953"/>
      <c r="F822" s="1953"/>
      <c r="G822" s="1953"/>
      <c r="H822" s="1953"/>
      <c r="I822"/>
      <c r="J822"/>
      <c r="K822"/>
    </row>
    <row r="823" spans="2:11" x14ac:dyDescent="0.35">
      <c r="B823" s="1953"/>
      <c r="C823" s="1953"/>
      <c r="D823" s="1953"/>
      <c r="E823" s="1953"/>
      <c r="F823" s="1953"/>
      <c r="G823" s="1953"/>
      <c r="H823" s="1953"/>
      <c r="I823"/>
      <c r="J823"/>
      <c r="K823"/>
    </row>
    <row r="824" spans="2:11" x14ac:dyDescent="0.35">
      <c r="B824" s="1953"/>
      <c r="C824" s="1953"/>
      <c r="D824" s="1953"/>
      <c r="E824" s="1953"/>
      <c r="F824" s="1953"/>
      <c r="G824" s="1953"/>
      <c r="H824" s="1953"/>
      <c r="I824"/>
      <c r="J824"/>
      <c r="K824"/>
    </row>
    <row r="825" spans="2:11" x14ac:dyDescent="0.35">
      <c r="B825" s="1953"/>
      <c r="C825" s="1953"/>
      <c r="D825" s="1953"/>
      <c r="E825" s="1953"/>
      <c r="F825" s="1953"/>
      <c r="G825" s="1953"/>
      <c r="H825" s="1953"/>
      <c r="I825"/>
      <c r="J825"/>
      <c r="K825"/>
    </row>
    <row r="826" spans="2:11" x14ac:dyDescent="0.35">
      <c r="B826" s="1953"/>
      <c r="C826" s="1953"/>
      <c r="D826" s="1953"/>
      <c r="E826" s="1953"/>
      <c r="F826" s="1953"/>
      <c r="G826" s="1953"/>
      <c r="H826" s="1953"/>
      <c r="I826"/>
      <c r="J826"/>
      <c r="K826"/>
    </row>
    <row r="827" spans="2:11" x14ac:dyDescent="0.35">
      <c r="B827" s="1953"/>
      <c r="C827" s="1953"/>
      <c r="D827" s="1953"/>
      <c r="E827" s="1953"/>
      <c r="F827" s="1953"/>
      <c r="G827" s="1953"/>
      <c r="H827" s="1953"/>
      <c r="I827"/>
      <c r="J827"/>
      <c r="K827"/>
    </row>
    <row r="828" spans="2:11" x14ac:dyDescent="0.35">
      <c r="B828" s="1953"/>
      <c r="C828" s="1953"/>
      <c r="D828" s="1953"/>
      <c r="E828" s="1953"/>
      <c r="F828" s="1953"/>
      <c r="G828" s="1953"/>
      <c r="H828" s="1953"/>
      <c r="I828"/>
      <c r="J828"/>
      <c r="K828"/>
    </row>
    <row r="829" spans="2:11" x14ac:dyDescent="0.35">
      <c r="B829" s="1953"/>
      <c r="C829" s="1953"/>
      <c r="D829" s="1953"/>
      <c r="E829" s="1953"/>
      <c r="F829" s="1953"/>
      <c r="G829" s="1953"/>
      <c r="H829" s="1953"/>
      <c r="I829"/>
      <c r="J829"/>
      <c r="K829"/>
    </row>
    <row r="830" spans="2:11" x14ac:dyDescent="0.35">
      <c r="B830" s="1953"/>
      <c r="C830" s="1953"/>
      <c r="D830" s="1953"/>
      <c r="E830" s="1953"/>
      <c r="F830" s="1953"/>
      <c r="G830" s="1953"/>
      <c r="H830" s="1953"/>
      <c r="I830"/>
      <c r="J830"/>
      <c r="K830"/>
    </row>
    <row r="831" spans="2:11" x14ac:dyDescent="0.35">
      <c r="B831" s="1953"/>
      <c r="C831" s="1953"/>
      <c r="D831" s="1953"/>
      <c r="E831" s="1953"/>
      <c r="F831" s="1953"/>
      <c r="G831" s="1953"/>
      <c r="H831" s="1953"/>
      <c r="I831"/>
      <c r="J831"/>
      <c r="K831"/>
    </row>
    <row r="832" spans="2:11" x14ac:dyDescent="0.35">
      <c r="B832" s="1953"/>
      <c r="C832" s="1953"/>
      <c r="D832" s="1953"/>
      <c r="E832" s="1953"/>
      <c r="F832" s="1953"/>
      <c r="G832" s="1953"/>
      <c r="H832" s="1953"/>
      <c r="I832"/>
      <c r="J832"/>
      <c r="K832"/>
    </row>
    <row r="833" spans="2:11" x14ac:dyDescent="0.35">
      <c r="B833" s="1953"/>
      <c r="C833" s="1953"/>
      <c r="D833" s="1953"/>
      <c r="E833" s="1953"/>
      <c r="F833" s="1953"/>
      <c r="G833" s="1953"/>
      <c r="H833" s="1953"/>
      <c r="I833"/>
      <c r="J833"/>
      <c r="K833"/>
    </row>
    <row r="834" spans="2:11" x14ac:dyDescent="0.35">
      <c r="B834" s="1953"/>
      <c r="C834" s="1953"/>
      <c r="D834" s="1953"/>
      <c r="E834" s="1953"/>
      <c r="F834" s="1953"/>
      <c r="G834" s="1953"/>
      <c r="H834" s="1953"/>
      <c r="I834"/>
      <c r="J834"/>
      <c r="K834"/>
    </row>
    <row r="835" spans="2:11" x14ac:dyDescent="0.35">
      <c r="B835" s="1953"/>
      <c r="C835" s="1953"/>
      <c r="D835" s="1953"/>
      <c r="E835" s="1953"/>
      <c r="F835" s="1953"/>
      <c r="G835" s="1953"/>
      <c r="H835" s="1953"/>
      <c r="I835"/>
      <c r="J835"/>
      <c r="K835"/>
    </row>
    <row r="836" spans="2:11" x14ac:dyDescent="0.35">
      <c r="B836" s="1953"/>
      <c r="C836" s="1953"/>
      <c r="D836" s="1953"/>
      <c r="E836" s="1953"/>
      <c r="F836" s="1953"/>
      <c r="G836" s="1953"/>
      <c r="H836" s="1953"/>
      <c r="I836"/>
      <c r="J836"/>
      <c r="K836"/>
    </row>
    <row r="837" spans="2:11" x14ac:dyDescent="0.35">
      <c r="B837" s="1953"/>
      <c r="C837" s="1953"/>
      <c r="D837" s="1953"/>
      <c r="E837" s="1953"/>
      <c r="F837" s="1953"/>
      <c r="G837" s="1953"/>
      <c r="H837" s="1953"/>
      <c r="I837"/>
      <c r="J837"/>
      <c r="K837"/>
    </row>
    <row r="838" spans="2:11" x14ac:dyDescent="0.35">
      <c r="B838" s="1953"/>
      <c r="C838" s="1953"/>
      <c r="D838" s="1953"/>
      <c r="E838" s="1953"/>
      <c r="F838" s="1953"/>
      <c r="G838" s="1953"/>
      <c r="H838" s="1953"/>
      <c r="I838"/>
      <c r="J838"/>
      <c r="K838"/>
    </row>
    <row r="839" spans="2:11" x14ac:dyDescent="0.35">
      <c r="B839" s="1953"/>
      <c r="C839" s="1953"/>
      <c r="D839" s="1953"/>
      <c r="E839" s="1953"/>
      <c r="F839" s="1953"/>
      <c r="G839" s="1953"/>
      <c r="H839" s="1953"/>
      <c r="I839"/>
      <c r="J839"/>
      <c r="K839"/>
    </row>
    <row r="840" spans="2:11" x14ac:dyDescent="0.35">
      <c r="B840" s="1953"/>
      <c r="C840" s="1953"/>
      <c r="D840" s="1953"/>
      <c r="E840" s="1953"/>
      <c r="F840" s="1953"/>
      <c r="G840" s="1953"/>
      <c r="H840" s="1953"/>
      <c r="I840"/>
      <c r="J840"/>
      <c r="K840"/>
    </row>
    <row r="841" spans="2:11" x14ac:dyDescent="0.35">
      <c r="B841" s="1953"/>
      <c r="C841" s="1953"/>
      <c r="D841" s="1953"/>
      <c r="E841" s="1953"/>
      <c r="F841" s="1953"/>
      <c r="G841" s="1953"/>
      <c r="H841" s="1953"/>
      <c r="I841"/>
      <c r="J841"/>
      <c r="K841"/>
    </row>
    <row r="842" spans="2:11" x14ac:dyDescent="0.35">
      <c r="B842" s="1953"/>
      <c r="C842" s="1953"/>
      <c r="D842" s="1953"/>
      <c r="E842" s="1953"/>
      <c r="F842" s="1953"/>
      <c r="G842" s="1953"/>
      <c r="H842" s="1953"/>
      <c r="I842"/>
      <c r="J842"/>
      <c r="K842"/>
    </row>
    <row r="843" spans="2:11" x14ac:dyDescent="0.35">
      <c r="B843" s="1953"/>
      <c r="C843" s="1953"/>
      <c r="D843" s="1953"/>
      <c r="E843" s="1953"/>
      <c r="F843" s="1953"/>
      <c r="G843" s="1953"/>
      <c r="H843" s="1953"/>
      <c r="I843"/>
      <c r="J843"/>
      <c r="K843"/>
    </row>
    <row r="844" spans="2:11" x14ac:dyDescent="0.35">
      <c r="B844" s="1953"/>
      <c r="C844" s="1953"/>
      <c r="D844" s="1953"/>
      <c r="E844" s="1953"/>
      <c r="F844" s="1953"/>
      <c r="G844" s="1953"/>
      <c r="H844" s="1953"/>
      <c r="I844"/>
      <c r="J844"/>
      <c r="K844"/>
    </row>
    <row r="845" spans="2:11" x14ac:dyDescent="0.35">
      <c r="B845" s="1953"/>
      <c r="C845" s="1953"/>
      <c r="D845" s="1953"/>
      <c r="E845" s="1953"/>
      <c r="F845" s="1953"/>
      <c r="G845" s="1953"/>
      <c r="H845" s="1953"/>
      <c r="I845"/>
      <c r="J845"/>
      <c r="K845"/>
    </row>
    <row r="846" spans="2:11" x14ac:dyDescent="0.35">
      <c r="B846" s="1953"/>
      <c r="C846" s="1953"/>
      <c r="D846" s="1953"/>
      <c r="E846" s="1953"/>
      <c r="F846" s="1953"/>
      <c r="G846" s="1953"/>
      <c r="H846" s="1953"/>
      <c r="I846"/>
      <c r="J846"/>
      <c r="K846"/>
    </row>
    <row r="847" spans="2:11" x14ac:dyDescent="0.35">
      <c r="B847" s="1953"/>
      <c r="C847" s="1953"/>
      <c r="D847" s="1953"/>
      <c r="E847" s="1953"/>
      <c r="F847" s="1953"/>
      <c r="G847" s="1953"/>
      <c r="H847" s="1953"/>
      <c r="I847"/>
      <c r="J847"/>
      <c r="K847"/>
    </row>
    <row r="848" spans="2:11" x14ac:dyDescent="0.35">
      <c r="B848" s="1953"/>
      <c r="C848" s="1953"/>
      <c r="D848" s="1953"/>
      <c r="E848" s="1953"/>
      <c r="F848" s="1953"/>
      <c r="G848" s="1953"/>
      <c r="H848" s="1953"/>
      <c r="I848"/>
      <c r="J848"/>
      <c r="K848"/>
    </row>
    <row r="849" spans="2:11" x14ac:dyDescent="0.35">
      <c r="B849" s="1953"/>
      <c r="C849" s="1953"/>
      <c r="D849" s="1953"/>
      <c r="E849" s="1953"/>
      <c r="F849" s="1953"/>
      <c r="G849" s="1953"/>
      <c r="H849" s="1953"/>
      <c r="I849"/>
      <c r="J849"/>
      <c r="K849"/>
    </row>
    <row r="850" spans="2:11" x14ac:dyDescent="0.35">
      <c r="B850" s="1953"/>
      <c r="C850" s="1953"/>
      <c r="D850" s="1953"/>
      <c r="E850" s="1953"/>
      <c r="F850" s="1953"/>
      <c r="G850" s="1953"/>
      <c r="H850" s="1953"/>
      <c r="I850"/>
      <c r="J850"/>
      <c r="K850"/>
    </row>
    <row r="851" spans="2:11" x14ac:dyDescent="0.35">
      <c r="B851" s="1953"/>
      <c r="C851" s="1953"/>
      <c r="D851" s="1953"/>
      <c r="E851" s="1953"/>
      <c r="F851" s="1953"/>
      <c r="G851" s="1953"/>
      <c r="H851" s="1953"/>
      <c r="I851"/>
      <c r="J851"/>
      <c r="K851"/>
    </row>
    <row r="852" spans="2:11" x14ac:dyDescent="0.35">
      <c r="B852" s="1953"/>
      <c r="C852" s="1953"/>
      <c r="D852" s="1953"/>
      <c r="E852" s="1953"/>
      <c r="F852" s="1953"/>
      <c r="G852" s="1953"/>
      <c r="H852" s="1953"/>
      <c r="I852"/>
      <c r="J852"/>
      <c r="K852"/>
    </row>
    <row r="853" spans="2:11" x14ac:dyDescent="0.35">
      <c r="B853" s="1953"/>
      <c r="C853" s="1953"/>
      <c r="D853" s="1953"/>
      <c r="E853" s="1953"/>
      <c r="F853" s="1953"/>
      <c r="G853" s="1953"/>
      <c r="H853" s="1953"/>
      <c r="I853"/>
      <c r="J853"/>
      <c r="K853"/>
    </row>
    <row r="854" spans="2:11" x14ac:dyDescent="0.35">
      <c r="B854" s="1953"/>
      <c r="C854" s="1953"/>
      <c r="D854" s="1953"/>
      <c r="E854" s="1953"/>
      <c r="F854" s="1953"/>
      <c r="G854" s="1953"/>
      <c r="H854" s="1953"/>
      <c r="I854"/>
      <c r="J854"/>
      <c r="K854"/>
    </row>
    <row r="855" spans="2:11" x14ac:dyDescent="0.35">
      <c r="B855" s="1953"/>
      <c r="C855" s="1953"/>
      <c r="D855" s="1953"/>
      <c r="E855" s="1953"/>
      <c r="F855" s="1953"/>
      <c r="G855" s="1953"/>
      <c r="H855" s="1953"/>
      <c r="I855"/>
      <c r="J855"/>
      <c r="K855"/>
    </row>
    <row r="856" spans="2:11" x14ac:dyDescent="0.35">
      <c r="B856" s="1953"/>
      <c r="C856" s="1953"/>
      <c r="D856" s="1953"/>
      <c r="E856" s="1953"/>
      <c r="F856" s="1953"/>
      <c r="G856" s="1953"/>
      <c r="H856" s="1953"/>
      <c r="I856"/>
      <c r="J856"/>
      <c r="K856"/>
    </row>
    <row r="857" spans="2:11" x14ac:dyDescent="0.35">
      <c r="B857" s="1953"/>
      <c r="C857" s="1953"/>
      <c r="D857" s="1953"/>
      <c r="E857" s="1953"/>
      <c r="F857" s="1953"/>
      <c r="G857" s="1953"/>
      <c r="H857" s="1953"/>
      <c r="I857"/>
      <c r="J857"/>
      <c r="K857"/>
    </row>
    <row r="858" spans="2:11" x14ac:dyDescent="0.35">
      <c r="B858" s="1953"/>
      <c r="C858" s="1953"/>
      <c r="D858" s="1953"/>
      <c r="E858" s="1953"/>
      <c r="F858" s="1953"/>
      <c r="G858" s="1953"/>
      <c r="H858" s="1953"/>
      <c r="I858"/>
      <c r="J858"/>
      <c r="K858"/>
    </row>
    <row r="859" spans="2:11" x14ac:dyDescent="0.35">
      <c r="B859" s="1953"/>
      <c r="C859" s="1953"/>
      <c r="D859" s="1953"/>
      <c r="E859" s="1953"/>
      <c r="F859" s="1953"/>
      <c r="G859" s="1953"/>
      <c r="H859" s="1953"/>
      <c r="I859"/>
      <c r="J859"/>
      <c r="K859"/>
    </row>
    <row r="860" spans="2:11" x14ac:dyDescent="0.35">
      <c r="B860" s="1953"/>
      <c r="C860" s="1953"/>
      <c r="D860" s="1953"/>
      <c r="E860" s="1953"/>
      <c r="F860" s="1953"/>
      <c r="G860" s="1953"/>
      <c r="H860" s="1953"/>
      <c r="I860"/>
      <c r="J860"/>
      <c r="K860"/>
    </row>
    <row r="861" spans="2:11" x14ac:dyDescent="0.35">
      <c r="B861" s="1953"/>
      <c r="C861" s="1953"/>
      <c r="D861" s="1953"/>
      <c r="E861" s="1953"/>
      <c r="F861" s="1953"/>
      <c r="G861" s="1953"/>
      <c r="H861" s="1953"/>
      <c r="I861"/>
      <c r="J861"/>
      <c r="K861"/>
    </row>
    <row r="862" spans="2:11" x14ac:dyDescent="0.35">
      <c r="B862" s="1953"/>
      <c r="C862" s="1953"/>
      <c r="D862" s="1953"/>
      <c r="E862" s="1953"/>
      <c r="F862" s="1953"/>
      <c r="G862" s="1953"/>
      <c r="H862" s="1953"/>
      <c r="I862"/>
      <c r="J862"/>
      <c r="K862"/>
    </row>
    <row r="863" spans="2:11" x14ac:dyDescent="0.35">
      <c r="B863" s="1953"/>
      <c r="C863" s="1953"/>
      <c r="D863" s="1953"/>
      <c r="E863" s="1953"/>
      <c r="F863" s="1953"/>
      <c r="G863" s="1953"/>
      <c r="H863" s="1953"/>
      <c r="I863"/>
      <c r="J863"/>
      <c r="K863"/>
    </row>
    <row r="864" spans="2:11" x14ac:dyDescent="0.35">
      <c r="B864" s="1953"/>
      <c r="C864" s="1953"/>
      <c r="D864" s="1953"/>
      <c r="E864" s="1953"/>
      <c r="F864" s="1953"/>
      <c r="G864" s="1953"/>
      <c r="H864" s="1953"/>
      <c r="I864"/>
      <c r="J864"/>
      <c r="K864"/>
    </row>
    <row r="865" spans="2:11" x14ac:dyDescent="0.35">
      <c r="B865" s="1953"/>
      <c r="C865" s="1953"/>
      <c r="D865" s="1953"/>
      <c r="E865" s="1953"/>
      <c r="F865" s="1953"/>
      <c r="G865" s="1953"/>
      <c r="H865" s="1953"/>
      <c r="I865"/>
      <c r="J865"/>
      <c r="K865"/>
    </row>
    <row r="866" spans="2:11" x14ac:dyDescent="0.35">
      <c r="B866" s="1953"/>
      <c r="C866" s="1953"/>
      <c r="D866" s="1953"/>
      <c r="E866" s="1953"/>
      <c r="F866" s="1953"/>
      <c r="G866" s="1953"/>
      <c r="H866" s="1953"/>
      <c r="I866"/>
      <c r="J866"/>
      <c r="K866"/>
    </row>
    <row r="867" spans="2:11" x14ac:dyDescent="0.35">
      <c r="B867" s="1953"/>
      <c r="C867" s="1953"/>
      <c r="D867" s="1953"/>
      <c r="E867" s="1953"/>
      <c r="F867" s="1953"/>
      <c r="G867" s="1953"/>
      <c r="H867" s="1953"/>
      <c r="I867"/>
      <c r="J867"/>
      <c r="K867"/>
    </row>
    <row r="868" spans="2:11" x14ac:dyDescent="0.35">
      <c r="B868" s="1953"/>
      <c r="C868" s="1953"/>
      <c r="D868" s="1953"/>
      <c r="E868" s="1953"/>
      <c r="F868" s="1953"/>
      <c r="G868" s="1953"/>
      <c r="H868" s="1953"/>
      <c r="I868"/>
      <c r="J868"/>
      <c r="K868"/>
    </row>
    <row r="869" spans="2:11" x14ac:dyDescent="0.35">
      <c r="B869" s="1953"/>
      <c r="C869" s="1953"/>
      <c r="D869" s="1953"/>
      <c r="E869" s="1953"/>
      <c r="F869" s="1953"/>
      <c r="G869" s="1953"/>
      <c r="H869" s="1953"/>
      <c r="I869"/>
      <c r="J869"/>
      <c r="K869"/>
    </row>
    <row r="870" spans="2:11" x14ac:dyDescent="0.35">
      <c r="B870" s="1953"/>
      <c r="C870" s="1953"/>
      <c r="D870" s="1953"/>
      <c r="E870" s="1953"/>
      <c r="F870" s="1953"/>
      <c r="G870" s="1953"/>
      <c r="H870" s="1953"/>
      <c r="I870"/>
      <c r="J870"/>
      <c r="K870"/>
    </row>
    <row r="871" spans="2:11" x14ac:dyDescent="0.35">
      <c r="B871" s="1953"/>
      <c r="C871" s="1953"/>
      <c r="D871" s="1953"/>
      <c r="E871" s="1953"/>
      <c r="F871" s="1953"/>
      <c r="G871" s="1953"/>
      <c r="H871" s="1953"/>
      <c r="I871"/>
      <c r="J871"/>
      <c r="K871"/>
    </row>
    <row r="872" spans="2:11" x14ac:dyDescent="0.35">
      <c r="B872" s="1953"/>
      <c r="C872" s="1953"/>
      <c r="D872" s="1953"/>
      <c r="E872" s="1953"/>
      <c r="F872" s="1953"/>
      <c r="G872" s="1953"/>
      <c r="H872" s="1953"/>
      <c r="I872"/>
      <c r="J872"/>
      <c r="K872"/>
    </row>
    <row r="873" spans="2:11" x14ac:dyDescent="0.35">
      <c r="B873" s="1953"/>
      <c r="C873" s="1953"/>
      <c r="D873" s="1953"/>
      <c r="E873" s="1953"/>
      <c r="F873" s="1953"/>
      <c r="G873" s="1953"/>
      <c r="H873" s="1953"/>
      <c r="I873"/>
      <c r="J873"/>
      <c r="K873"/>
    </row>
    <row r="874" spans="2:11" x14ac:dyDescent="0.35">
      <c r="B874" s="1953"/>
      <c r="C874" s="1953"/>
      <c r="D874" s="1953"/>
      <c r="E874" s="1953"/>
      <c r="F874" s="1953"/>
      <c r="G874" s="1953"/>
      <c r="H874" s="1953"/>
      <c r="I874"/>
      <c r="J874"/>
      <c r="K874"/>
    </row>
    <row r="875" spans="2:11" x14ac:dyDescent="0.35">
      <c r="B875" s="1953"/>
      <c r="C875" s="1953"/>
      <c r="D875" s="1953"/>
      <c r="E875" s="1953"/>
      <c r="F875" s="1953"/>
      <c r="G875" s="1953"/>
      <c r="H875" s="1953"/>
      <c r="I875"/>
      <c r="J875"/>
      <c r="K875"/>
    </row>
    <row r="876" spans="2:11" x14ac:dyDescent="0.35">
      <c r="B876" s="1953"/>
      <c r="C876" s="1953"/>
      <c r="D876" s="1953"/>
      <c r="E876" s="1953"/>
      <c r="F876" s="1953"/>
      <c r="G876" s="1953"/>
      <c r="H876" s="1953"/>
      <c r="I876"/>
      <c r="J876"/>
      <c r="K876"/>
    </row>
    <row r="877" spans="2:11" x14ac:dyDescent="0.35">
      <c r="B877" s="1953"/>
      <c r="C877" s="1953"/>
      <c r="D877" s="1953"/>
      <c r="E877" s="1953"/>
      <c r="F877" s="1953"/>
      <c r="G877" s="1953"/>
      <c r="H877" s="1953"/>
      <c r="I877"/>
      <c r="J877"/>
      <c r="K877"/>
    </row>
    <row r="878" spans="2:11" x14ac:dyDescent="0.35">
      <c r="B878" s="1953"/>
      <c r="C878" s="1953"/>
      <c r="D878" s="1953"/>
      <c r="E878" s="1953"/>
      <c r="F878" s="1953"/>
      <c r="G878" s="1953"/>
      <c r="H878" s="1953"/>
      <c r="I878"/>
      <c r="J878"/>
      <c r="K878"/>
    </row>
    <row r="879" spans="2:11" x14ac:dyDescent="0.35">
      <c r="B879" s="1953"/>
      <c r="C879" s="1953"/>
      <c r="D879" s="1953"/>
      <c r="E879" s="1953"/>
      <c r="F879" s="1953"/>
      <c r="G879" s="1953"/>
      <c r="H879" s="1953"/>
      <c r="I879"/>
      <c r="J879"/>
      <c r="K879"/>
    </row>
    <row r="880" spans="2:11" x14ac:dyDescent="0.35">
      <c r="B880" s="1953"/>
      <c r="C880" s="1953"/>
      <c r="D880" s="1953"/>
      <c r="E880" s="1953"/>
      <c r="F880" s="1953"/>
      <c r="G880" s="1953"/>
      <c r="H880" s="1953"/>
      <c r="I880"/>
      <c r="J880"/>
      <c r="K880"/>
    </row>
    <row r="881" spans="2:11" x14ac:dyDescent="0.35">
      <c r="B881" s="1953"/>
      <c r="C881" s="1953"/>
      <c r="D881" s="1953"/>
      <c r="E881" s="1953"/>
      <c r="F881" s="1953"/>
      <c r="G881" s="1953"/>
      <c r="H881" s="1953"/>
      <c r="I881"/>
      <c r="J881"/>
      <c r="K881"/>
    </row>
    <row r="882" spans="2:11" x14ac:dyDescent="0.35">
      <c r="B882" s="1953"/>
      <c r="C882" s="1953"/>
      <c r="D882" s="1953"/>
      <c r="E882" s="1953"/>
      <c r="F882" s="1953"/>
      <c r="G882" s="1953"/>
      <c r="H882" s="1953"/>
      <c r="I882"/>
      <c r="J882"/>
      <c r="K882"/>
    </row>
    <row r="883" spans="2:11" x14ac:dyDescent="0.35">
      <c r="B883" s="1953"/>
      <c r="C883" s="1953"/>
      <c r="D883" s="1953"/>
      <c r="E883" s="1953"/>
      <c r="F883" s="1953"/>
      <c r="G883" s="1953"/>
      <c r="H883" s="1953"/>
      <c r="I883"/>
      <c r="J883"/>
      <c r="K883"/>
    </row>
    <row r="884" spans="2:11" x14ac:dyDescent="0.35">
      <c r="B884" s="1953"/>
      <c r="C884" s="1953"/>
      <c r="D884" s="1953"/>
      <c r="E884" s="1953"/>
      <c r="F884" s="1953"/>
      <c r="G884" s="1953"/>
      <c r="H884" s="1953"/>
      <c r="I884"/>
      <c r="J884"/>
      <c r="K884"/>
    </row>
    <row r="885" spans="2:11" x14ac:dyDescent="0.35">
      <c r="B885" s="1953"/>
      <c r="C885" s="1953"/>
      <c r="D885" s="1953"/>
      <c r="E885" s="1953"/>
      <c r="F885" s="1953"/>
      <c r="G885" s="1953"/>
      <c r="H885" s="1953"/>
      <c r="I885"/>
      <c r="J885"/>
      <c r="K885"/>
    </row>
    <row r="886" spans="2:11" x14ac:dyDescent="0.35">
      <c r="B886" s="1953"/>
      <c r="C886" s="1953"/>
      <c r="D886" s="1953"/>
      <c r="E886" s="1953"/>
      <c r="F886" s="1953"/>
      <c r="G886" s="1953"/>
      <c r="H886" s="1953"/>
      <c r="I886"/>
      <c r="J886"/>
      <c r="K886"/>
    </row>
    <row r="887" spans="2:11" x14ac:dyDescent="0.35">
      <c r="B887" s="1953"/>
      <c r="C887" s="1953"/>
      <c r="D887" s="1953"/>
      <c r="E887" s="1953"/>
      <c r="F887" s="1953"/>
      <c r="G887" s="1953"/>
      <c r="H887" s="1953"/>
      <c r="I887"/>
      <c r="J887"/>
      <c r="K887"/>
    </row>
    <row r="888" spans="2:11" x14ac:dyDescent="0.35">
      <c r="B888" s="1953"/>
      <c r="C888" s="1953"/>
      <c r="D888" s="1953"/>
      <c r="E888" s="1953"/>
      <c r="F888" s="1953"/>
      <c r="G888" s="1953"/>
      <c r="H888" s="1953"/>
      <c r="I888"/>
      <c r="J888"/>
      <c r="K888"/>
    </row>
    <row r="889" spans="2:11" x14ac:dyDescent="0.35">
      <c r="B889" s="1953"/>
      <c r="C889" s="1953"/>
      <c r="D889" s="1953"/>
      <c r="E889" s="1953"/>
      <c r="F889" s="1953"/>
      <c r="G889" s="1953"/>
      <c r="H889" s="1953"/>
      <c r="I889"/>
      <c r="J889"/>
      <c r="K889"/>
    </row>
    <row r="890" spans="2:11" x14ac:dyDescent="0.35">
      <c r="B890" s="1953"/>
      <c r="C890" s="1953"/>
      <c r="D890" s="1953"/>
      <c r="E890" s="1953"/>
      <c r="F890" s="1953"/>
      <c r="G890" s="1953"/>
      <c r="H890" s="1953"/>
      <c r="I890"/>
      <c r="J890"/>
      <c r="K890"/>
    </row>
    <row r="891" spans="2:11" x14ac:dyDescent="0.35">
      <c r="B891" s="1953"/>
      <c r="C891" s="1953"/>
      <c r="D891" s="1953"/>
      <c r="E891" s="1953"/>
      <c r="F891" s="1953"/>
      <c r="G891" s="1953"/>
      <c r="H891" s="1953"/>
      <c r="I891"/>
      <c r="J891"/>
      <c r="K891"/>
    </row>
    <row r="892" spans="2:11" x14ac:dyDescent="0.35">
      <c r="B892" s="1953"/>
      <c r="C892" s="1953"/>
      <c r="D892" s="1953"/>
      <c r="E892" s="1953"/>
      <c r="F892" s="1953"/>
      <c r="G892" s="1953"/>
      <c r="H892" s="1953"/>
      <c r="I892"/>
      <c r="J892"/>
      <c r="K892"/>
    </row>
    <row r="893" spans="2:11" x14ac:dyDescent="0.35">
      <c r="B893" s="1953"/>
      <c r="C893" s="1953"/>
      <c r="D893" s="1953"/>
      <c r="E893" s="1953"/>
      <c r="F893" s="1953"/>
      <c r="G893" s="1953"/>
      <c r="H893" s="1953"/>
      <c r="I893"/>
      <c r="J893"/>
      <c r="K893"/>
    </row>
    <row r="894" spans="2:11" x14ac:dyDescent="0.35">
      <c r="B894" s="1953"/>
      <c r="C894" s="1953"/>
      <c r="D894" s="1953"/>
      <c r="E894" s="1953"/>
      <c r="F894" s="1953"/>
      <c r="G894" s="1953"/>
      <c r="H894" s="1953"/>
      <c r="I894"/>
      <c r="J894"/>
      <c r="K894"/>
    </row>
    <row r="895" spans="2:11" x14ac:dyDescent="0.35">
      <c r="B895" s="1953"/>
      <c r="C895" s="1953"/>
      <c r="D895" s="1953"/>
      <c r="E895" s="1953"/>
      <c r="F895" s="1953"/>
      <c r="G895" s="1953"/>
      <c r="H895" s="1953"/>
      <c r="I895"/>
      <c r="J895"/>
      <c r="K895"/>
    </row>
    <row r="896" spans="2:11" x14ac:dyDescent="0.35">
      <c r="B896" s="1953"/>
      <c r="C896" s="1953"/>
      <c r="D896" s="1953"/>
      <c r="E896" s="1953"/>
      <c r="F896" s="1953"/>
      <c r="G896" s="1953"/>
      <c r="H896" s="1953"/>
      <c r="I896"/>
      <c r="J896"/>
      <c r="K896"/>
    </row>
    <row r="897" spans="2:11" x14ac:dyDescent="0.35">
      <c r="B897" s="1953"/>
      <c r="C897" s="1953"/>
      <c r="D897" s="1953"/>
      <c r="E897" s="1953"/>
      <c r="F897" s="1953"/>
      <c r="G897" s="1953"/>
      <c r="H897" s="1953"/>
      <c r="I897"/>
      <c r="J897"/>
      <c r="K897"/>
    </row>
    <row r="898" spans="2:11" x14ac:dyDescent="0.35">
      <c r="B898" s="1953"/>
      <c r="C898" s="1953"/>
      <c r="D898" s="1953"/>
      <c r="E898" s="1953"/>
      <c r="F898" s="1953"/>
      <c r="G898" s="1953"/>
      <c r="H898" s="1953"/>
      <c r="I898"/>
      <c r="J898"/>
      <c r="K898"/>
    </row>
    <row r="899" spans="2:11" x14ac:dyDescent="0.35">
      <c r="B899" s="1953"/>
      <c r="C899" s="1953"/>
      <c r="D899" s="1953"/>
      <c r="E899" s="1953"/>
      <c r="F899" s="1953"/>
      <c r="G899" s="1953"/>
      <c r="H899" s="1953"/>
      <c r="I899"/>
      <c r="J899"/>
      <c r="K899"/>
    </row>
    <row r="900" spans="2:11" x14ac:dyDescent="0.35">
      <c r="B900" s="1953"/>
      <c r="C900" s="1953"/>
      <c r="D900" s="1953"/>
      <c r="E900" s="1953"/>
      <c r="F900" s="1953"/>
      <c r="G900" s="1953"/>
      <c r="H900" s="1953"/>
      <c r="I900"/>
      <c r="J900"/>
      <c r="K900"/>
    </row>
    <row r="901" spans="2:11" x14ac:dyDescent="0.35">
      <c r="B901" s="1953"/>
      <c r="C901" s="1953"/>
      <c r="D901" s="1953"/>
      <c r="E901" s="1953"/>
      <c r="F901" s="1953"/>
      <c r="G901" s="1953"/>
      <c r="H901" s="1953"/>
      <c r="I901"/>
      <c r="J901"/>
      <c r="K901"/>
    </row>
    <row r="902" spans="2:11" x14ac:dyDescent="0.35">
      <c r="B902" s="1953"/>
      <c r="C902" s="1953"/>
      <c r="D902" s="1953"/>
      <c r="E902" s="1953"/>
      <c r="F902" s="1953"/>
      <c r="G902" s="1953"/>
      <c r="H902" s="1953"/>
      <c r="I902"/>
      <c r="J902"/>
      <c r="K902"/>
    </row>
    <row r="903" spans="2:11" x14ac:dyDescent="0.35">
      <c r="B903" s="1953"/>
      <c r="C903" s="1953"/>
      <c r="D903" s="1953"/>
      <c r="E903" s="1953"/>
      <c r="F903" s="1953"/>
      <c r="G903" s="1953"/>
      <c r="H903" s="1953"/>
      <c r="I903"/>
      <c r="J903"/>
      <c r="K903"/>
    </row>
    <row r="904" spans="2:11" x14ac:dyDescent="0.35">
      <c r="B904" s="1953"/>
      <c r="C904" s="1953"/>
      <c r="D904" s="1953"/>
      <c r="E904" s="1953"/>
      <c r="F904" s="1953"/>
      <c r="G904" s="1953"/>
      <c r="H904" s="1953"/>
      <c r="I904"/>
      <c r="J904"/>
      <c r="K904"/>
    </row>
    <row r="905" spans="2:11" x14ac:dyDescent="0.35">
      <c r="B905" s="1953"/>
      <c r="C905" s="1953"/>
      <c r="D905" s="1953"/>
      <c r="E905" s="1953"/>
      <c r="F905" s="1953"/>
      <c r="G905" s="1953"/>
      <c r="H905" s="1953"/>
      <c r="I905"/>
      <c r="J905"/>
      <c r="K905"/>
    </row>
    <row r="906" spans="2:11" x14ac:dyDescent="0.35">
      <c r="B906" s="1953"/>
      <c r="C906" s="1953"/>
      <c r="D906" s="1953"/>
      <c r="E906" s="1953"/>
      <c r="F906" s="1953"/>
      <c r="G906" s="1953"/>
      <c r="H906" s="1953"/>
      <c r="I906"/>
      <c r="J906"/>
      <c r="K906"/>
    </row>
    <row r="907" spans="2:11" x14ac:dyDescent="0.35">
      <c r="B907" s="1953"/>
      <c r="C907" s="1953"/>
      <c r="D907" s="1953"/>
      <c r="E907" s="1953"/>
      <c r="F907" s="1953"/>
      <c r="G907" s="1953"/>
      <c r="H907" s="1953"/>
      <c r="I907"/>
      <c r="J907"/>
      <c r="K907"/>
    </row>
    <row r="908" spans="2:11" x14ac:dyDescent="0.35">
      <c r="B908" s="1953"/>
      <c r="C908" s="1953"/>
      <c r="D908" s="1953"/>
      <c r="E908" s="1953"/>
      <c r="F908" s="1953"/>
      <c r="G908" s="1953"/>
      <c r="H908" s="1953"/>
      <c r="I908"/>
      <c r="J908"/>
      <c r="K908"/>
    </row>
    <row r="909" spans="2:11" x14ac:dyDescent="0.35">
      <c r="B909" s="1953"/>
      <c r="C909" s="1953"/>
      <c r="D909" s="1953"/>
      <c r="E909" s="1953"/>
      <c r="F909" s="1953"/>
      <c r="G909" s="1953"/>
      <c r="H909" s="1953"/>
      <c r="I909"/>
      <c r="J909"/>
      <c r="K909"/>
    </row>
    <row r="910" spans="2:11" x14ac:dyDescent="0.35">
      <c r="B910" s="1953"/>
      <c r="C910" s="1953"/>
      <c r="D910" s="1953"/>
      <c r="E910" s="1953"/>
      <c r="F910" s="1953"/>
      <c r="G910" s="1953"/>
      <c r="H910" s="1953"/>
      <c r="I910"/>
      <c r="J910"/>
      <c r="K910"/>
    </row>
    <row r="911" spans="2:11" x14ac:dyDescent="0.35">
      <c r="B911" s="1953"/>
      <c r="C911" s="1953"/>
      <c r="D911" s="1953"/>
      <c r="E911" s="1953"/>
      <c r="F911" s="1953"/>
      <c r="G911" s="1953"/>
      <c r="H911" s="1953"/>
      <c r="I911"/>
      <c r="J911"/>
      <c r="K911"/>
    </row>
    <row r="912" spans="2:11" x14ac:dyDescent="0.35">
      <c r="B912" s="1953"/>
      <c r="C912" s="1953"/>
      <c r="D912" s="1953"/>
      <c r="E912" s="1953"/>
      <c r="F912" s="1953"/>
      <c r="G912" s="1953"/>
      <c r="H912" s="1953"/>
      <c r="I912"/>
      <c r="J912"/>
      <c r="K912"/>
    </row>
    <row r="913" spans="2:11" x14ac:dyDescent="0.35">
      <c r="B913" s="1953"/>
      <c r="C913" s="1953"/>
      <c r="D913" s="1953"/>
      <c r="E913" s="1953"/>
      <c r="F913" s="1953"/>
      <c r="G913" s="1953"/>
      <c r="H913" s="1953"/>
      <c r="I913"/>
      <c r="J913"/>
      <c r="K913"/>
    </row>
    <row r="914" spans="2:11" x14ac:dyDescent="0.35">
      <c r="B914" s="1953"/>
      <c r="C914" s="1953"/>
      <c r="D914" s="1953"/>
      <c r="E914" s="1953"/>
      <c r="F914" s="1953"/>
      <c r="G914" s="1953"/>
      <c r="H914" s="1953"/>
      <c r="I914"/>
      <c r="J914"/>
      <c r="K914"/>
    </row>
    <row r="915" spans="2:11" x14ac:dyDescent="0.35">
      <c r="B915" s="1953"/>
      <c r="C915" s="1953"/>
      <c r="D915" s="1953"/>
      <c r="E915" s="1953"/>
      <c r="F915" s="1953"/>
      <c r="G915" s="1953"/>
      <c r="H915" s="1953"/>
      <c r="I915"/>
      <c r="J915"/>
      <c r="K915"/>
    </row>
    <row r="916" spans="2:11" x14ac:dyDescent="0.35">
      <c r="B916" s="1953"/>
      <c r="C916" s="1953"/>
      <c r="D916" s="1953"/>
      <c r="E916" s="1953"/>
      <c r="F916" s="1953"/>
      <c r="G916" s="1953"/>
      <c r="H916" s="1953"/>
      <c r="I916"/>
      <c r="J916"/>
      <c r="K916"/>
    </row>
    <row r="917" spans="2:11" x14ac:dyDescent="0.35">
      <c r="B917" s="1953"/>
      <c r="C917" s="1953"/>
      <c r="D917" s="1953"/>
      <c r="E917" s="1953"/>
      <c r="F917" s="1953"/>
      <c r="G917" s="1953"/>
      <c r="H917" s="1953"/>
      <c r="I917"/>
      <c r="J917"/>
      <c r="K917"/>
    </row>
    <row r="918" spans="2:11" x14ac:dyDescent="0.35">
      <c r="B918" s="1953"/>
      <c r="C918" s="1953"/>
      <c r="D918" s="1953"/>
      <c r="E918" s="1953"/>
      <c r="F918" s="1953"/>
      <c r="G918" s="1953"/>
      <c r="H918" s="1953"/>
      <c r="I918"/>
      <c r="J918"/>
      <c r="K918"/>
    </row>
    <row r="919" spans="2:11" x14ac:dyDescent="0.35">
      <c r="B919" s="1953"/>
      <c r="C919" s="1953"/>
      <c r="D919" s="1953"/>
      <c r="E919" s="1953"/>
      <c r="F919" s="1953"/>
      <c r="G919" s="1953"/>
      <c r="H919" s="1953"/>
      <c r="I919"/>
      <c r="J919"/>
      <c r="K919"/>
    </row>
    <row r="920" spans="2:11" x14ac:dyDescent="0.35">
      <c r="B920" s="1953"/>
      <c r="C920" s="1953"/>
      <c r="D920" s="1953"/>
      <c r="E920" s="1953"/>
      <c r="F920" s="1953"/>
      <c r="G920" s="1953"/>
      <c r="H920" s="1953"/>
      <c r="I920"/>
      <c r="J920"/>
      <c r="K920"/>
    </row>
    <row r="921" spans="2:11" x14ac:dyDescent="0.35">
      <c r="B921" s="1953"/>
      <c r="C921" s="1953"/>
      <c r="D921" s="1953"/>
      <c r="E921" s="1953"/>
      <c r="F921" s="1953"/>
      <c r="G921" s="1953"/>
      <c r="H921" s="1953"/>
      <c r="I921"/>
      <c r="J921"/>
      <c r="K921"/>
    </row>
    <row r="922" spans="2:11" x14ac:dyDescent="0.35">
      <c r="B922" s="1953"/>
      <c r="C922" s="1953"/>
      <c r="D922" s="1953"/>
      <c r="E922" s="1953"/>
      <c r="F922" s="1953"/>
      <c r="G922" s="1953"/>
      <c r="H922" s="1953"/>
      <c r="I922"/>
      <c r="J922"/>
      <c r="K922"/>
    </row>
    <row r="923" spans="2:11" x14ac:dyDescent="0.35">
      <c r="B923" s="1953"/>
      <c r="C923" s="1953"/>
      <c r="D923" s="1953"/>
      <c r="E923" s="1953"/>
      <c r="F923" s="1953"/>
      <c r="G923" s="1953"/>
      <c r="H923" s="1953"/>
      <c r="I923"/>
      <c r="J923"/>
      <c r="K923"/>
    </row>
    <row r="924" spans="2:11" x14ac:dyDescent="0.35">
      <c r="B924" s="1953"/>
      <c r="C924" s="1953"/>
      <c r="D924" s="1953"/>
      <c r="E924" s="1953"/>
      <c r="F924" s="1953"/>
      <c r="G924" s="1953"/>
      <c r="H924" s="1953"/>
      <c r="I924"/>
      <c r="J924"/>
      <c r="K924"/>
    </row>
    <row r="925" spans="2:11" x14ac:dyDescent="0.35">
      <c r="B925" s="1953"/>
      <c r="C925" s="1953"/>
      <c r="D925" s="1953"/>
      <c r="E925" s="1953"/>
      <c r="F925" s="1953"/>
      <c r="G925" s="1953"/>
      <c r="H925" s="1953"/>
      <c r="I925"/>
      <c r="J925"/>
      <c r="K925"/>
    </row>
    <row r="926" spans="2:11" x14ac:dyDescent="0.35">
      <c r="B926" s="1953"/>
      <c r="C926" s="1953"/>
      <c r="D926" s="1953"/>
      <c r="E926" s="1953"/>
      <c r="F926" s="1953"/>
      <c r="G926" s="1953"/>
      <c r="H926" s="1953"/>
      <c r="I926"/>
      <c r="J926"/>
      <c r="K926"/>
    </row>
    <row r="927" spans="2:11" x14ac:dyDescent="0.35">
      <c r="B927" s="1953"/>
      <c r="C927" s="1953"/>
      <c r="D927" s="1953"/>
      <c r="E927" s="1953"/>
      <c r="F927" s="1953"/>
      <c r="G927" s="1953"/>
      <c r="H927" s="1953"/>
      <c r="I927"/>
      <c r="J927"/>
      <c r="K927"/>
    </row>
    <row r="928" spans="2:11" x14ac:dyDescent="0.35">
      <c r="B928" s="1953"/>
      <c r="C928" s="1953"/>
      <c r="D928" s="1953"/>
      <c r="E928" s="1953"/>
      <c r="F928" s="1953"/>
      <c r="G928" s="1953"/>
      <c r="H928" s="1953"/>
      <c r="I928"/>
      <c r="J928"/>
      <c r="K928"/>
    </row>
    <row r="929" spans="2:11" x14ac:dyDescent="0.35">
      <c r="B929" s="1953"/>
      <c r="C929" s="1953"/>
      <c r="D929" s="1953"/>
      <c r="E929" s="1953"/>
      <c r="F929" s="1953"/>
      <c r="G929" s="1953"/>
      <c r="H929" s="1953"/>
      <c r="I929"/>
      <c r="J929"/>
      <c r="K929"/>
    </row>
    <row r="930" spans="2:11" x14ac:dyDescent="0.35">
      <c r="B930" s="1953"/>
      <c r="C930" s="1953"/>
      <c r="D930" s="1953"/>
      <c r="E930" s="1953"/>
      <c r="F930" s="1953"/>
      <c r="G930" s="1953"/>
      <c r="H930" s="1953"/>
      <c r="I930"/>
      <c r="J930"/>
      <c r="K930"/>
    </row>
    <row r="931" spans="2:11" x14ac:dyDescent="0.35">
      <c r="B931" s="1953"/>
      <c r="C931" s="1953"/>
      <c r="D931" s="1953"/>
      <c r="E931" s="1953"/>
      <c r="F931" s="1953"/>
      <c r="G931" s="1953"/>
      <c r="H931" s="1953"/>
      <c r="I931"/>
      <c r="J931"/>
      <c r="K931"/>
    </row>
    <row r="932" spans="2:11" x14ac:dyDescent="0.35">
      <c r="B932" s="1953"/>
      <c r="C932" s="1953"/>
      <c r="D932" s="1953"/>
      <c r="E932" s="1953"/>
      <c r="F932" s="1953"/>
      <c r="G932" s="1953"/>
      <c r="H932" s="1953"/>
      <c r="I932"/>
      <c r="J932"/>
      <c r="K932"/>
    </row>
    <row r="933" spans="2:11" x14ac:dyDescent="0.35">
      <c r="B933" s="1953"/>
      <c r="C933" s="1953"/>
      <c r="D933" s="1953"/>
      <c r="E933" s="1953"/>
      <c r="F933" s="1953"/>
      <c r="G933" s="1953"/>
      <c r="H933" s="1953"/>
      <c r="I933"/>
      <c r="J933"/>
      <c r="K933"/>
    </row>
    <row r="934" spans="2:11" x14ac:dyDescent="0.35">
      <c r="B934" s="1953"/>
      <c r="C934" s="1953"/>
      <c r="D934" s="1953"/>
      <c r="E934" s="1953"/>
      <c r="F934" s="1953"/>
      <c r="G934" s="1953"/>
      <c r="H934" s="1953"/>
      <c r="I934"/>
      <c r="J934"/>
      <c r="K934"/>
    </row>
    <row r="935" spans="2:11" x14ac:dyDescent="0.35">
      <c r="B935" s="1953"/>
      <c r="C935" s="1953"/>
      <c r="D935" s="1953"/>
      <c r="E935" s="1953"/>
      <c r="F935" s="1953"/>
      <c r="G935" s="1953"/>
      <c r="H935" s="1953"/>
      <c r="I935"/>
      <c r="J935"/>
      <c r="K935"/>
    </row>
    <row r="936" spans="2:11" x14ac:dyDescent="0.35">
      <c r="B936" s="1953"/>
      <c r="C936" s="1953"/>
      <c r="D936" s="1953"/>
      <c r="E936" s="1953"/>
      <c r="F936" s="1953"/>
      <c r="G936" s="1953"/>
      <c r="H936" s="1953"/>
      <c r="I936"/>
      <c r="J936"/>
      <c r="K936"/>
    </row>
    <row r="937" spans="2:11" x14ac:dyDescent="0.35">
      <c r="B937" s="1953"/>
      <c r="C937" s="1953"/>
      <c r="D937" s="1953"/>
      <c r="E937" s="1953"/>
      <c r="F937" s="1953"/>
      <c r="G937" s="1953"/>
      <c r="H937" s="1953"/>
      <c r="I937"/>
      <c r="J937"/>
      <c r="K937"/>
    </row>
    <row r="938" spans="2:11" x14ac:dyDescent="0.35">
      <c r="B938" s="1953"/>
      <c r="C938" s="1953"/>
      <c r="D938" s="1953"/>
      <c r="E938" s="1953"/>
      <c r="F938" s="1953"/>
      <c r="G938" s="1953"/>
      <c r="H938" s="1953"/>
      <c r="I938"/>
      <c r="J938"/>
      <c r="K938"/>
    </row>
    <row r="939" spans="2:11" x14ac:dyDescent="0.35">
      <c r="B939" s="1953"/>
      <c r="C939" s="1953"/>
      <c r="D939" s="1953"/>
      <c r="E939" s="1953"/>
      <c r="F939" s="1953"/>
      <c r="G939" s="1953"/>
      <c r="H939" s="1953"/>
      <c r="I939"/>
      <c r="J939"/>
      <c r="K939"/>
    </row>
    <row r="940" spans="2:11" x14ac:dyDescent="0.35">
      <c r="B940" s="1953"/>
      <c r="C940" s="1953"/>
      <c r="D940" s="1953"/>
      <c r="E940" s="1953"/>
      <c r="F940" s="1953"/>
      <c r="G940" s="1953"/>
      <c r="H940" s="1953"/>
      <c r="I940"/>
      <c r="J940"/>
      <c r="K940"/>
    </row>
    <row r="941" spans="2:11" x14ac:dyDescent="0.35">
      <c r="B941" s="1953"/>
      <c r="C941" s="1953"/>
      <c r="D941" s="1953"/>
      <c r="E941" s="1953"/>
      <c r="F941" s="1953"/>
      <c r="G941" s="1953"/>
      <c r="H941" s="1953"/>
      <c r="I941"/>
      <c r="J941"/>
      <c r="K941"/>
    </row>
    <row r="942" spans="2:11" x14ac:dyDescent="0.35">
      <c r="B942" s="1953"/>
      <c r="C942" s="1953"/>
      <c r="D942" s="1953"/>
      <c r="E942" s="1953"/>
      <c r="F942" s="1953"/>
      <c r="G942" s="1953"/>
      <c r="H942" s="1953"/>
      <c r="I942"/>
      <c r="J942"/>
      <c r="K942"/>
    </row>
    <row r="943" spans="2:11" x14ac:dyDescent="0.35">
      <c r="B943" s="1953"/>
      <c r="C943" s="1953"/>
      <c r="D943" s="1953"/>
      <c r="E943" s="1953"/>
      <c r="F943" s="1953"/>
      <c r="G943" s="1953"/>
      <c r="H943" s="1953"/>
      <c r="I943"/>
      <c r="J943"/>
      <c r="K943"/>
    </row>
    <row r="944" spans="2:11" x14ac:dyDescent="0.35">
      <c r="B944" s="1953"/>
      <c r="C944" s="1953"/>
      <c r="D944" s="1953"/>
      <c r="E944" s="1953"/>
      <c r="F944" s="1953"/>
      <c r="G944" s="1953"/>
      <c r="H944" s="1953"/>
      <c r="I944"/>
      <c r="J944"/>
      <c r="K944"/>
    </row>
    <row r="945" spans="2:11" x14ac:dyDescent="0.35">
      <c r="B945" s="1953"/>
      <c r="C945" s="1953"/>
      <c r="D945" s="1953"/>
      <c r="E945" s="1953"/>
      <c r="F945" s="1953"/>
      <c r="G945" s="1953"/>
      <c r="H945" s="1953"/>
      <c r="I945"/>
      <c r="J945"/>
      <c r="K945"/>
    </row>
    <row r="946" spans="2:11" x14ac:dyDescent="0.35">
      <c r="B946" s="1953"/>
      <c r="C946" s="1953"/>
      <c r="D946" s="1953"/>
      <c r="E946" s="1953"/>
      <c r="F946" s="1953"/>
      <c r="G946" s="1953"/>
      <c r="H946" s="1953"/>
      <c r="I946"/>
      <c r="J946"/>
      <c r="K946"/>
    </row>
    <row r="947" spans="2:11" x14ac:dyDescent="0.35">
      <c r="B947" s="1953"/>
      <c r="C947" s="1953"/>
      <c r="D947" s="1953"/>
      <c r="E947" s="1953"/>
      <c r="F947" s="1953"/>
      <c r="G947" s="1953"/>
      <c r="H947" s="1953"/>
      <c r="I947"/>
      <c r="J947"/>
      <c r="K947"/>
    </row>
    <row r="948" spans="2:11" x14ac:dyDescent="0.35">
      <c r="B948" s="1953"/>
      <c r="C948" s="1953"/>
      <c r="D948" s="1953"/>
      <c r="E948" s="1953"/>
      <c r="F948" s="1953"/>
      <c r="G948" s="1953"/>
      <c r="H948" s="1953"/>
      <c r="I948"/>
      <c r="J948"/>
      <c r="K948"/>
    </row>
    <row r="949" spans="2:11" x14ac:dyDescent="0.35">
      <c r="B949" s="1953"/>
      <c r="C949" s="1953"/>
      <c r="D949" s="1953"/>
      <c r="E949" s="1953"/>
      <c r="F949" s="1953"/>
      <c r="G949" s="1953"/>
      <c r="H949" s="1953"/>
      <c r="I949"/>
      <c r="J949"/>
      <c r="K949"/>
    </row>
    <row r="950" spans="2:11" x14ac:dyDescent="0.35">
      <c r="B950" s="1953"/>
      <c r="C950" s="1953"/>
      <c r="D950" s="1953"/>
      <c r="E950" s="1953"/>
      <c r="F950" s="1953"/>
      <c r="G950" s="1953"/>
      <c r="H950" s="1953"/>
      <c r="I950"/>
      <c r="J950"/>
      <c r="K950"/>
    </row>
    <row r="951" spans="2:11" x14ac:dyDescent="0.35">
      <c r="B951" s="1953"/>
      <c r="C951" s="1953"/>
      <c r="D951" s="1953"/>
      <c r="E951" s="1953"/>
      <c r="F951" s="1953"/>
      <c r="G951" s="1953"/>
      <c r="H951" s="1953"/>
      <c r="I951"/>
      <c r="J951"/>
      <c r="K951"/>
    </row>
    <row r="952" spans="2:11" x14ac:dyDescent="0.35">
      <c r="B952" s="1953"/>
      <c r="C952" s="1953"/>
      <c r="D952" s="1953"/>
      <c r="E952" s="1953"/>
      <c r="F952" s="1953"/>
      <c r="G952" s="1953"/>
      <c r="H952" s="1953"/>
      <c r="I952"/>
      <c r="J952"/>
      <c r="K952"/>
    </row>
    <row r="953" spans="2:11" x14ac:dyDescent="0.35">
      <c r="B953" s="1953"/>
      <c r="C953" s="1953"/>
      <c r="D953" s="1953"/>
      <c r="E953" s="1953"/>
      <c r="F953" s="1953"/>
      <c r="G953" s="1953"/>
      <c r="H953" s="1953"/>
      <c r="I953"/>
      <c r="J953"/>
      <c r="K953"/>
    </row>
    <row r="954" spans="2:11" x14ac:dyDescent="0.35">
      <c r="B954" s="1953"/>
      <c r="C954" s="1953"/>
      <c r="D954" s="1953"/>
      <c r="E954" s="1953"/>
      <c r="F954" s="1953"/>
      <c r="G954" s="1953"/>
      <c r="H954" s="1953"/>
      <c r="I954"/>
      <c r="J954"/>
      <c r="K954"/>
    </row>
    <row r="955" spans="2:11" x14ac:dyDescent="0.35">
      <c r="B955" s="1953"/>
      <c r="C955" s="1953"/>
      <c r="D955" s="1953"/>
      <c r="E955" s="1953"/>
      <c r="F955" s="1953"/>
      <c r="G955" s="1953"/>
      <c r="H955" s="1953"/>
      <c r="I955"/>
      <c r="J955"/>
      <c r="K955"/>
    </row>
    <row r="956" spans="2:11" x14ac:dyDescent="0.35">
      <c r="B956" s="1953"/>
      <c r="C956" s="1953"/>
      <c r="D956" s="1953"/>
      <c r="E956" s="1953"/>
      <c r="F956" s="1953"/>
      <c r="G956" s="1953"/>
      <c r="H956" s="1953"/>
      <c r="I956"/>
      <c r="J956"/>
      <c r="K956"/>
    </row>
    <row r="957" spans="2:11" x14ac:dyDescent="0.35">
      <c r="B957" s="1953"/>
      <c r="C957" s="1953"/>
      <c r="D957" s="1953"/>
      <c r="E957" s="1953"/>
      <c r="F957" s="1953"/>
      <c r="G957" s="1953"/>
      <c r="H957" s="1953"/>
      <c r="I957"/>
      <c r="J957"/>
      <c r="K957"/>
    </row>
    <row r="958" spans="2:11" x14ac:dyDescent="0.35">
      <c r="B958" s="1953"/>
      <c r="C958" s="1953"/>
      <c r="D958" s="1953"/>
      <c r="E958" s="1953"/>
      <c r="F958" s="1953"/>
      <c r="G958" s="1953"/>
      <c r="H958" s="1953"/>
      <c r="I958"/>
      <c r="J958"/>
      <c r="K958"/>
    </row>
    <row r="959" spans="2:11" x14ac:dyDescent="0.35">
      <c r="B959" s="1953"/>
      <c r="C959" s="1953"/>
      <c r="D959" s="1953"/>
      <c r="E959" s="1953"/>
      <c r="F959" s="1953"/>
      <c r="G959" s="1953"/>
      <c r="H959" s="1953"/>
      <c r="I959"/>
      <c r="J959"/>
      <c r="K959"/>
    </row>
    <row r="960" spans="2:11" x14ac:dyDescent="0.35">
      <c r="B960" s="1953"/>
      <c r="C960" s="1953"/>
      <c r="D960" s="1953"/>
      <c r="E960" s="1953"/>
      <c r="F960" s="1953"/>
      <c r="G960" s="1953"/>
      <c r="H960" s="1953"/>
      <c r="I960"/>
      <c r="J960"/>
      <c r="K960"/>
    </row>
    <row r="961" spans="2:11" x14ac:dyDescent="0.35">
      <c r="B961" s="1953"/>
      <c r="C961" s="1953"/>
      <c r="D961" s="1953"/>
      <c r="E961" s="1953"/>
      <c r="F961" s="1953"/>
      <c r="G961" s="1953"/>
      <c r="H961" s="1953"/>
      <c r="I961"/>
      <c r="J961"/>
      <c r="K961"/>
    </row>
    <row r="962" spans="2:11" x14ac:dyDescent="0.35">
      <c r="B962" s="1953"/>
      <c r="C962" s="1953"/>
      <c r="D962" s="1953"/>
      <c r="E962" s="1953"/>
      <c r="F962" s="1953"/>
      <c r="G962" s="1953"/>
      <c r="H962" s="1953"/>
      <c r="I962"/>
      <c r="J962"/>
      <c r="K962"/>
    </row>
    <row r="963" spans="2:11" x14ac:dyDescent="0.35">
      <c r="B963" s="1953"/>
      <c r="C963" s="1953"/>
      <c r="D963" s="1953"/>
      <c r="E963" s="1953"/>
      <c r="F963" s="1953"/>
      <c r="G963" s="1953"/>
      <c r="H963" s="1953"/>
      <c r="I963"/>
      <c r="J963"/>
      <c r="K963"/>
    </row>
    <row r="964" spans="2:11" x14ac:dyDescent="0.35">
      <c r="B964" s="1953"/>
      <c r="C964" s="1953"/>
      <c r="D964" s="1953"/>
      <c r="E964" s="1953"/>
      <c r="F964" s="1953"/>
      <c r="G964" s="1953"/>
      <c r="H964" s="1953"/>
      <c r="I964"/>
      <c r="J964"/>
      <c r="K964"/>
    </row>
    <row r="965" spans="2:11" x14ac:dyDescent="0.35">
      <c r="B965" s="1953"/>
      <c r="C965" s="1953"/>
      <c r="D965" s="1953"/>
      <c r="E965" s="1953"/>
      <c r="F965" s="1953"/>
      <c r="G965" s="1953"/>
      <c r="H965" s="1953"/>
      <c r="I965"/>
      <c r="J965"/>
      <c r="K965"/>
    </row>
    <row r="966" spans="2:11" x14ac:dyDescent="0.35">
      <c r="B966" s="1953"/>
      <c r="C966" s="1953"/>
      <c r="D966" s="1953"/>
      <c r="E966" s="1953"/>
      <c r="F966" s="1953"/>
      <c r="G966" s="1953"/>
      <c r="H966" s="1953"/>
      <c r="I966"/>
      <c r="J966"/>
      <c r="K966"/>
    </row>
    <row r="967" spans="2:11" x14ac:dyDescent="0.35">
      <c r="B967" s="1953"/>
      <c r="C967" s="1953"/>
      <c r="D967" s="1953"/>
      <c r="E967" s="1953"/>
      <c r="F967" s="1953"/>
      <c r="G967" s="1953"/>
      <c r="H967" s="1953"/>
      <c r="I967"/>
      <c r="J967"/>
      <c r="K967"/>
    </row>
    <row r="968" spans="2:11" x14ac:dyDescent="0.35">
      <c r="B968" s="1953"/>
      <c r="C968" s="1953"/>
      <c r="D968" s="1953"/>
      <c r="E968" s="1953"/>
      <c r="F968" s="1953"/>
      <c r="G968" s="1953"/>
      <c r="H968" s="1953"/>
      <c r="I968"/>
      <c r="J968"/>
      <c r="K968"/>
    </row>
    <row r="969" spans="2:11" x14ac:dyDescent="0.35">
      <c r="B969" s="1953"/>
      <c r="C969" s="1953"/>
      <c r="D969" s="1953"/>
      <c r="E969" s="1953"/>
      <c r="F969" s="1953"/>
      <c r="G969" s="1953"/>
      <c r="H969" s="1953"/>
      <c r="I969"/>
      <c r="J969"/>
      <c r="K969"/>
    </row>
    <row r="970" spans="2:11" x14ac:dyDescent="0.35">
      <c r="B970" s="1953"/>
      <c r="C970" s="1953"/>
      <c r="D970" s="1953"/>
      <c r="E970" s="1953"/>
      <c r="F970" s="1953"/>
      <c r="G970" s="1953"/>
      <c r="H970" s="1953"/>
      <c r="I970"/>
      <c r="J970"/>
      <c r="K970"/>
    </row>
    <row r="971" spans="2:11" x14ac:dyDescent="0.35">
      <c r="B971" s="1953"/>
      <c r="C971" s="1953"/>
      <c r="D971" s="1953"/>
      <c r="E971" s="1953"/>
      <c r="F971" s="1953"/>
      <c r="G971" s="1953"/>
      <c r="H971" s="1953"/>
      <c r="I971"/>
      <c r="J971"/>
      <c r="K971"/>
    </row>
    <row r="972" spans="2:11" x14ac:dyDescent="0.35">
      <c r="B972" s="1953"/>
      <c r="C972" s="1953"/>
      <c r="D972" s="1953"/>
      <c r="E972" s="1953"/>
      <c r="F972" s="1953"/>
      <c r="G972" s="1953"/>
      <c r="H972" s="1953"/>
      <c r="I972"/>
      <c r="J972"/>
      <c r="K972"/>
    </row>
    <row r="973" spans="2:11" x14ac:dyDescent="0.35">
      <c r="B973" s="1953"/>
      <c r="C973" s="1953"/>
      <c r="D973" s="1953"/>
      <c r="E973" s="1953"/>
      <c r="F973" s="1953"/>
      <c r="G973" s="1953"/>
      <c r="H973" s="1953"/>
      <c r="I973"/>
      <c r="J973"/>
      <c r="K973"/>
    </row>
    <row r="974" spans="2:11" x14ac:dyDescent="0.35">
      <c r="B974" s="1953"/>
      <c r="C974" s="1953"/>
      <c r="D974" s="1953"/>
      <c r="E974" s="1953"/>
      <c r="F974" s="1953"/>
      <c r="G974" s="1953"/>
      <c r="H974" s="1953"/>
      <c r="I974"/>
      <c r="J974"/>
      <c r="K974"/>
    </row>
    <row r="975" spans="2:11" x14ac:dyDescent="0.35">
      <c r="B975" s="1953"/>
      <c r="C975" s="1953"/>
      <c r="D975" s="1953"/>
      <c r="E975" s="1953"/>
      <c r="F975" s="1953"/>
      <c r="G975" s="1953"/>
      <c r="H975" s="1953"/>
      <c r="I975"/>
      <c r="J975"/>
      <c r="K975"/>
    </row>
    <row r="976" spans="2:11" x14ac:dyDescent="0.35">
      <c r="B976" s="1953"/>
      <c r="C976" s="1953"/>
      <c r="D976" s="1953"/>
      <c r="E976" s="1953"/>
      <c r="F976" s="1953"/>
      <c r="G976" s="1953"/>
      <c r="H976" s="1953"/>
      <c r="I976"/>
      <c r="J976"/>
      <c r="K976"/>
    </row>
    <row r="977" spans="2:11" x14ac:dyDescent="0.35">
      <c r="B977" s="1953"/>
      <c r="C977" s="1953"/>
      <c r="D977" s="1953"/>
      <c r="E977" s="1953"/>
      <c r="F977" s="1953"/>
      <c r="G977" s="1953"/>
      <c r="H977" s="1953"/>
      <c r="I977"/>
      <c r="J977"/>
      <c r="K977"/>
    </row>
    <row r="978" spans="2:11" x14ac:dyDescent="0.35">
      <c r="B978" s="1953"/>
      <c r="C978" s="1953"/>
      <c r="D978" s="1953"/>
      <c r="E978" s="1953"/>
      <c r="F978" s="1953"/>
      <c r="G978" s="1953"/>
      <c r="H978" s="1953"/>
      <c r="I978"/>
      <c r="J978"/>
      <c r="K978"/>
    </row>
    <row r="979" spans="2:11" x14ac:dyDescent="0.35">
      <c r="B979" s="1953"/>
      <c r="C979" s="1953"/>
      <c r="D979" s="1953"/>
      <c r="E979" s="1953"/>
      <c r="F979" s="1953"/>
      <c r="G979" s="1953"/>
      <c r="H979" s="1953"/>
      <c r="I979"/>
      <c r="J979"/>
      <c r="K979"/>
    </row>
    <row r="980" spans="2:11" x14ac:dyDescent="0.35">
      <c r="B980" s="1953"/>
      <c r="C980" s="1953"/>
      <c r="D980" s="1953"/>
      <c r="E980" s="1953"/>
      <c r="F980" s="1953"/>
      <c r="G980" s="1953"/>
      <c r="H980" s="1953"/>
      <c r="I980"/>
      <c r="J980"/>
      <c r="K980"/>
    </row>
    <row r="981" spans="2:11" x14ac:dyDescent="0.35">
      <c r="B981" s="1953"/>
      <c r="C981" s="1953"/>
      <c r="D981" s="1953"/>
      <c r="E981" s="1953"/>
      <c r="F981" s="1953"/>
      <c r="G981" s="1953"/>
      <c r="H981" s="1953"/>
      <c r="I981"/>
      <c r="J981"/>
      <c r="K981"/>
    </row>
    <row r="982" spans="2:11" x14ac:dyDescent="0.35">
      <c r="B982" s="1953"/>
      <c r="C982" s="1953"/>
      <c r="D982" s="1953"/>
      <c r="E982" s="1953"/>
      <c r="F982" s="1953"/>
      <c r="G982" s="1953"/>
      <c r="H982" s="1953"/>
      <c r="I982"/>
      <c r="J982"/>
      <c r="K982"/>
    </row>
    <row r="983" spans="2:11" x14ac:dyDescent="0.35">
      <c r="B983" s="1953"/>
      <c r="C983" s="1953"/>
      <c r="D983" s="1953"/>
      <c r="E983" s="1953"/>
      <c r="F983" s="1953"/>
      <c r="G983" s="1953"/>
      <c r="H983" s="1953"/>
      <c r="I983"/>
      <c r="J983"/>
      <c r="K983"/>
    </row>
    <row r="984" spans="2:11" x14ac:dyDescent="0.35">
      <c r="B984" s="1953"/>
      <c r="C984" s="1953"/>
      <c r="D984" s="1953"/>
      <c r="E984" s="1953"/>
      <c r="F984" s="1953"/>
      <c r="G984" s="1953"/>
      <c r="H984" s="1953"/>
      <c r="I984"/>
      <c r="J984"/>
      <c r="K984"/>
    </row>
    <row r="985" spans="2:11" x14ac:dyDescent="0.35">
      <c r="B985" s="1953"/>
      <c r="C985" s="1953"/>
      <c r="D985" s="1953"/>
      <c r="E985" s="1953"/>
      <c r="F985" s="1953"/>
      <c r="G985" s="1953"/>
      <c r="H985" s="1953"/>
      <c r="I985"/>
      <c r="J985"/>
      <c r="K985"/>
    </row>
    <row r="986" spans="2:11" x14ac:dyDescent="0.35">
      <c r="B986" s="1953"/>
      <c r="C986" s="1953"/>
      <c r="D986" s="1953"/>
      <c r="E986" s="1953"/>
      <c r="F986" s="1953"/>
      <c r="G986" s="1953"/>
      <c r="H986" s="1953"/>
      <c r="I986"/>
      <c r="J986"/>
      <c r="K986"/>
    </row>
    <row r="987" spans="2:11" x14ac:dyDescent="0.35">
      <c r="B987" s="1953"/>
      <c r="C987" s="1953"/>
      <c r="D987" s="1953"/>
      <c r="E987" s="1953"/>
      <c r="F987" s="1953"/>
      <c r="G987" s="1953"/>
      <c r="H987" s="1953"/>
      <c r="I987"/>
      <c r="J987"/>
      <c r="K987"/>
    </row>
    <row r="988" spans="2:11" x14ac:dyDescent="0.35">
      <c r="B988" s="1953"/>
      <c r="C988" s="1953"/>
      <c r="D988" s="1953"/>
      <c r="E988" s="1953"/>
      <c r="F988" s="1953"/>
      <c r="G988" s="1953"/>
      <c r="H988" s="1953"/>
      <c r="I988"/>
      <c r="J988"/>
      <c r="K988"/>
    </row>
    <row r="989" spans="2:11" x14ac:dyDescent="0.35">
      <c r="B989" s="1953"/>
      <c r="C989" s="1953"/>
      <c r="D989" s="1953"/>
      <c r="E989" s="1953"/>
      <c r="F989" s="1953"/>
      <c r="G989" s="1953"/>
      <c r="H989" s="1953"/>
      <c r="I989"/>
      <c r="J989"/>
      <c r="K989"/>
    </row>
    <row r="990" spans="2:11" x14ac:dyDescent="0.35">
      <c r="B990" s="1953"/>
      <c r="C990" s="1953"/>
      <c r="D990" s="1953"/>
      <c r="E990" s="1953"/>
      <c r="F990" s="1953"/>
      <c r="G990" s="1953"/>
      <c r="H990" s="1953"/>
      <c r="I990"/>
      <c r="J990"/>
      <c r="K990"/>
    </row>
    <row r="991" spans="2:11" x14ac:dyDescent="0.35">
      <c r="B991" s="1953"/>
      <c r="C991" s="1953"/>
      <c r="D991" s="1953"/>
      <c r="E991" s="1953"/>
      <c r="F991" s="1953"/>
      <c r="G991" s="1953"/>
      <c r="H991" s="1953"/>
      <c r="I991"/>
      <c r="J991"/>
      <c r="K991"/>
    </row>
    <row r="992" spans="2:11" x14ac:dyDescent="0.35">
      <c r="B992" s="1953"/>
      <c r="C992" s="1953"/>
      <c r="D992" s="1953"/>
      <c r="E992" s="1953"/>
      <c r="F992" s="1953"/>
      <c r="G992" s="1953"/>
      <c r="H992" s="1953"/>
      <c r="I992"/>
      <c r="J992"/>
      <c r="K992"/>
    </row>
    <row r="993" spans="2:11" x14ac:dyDescent="0.35">
      <c r="B993" s="1953"/>
      <c r="C993" s="1953"/>
      <c r="D993" s="1953"/>
      <c r="E993" s="1953"/>
      <c r="F993" s="1953"/>
      <c r="G993" s="1953"/>
      <c r="H993" s="1953"/>
      <c r="I993"/>
      <c r="J993"/>
      <c r="K993"/>
    </row>
    <row r="994" spans="2:11" x14ac:dyDescent="0.35">
      <c r="B994" s="1953"/>
      <c r="C994" s="1953"/>
      <c r="D994" s="1953"/>
      <c r="E994" s="1953"/>
      <c r="F994" s="1953"/>
      <c r="G994" s="1953"/>
      <c r="H994" s="1953"/>
      <c r="I994"/>
      <c r="J994"/>
      <c r="K994"/>
    </row>
    <row r="995" spans="2:11" x14ac:dyDescent="0.35">
      <c r="B995" s="1953"/>
      <c r="C995" s="1953"/>
      <c r="D995" s="1953"/>
      <c r="E995" s="1953"/>
      <c r="F995" s="1953"/>
      <c r="G995" s="1953"/>
      <c r="H995" s="1953"/>
      <c r="I995"/>
      <c r="J995"/>
      <c r="K995"/>
    </row>
    <row r="996" spans="2:11" x14ac:dyDescent="0.35">
      <c r="B996" s="1953"/>
      <c r="C996" s="1953"/>
      <c r="D996" s="1953"/>
      <c r="E996" s="1953"/>
      <c r="F996" s="1953"/>
      <c r="G996" s="1953"/>
      <c r="H996" s="1953"/>
      <c r="I996"/>
      <c r="J996"/>
      <c r="K996"/>
    </row>
    <row r="997" spans="2:11" x14ac:dyDescent="0.35">
      <c r="B997" s="1953"/>
      <c r="C997" s="1953"/>
      <c r="D997" s="1953"/>
      <c r="E997" s="1953"/>
      <c r="F997" s="1953"/>
      <c r="G997" s="1953"/>
      <c r="H997" s="1953"/>
      <c r="I997"/>
      <c r="J997"/>
      <c r="K997"/>
    </row>
    <row r="998" spans="2:11" x14ac:dyDescent="0.35">
      <c r="B998" s="1953"/>
      <c r="C998" s="1953"/>
      <c r="D998" s="1953"/>
      <c r="E998" s="1953"/>
      <c r="F998" s="1953"/>
      <c r="G998" s="1953"/>
      <c r="H998" s="1953"/>
      <c r="I998"/>
      <c r="J998"/>
      <c r="K998"/>
    </row>
    <row r="999" spans="2:11" x14ac:dyDescent="0.35">
      <c r="B999" s="1953"/>
      <c r="C999" s="1953"/>
      <c r="D999" s="1953"/>
      <c r="E999" s="1953"/>
      <c r="F999" s="1953"/>
      <c r="G999" s="1953"/>
      <c r="H999" s="1953"/>
      <c r="I999"/>
      <c r="J999"/>
      <c r="K999"/>
    </row>
    <row r="1000" spans="2:11" x14ac:dyDescent="0.35">
      <c r="B1000" s="1953"/>
      <c r="C1000" s="1953"/>
      <c r="D1000" s="1953"/>
      <c r="E1000" s="1953"/>
      <c r="F1000" s="1953"/>
      <c r="G1000" s="1953"/>
      <c r="H1000" s="1953"/>
      <c r="I1000"/>
      <c r="J1000"/>
      <c r="K1000"/>
    </row>
    <row r="1001" spans="2:11" x14ac:dyDescent="0.35">
      <c r="B1001" s="1953"/>
      <c r="C1001" s="1953"/>
      <c r="D1001" s="1953"/>
      <c r="E1001" s="1953"/>
      <c r="F1001" s="1953"/>
      <c r="G1001" s="1953"/>
      <c r="H1001" s="1953"/>
      <c r="I1001"/>
      <c r="J1001"/>
      <c r="K1001"/>
    </row>
    <row r="1002" spans="2:11" x14ac:dyDescent="0.35">
      <c r="B1002" s="1953"/>
      <c r="C1002" s="1953"/>
      <c r="D1002" s="1953"/>
      <c r="E1002" s="1953"/>
      <c r="F1002" s="1953"/>
      <c r="G1002" s="1953"/>
      <c r="H1002" s="1953"/>
      <c r="I1002"/>
      <c r="J1002"/>
      <c r="K1002"/>
    </row>
    <row r="1003" spans="2:11" x14ac:dyDescent="0.35">
      <c r="B1003" s="1953"/>
      <c r="C1003" s="1953"/>
      <c r="D1003" s="1953"/>
      <c r="E1003" s="1953"/>
      <c r="F1003" s="1953"/>
      <c r="G1003" s="1953"/>
      <c r="H1003" s="1953"/>
      <c r="I1003"/>
      <c r="J1003"/>
      <c r="K1003"/>
    </row>
    <row r="1004" spans="2:11" x14ac:dyDescent="0.35">
      <c r="B1004" s="1953"/>
      <c r="C1004" s="1953"/>
      <c r="D1004" s="1953"/>
      <c r="E1004" s="1953"/>
      <c r="F1004" s="1953"/>
      <c r="G1004" s="1953"/>
      <c r="H1004" s="1953"/>
      <c r="I1004"/>
      <c r="J1004"/>
      <c r="K1004"/>
    </row>
    <row r="1005" spans="2:11" x14ac:dyDescent="0.35">
      <c r="B1005" s="1953"/>
      <c r="C1005" s="1953"/>
      <c r="D1005" s="1953"/>
      <c r="E1005" s="1953"/>
      <c r="F1005" s="1953"/>
      <c r="G1005" s="1953"/>
      <c r="H1005" s="1953"/>
      <c r="I1005"/>
      <c r="J1005"/>
      <c r="K1005"/>
    </row>
    <row r="1006" spans="2:11" x14ac:dyDescent="0.35">
      <c r="B1006" s="1953"/>
      <c r="C1006" s="1953"/>
      <c r="D1006" s="1953"/>
      <c r="E1006" s="1953"/>
      <c r="F1006" s="1953"/>
      <c r="G1006" s="1953"/>
      <c r="H1006" s="1953"/>
      <c r="I1006"/>
      <c r="J1006"/>
      <c r="K1006"/>
    </row>
    <row r="1007" spans="2:11" x14ac:dyDescent="0.35">
      <c r="B1007" s="1953"/>
      <c r="C1007" s="1953"/>
      <c r="D1007" s="1953"/>
      <c r="E1007" s="1953"/>
      <c r="F1007" s="1953"/>
      <c r="G1007" s="1953"/>
      <c r="H1007" s="1953"/>
      <c r="I1007"/>
      <c r="J1007"/>
      <c r="K1007"/>
    </row>
    <row r="1008" spans="2:11" x14ac:dyDescent="0.35">
      <c r="B1008" s="1953"/>
      <c r="C1008" s="1953"/>
      <c r="D1008" s="1953"/>
      <c r="E1008" s="1953"/>
      <c r="F1008" s="1953"/>
      <c r="G1008" s="1953"/>
      <c r="H1008" s="1953"/>
      <c r="I1008"/>
      <c r="J1008"/>
      <c r="K1008"/>
    </row>
    <row r="1009" spans="2:11" x14ac:dyDescent="0.35">
      <c r="B1009" s="1953"/>
      <c r="C1009" s="1953"/>
      <c r="D1009" s="1953"/>
      <c r="E1009" s="1953"/>
      <c r="F1009" s="1953"/>
      <c r="G1009" s="1953"/>
      <c r="H1009" s="1953"/>
      <c r="I1009"/>
      <c r="J1009"/>
      <c r="K1009"/>
    </row>
    <row r="1010" spans="2:11" x14ac:dyDescent="0.35">
      <c r="B1010" s="1953"/>
      <c r="C1010" s="1953"/>
      <c r="D1010" s="1953"/>
      <c r="E1010" s="1953"/>
      <c r="F1010" s="1953"/>
      <c r="G1010" s="1953"/>
      <c r="H1010" s="1953"/>
      <c r="I1010"/>
      <c r="J1010"/>
      <c r="K1010"/>
    </row>
    <row r="1011" spans="2:11" x14ac:dyDescent="0.35">
      <c r="B1011" s="1953"/>
      <c r="C1011" s="1953"/>
      <c r="D1011" s="1953"/>
      <c r="E1011" s="1953"/>
      <c r="F1011" s="1953"/>
      <c r="G1011" s="1953"/>
      <c r="H1011" s="1953"/>
      <c r="I1011"/>
      <c r="J1011"/>
      <c r="K1011"/>
    </row>
    <row r="1012" spans="2:11" x14ac:dyDescent="0.35">
      <c r="B1012" s="1953"/>
      <c r="C1012" s="1953"/>
      <c r="D1012" s="1953"/>
      <c r="E1012" s="1953"/>
      <c r="F1012" s="1953"/>
      <c r="G1012" s="1953"/>
      <c r="H1012" s="1953"/>
      <c r="I1012"/>
      <c r="J1012"/>
      <c r="K1012"/>
    </row>
    <row r="1013" spans="2:11" x14ac:dyDescent="0.35">
      <c r="B1013" s="1953"/>
      <c r="C1013" s="1953"/>
      <c r="D1013" s="1953"/>
      <c r="E1013" s="1953"/>
      <c r="F1013" s="1953"/>
      <c r="G1013" s="1953"/>
      <c r="H1013" s="1953"/>
      <c r="I1013"/>
      <c r="J1013"/>
      <c r="K1013"/>
    </row>
    <row r="1014" spans="2:11" x14ac:dyDescent="0.35">
      <c r="B1014" s="1953"/>
      <c r="C1014" s="1953"/>
      <c r="D1014" s="1953"/>
      <c r="E1014" s="1953"/>
      <c r="F1014" s="1953"/>
      <c r="G1014" s="1953"/>
      <c r="H1014" s="1953"/>
      <c r="I1014"/>
      <c r="J1014"/>
      <c r="K1014"/>
    </row>
    <row r="1015" spans="2:11" x14ac:dyDescent="0.35">
      <c r="B1015" s="1953"/>
      <c r="C1015" s="1953"/>
      <c r="D1015" s="1953"/>
      <c r="E1015" s="1953"/>
      <c r="F1015" s="1953"/>
      <c r="G1015" s="1953"/>
      <c r="H1015" s="1953"/>
      <c r="I1015"/>
      <c r="J1015"/>
      <c r="K1015"/>
    </row>
    <row r="1016" spans="2:11" x14ac:dyDescent="0.35">
      <c r="B1016" s="1953"/>
      <c r="C1016" s="1953"/>
      <c r="D1016" s="1953"/>
      <c r="E1016" s="1953"/>
      <c r="F1016" s="1953"/>
      <c r="G1016" s="1953"/>
      <c r="H1016" s="1953"/>
      <c r="I1016"/>
      <c r="J1016"/>
      <c r="K1016"/>
    </row>
    <row r="1017" spans="2:11" x14ac:dyDescent="0.35">
      <c r="B1017" s="1953"/>
      <c r="C1017" s="1953"/>
      <c r="D1017" s="1953"/>
      <c r="E1017" s="1953"/>
      <c r="F1017" s="1953"/>
      <c r="G1017" s="1953"/>
      <c r="H1017" s="1953"/>
      <c r="I1017"/>
      <c r="J1017"/>
      <c r="K1017"/>
    </row>
    <row r="1018" spans="2:11" x14ac:dyDescent="0.35">
      <c r="B1018" s="1953"/>
      <c r="C1018" s="1953"/>
      <c r="D1018" s="1953"/>
      <c r="E1018" s="1953"/>
      <c r="F1018" s="1953"/>
      <c r="G1018" s="1953"/>
      <c r="H1018" s="1953"/>
      <c r="I1018"/>
      <c r="J1018"/>
      <c r="K1018"/>
    </row>
    <row r="1019" spans="2:11" x14ac:dyDescent="0.35">
      <c r="B1019" s="1953"/>
      <c r="C1019" s="1953"/>
      <c r="D1019" s="1953"/>
      <c r="E1019" s="1953"/>
      <c r="F1019" s="1953"/>
      <c r="G1019" s="1953"/>
      <c r="H1019" s="1953"/>
      <c r="I1019"/>
      <c r="J1019"/>
      <c r="K1019"/>
    </row>
    <row r="1020" spans="2:11" x14ac:dyDescent="0.35">
      <c r="B1020" s="1953"/>
      <c r="C1020" s="1953"/>
      <c r="D1020" s="1953"/>
      <c r="E1020" s="1953"/>
      <c r="F1020" s="1953"/>
      <c r="G1020" s="1953"/>
      <c r="H1020" s="1953"/>
      <c r="I1020"/>
      <c r="J1020"/>
      <c r="K1020"/>
    </row>
    <row r="1021" spans="2:11" x14ac:dyDescent="0.35">
      <c r="B1021" s="1953"/>
      <c r="C1021" s="1953"/>
      <c r="D1021" s="1953"/>
      <c r="E1021" s="1953"/>
      <c r="F1021" s="1953"/>
      <c r="G1021" s="1953"/>
      <c r="H1021" s="1953"/>
      <c r="I1021"/>
      <c r="J1021"/>
      <c r="K1021"/>
    </row>
    <row r="1022" spans="2:11" x14ac:dyDescent="0.35">
      <c r="B1022" s="1953"/>
      <c r="C1022" s="1953"/>
      <c r="D1022" s="1953"/>
      <c r="E1022" s="1953"/>
      <c r="F1022" s="1953"/>
      <c r="G1022" s="1953"/>
      <c r="H1022" s="1953"/>
      <c r="I1022"/>
      <c r="J1022"/>
      <c r="K1022"/>
    </row>
    <row r="1023" spans="2:11" x14ac:dyDescent="0.35">
      <c r="B1023" s="1953"/>
      <c r="C1023" s="1953"/>
      <c r="D1023" s="1953"/>
      <c r="E1023" s="1953"/>
      <c r="F1023" s="1953"/>
      <c r="G1023" s="1953"/>
      <c r="H1023" s="1953"/>
      <c r="I1023"/>
      <c r="J1023"/>
      <c r="K1023"/>
    </row>
    <row r="1024" spans="2:11" x14ac:dyDescent="0.35">
      <c r="B1024" s="1953"/>
      <c r="C1024" s="1953"/>
      <c r="D1024" s="1953"/>
      <c r="E1024" s="1953"/>
      <c r="F1024" s="1953"/>
      <c r="G1024" s="1953"/>
      <c r="H1024" s="1953"/>
      <c r="I1024"/>
      <c r="J1024"/>
      <c r="K1024"/>
    </row>
    <row r="1025" spans="2:11" x14ac:dyDescent="0.35">
      <c r="B1025" s="1953"/>
      <c r="C1025" s="1953"/>
      <c r="D1025" s="1953"/>
      <c r="E1025" s="1953"/>
      <c r="F1025" s="1953"/>
      <c r="G1025" s="1953"/>
      <c r="H1025" s="1953"/>
      <c r="I1025"/>
      <c r="J1025"/>
      <c r="K1025"/>
    </row>
    <row r="1026" spans="2:11" x14ac:dyDescent="0.35">
      <c r="B1026" s="1953"/>
      <c r="C1026" s="1953"/>
      <c r="D1026" s="1953"/>
      <c r="E1026" s="1953"/>
      <c r="F1026" s="1953"/>
      <c r="G1026" s="1953"/>
      <c r="H1026" s="1953"/>
      <c r="I1026"/>
      <c r="J1026"/>
      <c r="K1026"/>
    </row>
    <row r="1027" spans="2:11" x14ac:dyDescent="0.35">
      <c r="B1027" s="1953"/>
      <c r="C1027" s="1953"/>
      <c r="D1027" s="1953"/>
      <c r="E1027" s="1953"/>
      <c r="F1027" s="1953"/>
      <c r="G1027" s="1953"/>
      <c r="H1027" s="1953"/>
      <c r="I1027"/>
      <c r="J1027"/>
      <c r="K1027"/>
    </row>
    <row r="1028" spans="2:11" x14ac:dyDescent="0.35">
      <c r="B1028" s="1953"/>
      <c r="C1028" s="1953"/>
      <c r="D1028" s="1953"/>
      <c r="E1028" s="1953"/>
      <c r="F1028" s="1953"/>
      <c r="G1028" s="1953"/>
      <c r="H1028" s="1953"/>
      <c r="I1028"/>
      <c r="J1028"/>
      <c r="K1028"/>
    </row>
    <row r="1029" spans="2:11" x14ac:dyDescent="0.35">
      <c r="B1029" s="1953"/>
      <c r="C1029" s="1953"/>
      <c r="D1029" s="1953"/>
      <c r="E1029" s="1953"/>
      <c r="F1029" s="1953"/>
      <c r="G1029" s="1953"/>
      <c r="H1029" s="1953"/>
      <c r="I1029"/>
      <c r="J1029"/>
      <c r="K1029"/>
    </row>
    <row r="1030" spans="2:11" x14ac:dyDescent="0.35">
      <c r="B1030" s="1953"/>
      <c r="C1030" s="1953"/>
      <c r="D1030" s="1953"/>
      <c r="E1030" s="1953"/>
      <c r="F1030" s="1953"/>
      <c r="G1030" s="1953"/>
      <c r="H1030" s="1953"/>
      <c r="I1030"/>
      <c r="J1030"/>
      <c r="K1030"/>
    </row>
    <row r="1031" spans="2:11" x14ac:dyDescent="0.35">
      <c r="B1031" s="1953"/>
      <c r="C1031" s="1953"/>
      <c r="D1031" s="1953"/>
      <c r="E1031" s="1953"/>
      <c r="F1031" s="1953"/>
      <c r="G1031" s="1953"/>
      <c r="H1031" s="1953"/>
      <c r="I1031"/>
      <c r="J1031"/>
      <c r="K1031"/>
    </row>
    <row r="1032" spans="2:11" x14ac:dyDescent="0.35">
      <c r="B1032" s="1953"/>
      <c r="C1032" s="1953"/>
      <c r="D1032" s="1953"/>
      <c r="E1032" s="1953"/>
      <c r="F1032" s="1953"/>
      <c r="G1032" s="1953"/>
      <c r="H1032" s="1953"/>
      <c r="I1032"/>
      <c r="J1032"/>
      <c r="K1032"/>
    </row>
    <row r="1033" spans="2:11" x14ac:dyDescent="0.35">
      <c r="B1033" s="1953"/>
      <c r="C1033" s="1953"/>
      <c r="D1033" s="1953"/>
      <c r="E1033" s="1953"/>
      <c r="F1033" s="1953"/>
      <c r="G1033" s="1953"/>
      <c r="H1033" s="1953"/>
      <c r="I1033"/>
      <c r="J1033"/>
      <c r="K1033"/>
    </row>
    <row r="1034" spans="2:11" x14ac:dyDescent="0.35">
      <c r="B1034" s="1953"/>
      <c r="C1034" s="1953"/>
      <c r="D1034" s="1953"/>
      <c r="E1034" s="1953"/>
      <c r="F1034" s="1953"/>
      <c r="G1034" s="1953"/>
      <c r="H1034" s="1953"/>
      <c r="I1034"/>
      <c r="J1034"/>
      <c r="K1034"/>
    </row>
    <row r="1035" spans="2:11" x14ac:dyDescent="0.35">
      <c r="B1035" s="1953"/>
      <c r="C1035" s="1953"/>
      <c r="D1035" s="1953"/>
      <c r="E1035" s="1953"/>
      <c r="F1035" s="1953"/>
      <c r="G1035" s="1953"/>
      <c r="H1035" s="1953"/>
      <c r="I1035"/>
      <c r="J1035"/>
      <c r="K1035"/>
    </row>
    <row r="1036" spans="2:11" x14ac:dyDescent="0.35">
      <c r="B1036" s="1953"/>
      <c r="C1036" s="1953"/>
      <c r="D1036" s="1953"/>
      <c r="E1036" s="1953"/>
      <c r="F1036" s="1953"/>
      <c r="G1036" s="1953"/>
      <c r="H1036" s="1953"/>
      <c r="I1036"/>
      <c r="J1036"/>
      <c r="K1036"/>
    </row>
    <row r="1037" spans="2:11" x14ac:dyDescent="0.35">
      <c r="B1037" s="1953"/>
      <c r="C1037" s="1953"/>
      <c r="D1037" s="1953"/>
      <c r="E1037" s="1953"/>
      <c r="F1037" s="1953"/>
      <c r="G1037" s="1953"/>
      <c r="H1037" s="1953"/>
      <c r="I1037"/>
      <c r="J1037"/>
      <c r="K1037"/>
    </row>
    <row r="1038" spans="2:11" x14ac:dyDescent="0.35">
      <c r="B1038" s="1953"/>
      <c r="C1038" s="1953"/>
      <c r="D1038" s="1953"/>
      <c r="E1038" s="1953"/>
      <c r="F1038" s="1953"/>
      <c r="G1038" s="1953"/>
      <c r="H1038" s="1953"/>
      <c r="I1038"/>
      <c r="J1038"/>
      <c r="K1038"/>
    </row>
    <row r="1039" spans="2:11" x14ac:dyDescent="0.35">
      <c r="B1039" s="1953"/>
      <c r="C1039" s="1953"/>
      <c r="D1039" s="1953"/>
      <c r="E1039" s="1953"/>
      <c r="F1039" s="1953"/>
      <c r="G1039" s="1953"/>
      <c r="H1039" s="1953"/>
      <c r="I1039"/>
      <c r="J1039"/>
      <c r="K1039"/>
    </row>
    <row r="1040" spans="2:11" x14ac:dyDescent="0.35">
      <c r="B1040" s="1953"/>
      <c r="C1040" s="1953"/>
      <c r="D1040" s="1953"/>
      <c r="E1040" s="1953"/>
      <c r="F1040" s="1953"/>
      <c r="G1040" s="1953"/>
      <c r="H1040" s="1953"/>
      <c r="I1040"/>
      <c r="J1040"/>
      <c r="K1040"/>
    </row>
    <row r="1041" spans="2:11" x14ac:dyDescent="0.35">
      <c r="B1041" s="1953"/>
      <c r="C1041" s="1953"/>
      <c r="D1041" s="1953"/>
      <c r="E1041" s="1953"/>
      <c r="F1041" s="1953"/>
      <c r="G1041" s="1953"/>
      <c r="H1041" s="1953"/>
      <c r="I1041"/>
      <c r="J1041"/>
      <c r="K1041"/>
    </row>
    <row r="1042" spans="2:11" x14ac:dyDescent="0.35">
      <c r="B1042" s="1953"/>
      <c r="C1042" s="1953"/>
      <c r="D1042" s="1953"/>
      <c r="E1042" s="1953"/>
      <c r="F1042" s="1953"/>
      <c r="G1042" s="1953"/>
      <c r="H1042" s="1953"/>
      <c r="I1042"/>
      <c r="J1042"/>
      <c r="K1042"/>
    </row>
    <row r="1043" spans="2:11" x14ac:dyDescent="0.35">
      <c r="B1043" s="1953"/>
      <c r="C1043" s="1953"/>
      <c r="D1043" s="1953"/>
      <c r="E1043" s="1953"/>
      <c r="F1043" s="1953"/>
      <c r="G1043" s="1953"/>
      <c r="H1043" s="1953"/>
      <c r="I1043"/>
      <c r="J1043"/>
      <c r="K1043"/>
    </row>
    <row r="1044" spans="2:11" x14ac:dyDescent="0.35">
      <c r="B1044" s="1953"/>
      <c r="C1044" s="1953"/>
      <c r="D1044" s="1953"/>
      <c r="E1044" s="1953"/>
      <c r="F1044" s="1953"/>
      <c r="G1044" s="1953"/>
      <c r="H1044" s="1953"/>
      <c r="I1044"/>
      <c r="J1044"/>
      <c r="K1044"/>
    </row>
    <row r="1045" spans="2:11" x14ac:dyDescent="0.35">
      <c r="B1045" s="1953"/>
      <c r="C1045" s="1953"/>
      <c r="D1045" s="1953"/>
      <c r="E1045" s="1953"/>
      <c r="F1045" s="1953"/>
      <c r="G1045" s="1953"/>
      <c r="H1045" s="1953"/>
      <c r="I1045"/>
      <c r="J1045"/>
      <c r="K1045"/>
    </row>
    <row r="1046" spans="2:11" x14ac:dyDescent="0.35">
      <c r="B1046" s="1953"/>
      <c r="C1046" s="1953"/>
      <c r="D1046" s="1953"/>
      <c r="E1046" s="1953"/>
      <c r="F1046" s="1953"/>
      <c r="G1046" s="1953"/>
      <c r="H1046" s="1953"/>
      <c r="I1046"/>
      <c r="J1046"/>
      <c r="K1046"/>
    </row>
    <row r="1047" spans="2:11" x14ac:dyDescent="0.35">
      <c r="B1047" s="1953"/>
      <c r="C1047" s="1953"/>
      <c r="D1047" s="1953"/>
      <c r="E1047" s="1953"/>
      <c r="F1047" s="1953"/>
      <c r="G1047" s="1953"/>
      <c r="H1047" s="1953"/>
      <c r="I1047"/>
      <c r="J1047"/>
      <c r="K1047"/>
    </row>
    <row r="1048" spans="2:11" x14ac:dyDescent="0.35">
      <c r="B1048" s="1953"/>
      <c r="C1048" s="1953"/>
      <c r="D1048" s="1953"/>
      <c r="E1048" s="1953"/>
      <c r="F1048" s="1953"/>
      <c r="G1048" s="1953"/>
      <c r="H1048" s="1953"/>
      <c r="I1048"/>
      <c r="J1048"/>
      <c r="K1048"/>
    </row>
    <row r="1049" spans="2:11" x14ac:dyDescent="0.35">
      <c r="B1049" s="1953"/>
      <c r="C1049" s="1953"/>
      <c r="D1049" s="1953"/>
      <c r="E1049" s="1953"/>
      <c r="F1049" s="1953"/>
      <c r="G1049" s="1953"/>
      <c r="H1049" s="1953"/>
      <c r="I1049"/>
      <c r="J1049"/>
      <c r="K1049"/>
    </row>
    <row r="1050" spans="2:11" x14ac:dyDescent="0.35">
      <c r="B1050" s="1953"/>
      <c r="C1050" s="1953"/>
      <c r="D1050" s="1953"/>
      <c r="E1050" s="1953"/>
      <c r="F1050" s="1953"/>
      <c r="G1050" s="1953"/>
      <c r="H1050" s="1953"/>
      <c r="I1050"/>
      <c r="J1050"/>
      <c r="K1050"/>
    </row>
    <row r="1051" spans="2:11" x14ac:dyDescent="0.35">
      <c r="B1051" s="1953"/>
      <c r="C1051" s="1953"/>
      <c r="D1051" s="1953"/>
      <c r="E1051" s="1953"/>
      <c r="F1051" s="1953"/>
      <c r="G1051" s="1953"/>
      <c r="H1051" s="1953"/>
      <c r="I1051"/>
      <c r="J1051"/>
      <c r="K1051"/>
    </row>
    <row r="1052" spans="2:11" x14ac:dyDescent="0.35">
      <c r="B1052" s="1953"/>
      <c r="C1052" s="1953"/>
      <c r="D1052" s="1953"/>
      <c r="E1052" s="1953"/>
      <c r="F1052" s="1953"/>
      <c r="G1052" s="1953"/>
      <c r="H1052" s="1953"/>
      <c r="I1052"/>
      <c r="J1052"/>
      <c r="K1052"/>
    </row>
    <row r="1053" spans="2:11" x14ac:dyDescent="0.35">
      <c r="B1053" s="1953"/>
      <c r="C1053" s="1953"/>
      <c r="D1053" s="1953"/>
      <c r="E1053" s="1953"/>
      <c r="F1053" s="1953"/>
      <c r="G1053" s="1953"/>
      <c r="H1053" s="1953"/>
      <c r="I1053"/>
      <c r="J1053"/>
      <c r="K1053"/>
    </row>
    <row r="1054" spans="2:11" x14ac:dyDescent="0.35">
      <c r="B1054" s="1953"/>
      <c r="C1054" s="1953"/>
      <c r="D1054" s="1953"/>
      <c r="E1054" s="1953"/>
      <c r="F1054" s="1953"/>
      <c r="G1054" s="1953"/>
      <c r="H1054" s="1953"/>
      <c r="I1054"/>
      <c r="J1054"/>
      <c r="K1054"/>
    </row>
    <row r="1055" spans="2:11" x14ac:dyDescent="0.35">
      <c r="B1055" s="1953"/>
      <c r="C1055" s="1953"/>
      <c r="D1055" s="1953"/>
      <c r="E1055" s="1953"/>
      <c r="F1055" s="1953"/>
      <c r="G1055" s="1953"/>
      <c r="H1055" s="1953"/>
      <c r="I1055"/>
      <c r="J1055"/>
      <c r="K1055"/>
    </row>
    <row r="1056" spans="2:11" x14ac:dyDescent="0.35">
      <c r="B1056" s="1953"/>
      <c r="C1056" s="1953"/>
      <c r="D1056" s="1953"/>
      <c r="E1056" s="1953"/>
      <c r="F1056" s="1953"/>
      <c r="G1056" s="1953"/>
      <c r="H1056" s="1953"/>
      <c r="I1056"/>
      <c r="J1056"/>
      <c r="K1056"/>
    </row>
    <row r="1057" spans="2:11" x14ac:dyDescent="0.35">
      <c r="B1057" s="1953"/>
      <c r="C1057" s="1953"/>
      <c r="D1057" s="1953"/>
      <c r="E1057" s="1953"/>
      <c r="F1057" s="1953"/>
      <c r="G1057" s="1953"/>
      <c r="H1057" s="1953"/>
      <c r="I1057"/>
      <c r="J1057"/>
      <c r="K1057"/>
    </row>
    <row r="1058" spans="2:11" x14ac:dyDescent="0.35">
      <c r="B1058" s="1953"/>
      <c r="C1058" s="1953"/>
      <c r="D1058" s="1953"/>
      <c r="E1058" s="1953"/>
      <c r="F1058" s="1953"/>
      <c r="G1058" s="1953"/>
      <c r="H1058" s="1953"/>
      <c r="I1058"/>
      <c r="J1058"/>
      <c r="K1058"/>
    </row>
    <row r="1059" spans="2:11" x14ac:dyDescent="0.35">
      <c r="B1059" s="1953"/>
      <c r="C1059" s="1953"/>
      <c r="D1059" s="1953"/>
      <c r="E1059" s="1953"/>
      <c r="F1059" s="1953"/>
      <c r="G1059" s="1953"/>
      <c r="H1059" s="1953"/>
      <c r="I1059"/>
      <c r="J1059"/>
      <c r="K1059"/>
    </row>
    <row r="1060" spans="2:11" x14ac:dyDescent="0.35">
      <c r="B1060" s="1953"/>
      <c r="C1060" s="1953"/>
      <c r="D1060" s="1953"/>
      <c r="E1060" s="1953"/>
      <c r="F1060" s="1953"/>
      <c r="G1060" s="1953"/>
      <c r="H1060" s="1953"/>
      <c r="I1060"/>
      <c r="J1060"/>
      <c r="K1060"/>
    </row>
    <row r="1061" spans="2:11" x14ac:dyDescent="0.35">
      <c r="B1061" s="1953"/>
      <c r="C1061" s="1953"/>
      <c r="D1061" s="1953"/>
      <c r="E1061" s="1953"/>
      <c r="F1061" s="1953"/>
      <c r="G1061" s="1953"/>
      <c r="H1061" s="1953"/>
      <c r="I1061"/>
      <c r="J1061"/>
      <c r="K1061"/>
    </row>
    <row r="1062" spans="2:11" x14ac:dyDescent="0.35">
      <c r="B1062" s="1953"/>
      <c r="C1062" s="1953"/>
      <c r="D1062" s="1953"/>
      <c r="E1062" s="1953"/>
      <c r="F1062" s="1953"/>
      <c r="G1062" s="1953"/>
      <c r="H1062" s="1953"/>
      <c r="I1062"/>
      <c r="J1062"/>
      <c r="K1062"/>
    </row>
    <row r="1063" spans="2:11" x14ac:dyDescent="0.35">
      <c r="B1063" s="1953"/>
      <c r="C1063" s="1953"/>
      <c r="D1063" s="1953"/>
      <c r="E1063" s="1953"/>
      <c r="F1063" s="1953"/>
      <c r="G1063" s="1953"/>
      <c r="H1063" s="1953"/>
      <c r="I1063"/>
      <c r="J1063"/>
      <c r="K1063"/>
    </row>
    <row r="1064" spans="2:11" x14ac:dyDescent="0.35">
      <c r="B1064" s="1953"/>
      <c r="C1064" s="1953"/>
      <c r="D1064" s="1953"/>
      <c r="E1064" s="1953"/>
      <c r="F1064" s="1953"/>
      <c r="G1064" s="1953"/>
      <c r="H1064" s="1953"/>
      <c r="I1064"/>
      <c r="J1064"/>
      <c r="K1064"/>
    </row>
    <row r="1065" spans="2:11" x14ac:dyDescent="0.35">
      <c r="B1065" s="1953"/>
      <c r="C1065" s="1953"/>
      <c r="D1065" s="1953"/>
      <c r="E1065" s="1953"/>
      <c r="F1065" s="1953"/>
      <c r="G1065" s="1953"/>
      <c r="H1065" s="1953"/>
      <c r="I1065"/>
      <c r="J1065"/>
      <c r="K1065"/>
    </row>
    <row r="1066" spans="2:11" x14ac:dyDescent="0.35">
      <c r="B1066" s="1953"/>
      <c r="C1066" s="1953"/>
      <c r="D1066" s="1953"/>
      <c r="E1066" s="1953"/>
      <c r="F1066" s="1953"/>
      <c r="G1066" s="1953"/>
      <c r="H1066" s="1953"/>
      <c r="I1066"/>
      <c r="J1066"/>
      <c r="K1066"/>
    </row>
    <row r="1067" spans="2:11" x14ac:dyDescent="0.35">
      <c r="B1067" s="1953"/>
      <c r="C1067" s="1953"/>
      <c r="D1067" s="1953"/>
      <c r="E1067" s="1953"/>
      <c r="F1067" s="1953"/>
      <c r="G1067" s="1953"/>
      <c r="H1067" s="1953"/>
      <c r="I1067"/>
      <c r="J1067"/>
      <c r="K1067"/>
    </row>
    <row r="1068" spans="2:11" x14ac:dyDescent="0.35">
      <c r="B1068" s="1953"/>
      <c r="C1068" s="1953"/>
      <c r="D1068" s="1953"/>
      <c r="E1068" s="1953"/>
      <c r="F1068" s="1953"/>
      <c r="G1068" s="1953"/>
      <c r="H1068" s="1953"/>
      <c r="I1068"/>
      <c r="J1068"/>
      <c r="K1068"/>
    </row>
    <row r="1069" spans="2:11" x14ac:dyDescent="0.35">
      <c r="B1069" s="1953"/>
      <c r="C1069" s="1953"/>
      <c r="D1069" s="1953"/>
      <c r="E1069" s="1953"/>
      <c r="F1069" s="1953"/>
      <c r="G1069" s="1953"/>
      <c r="H1069" s="1953"/>
      <c r="I1069"/>
      <c r="J1069"/>
      <c r="K1069"/>
    </row>
    <row r="1070" spans="2:11" x14ac:dyDescent="0.35">
      <c r="B1070" s="1953"/>
      <c r="C1070" s="1953"/>
      <c r="D1070" s="1953"/>
      <c r="E1070" s="1953"/>
      <c r="F1070" s="1953"/>
      <c r="G1070" s="1953"/>
      <c r="H1070" s="1953"/>
      <c r="I1070"/>
      <c r="J1070"/>
      <c r="K1070"/>
    </row>
    <row r="1071" spans="2:11" x14ac:dyDescent="0.35">
      <c r="B1071" s="1953"/>
      <c r="C1071" s="1953"/>
      <c r="D1071" s="1953"/>
      <c r="E1071" s="1953"/>
      <c r="F1071" s="1953"/>
      <c r="G1071" s="1953"/>
      <c r="H1071" s="1953"/>
      <c r="I1071"/>
      <c r="J1071"/>
      <c r="K1071"/>
    </row>
    <row r="1072" spans="2:11" x14ac:dyDescent="0.35">
      <c r="B1072" s="1953"/>
      <c r="C1072" s="1953"/>
      <c r="D1072" s="1953"/>
      <c r="E1072" s="1953"/>
      <c r="F1072" s="1953"/>
      <c r="G1072" s="1953"/>
      <c r="H1072" s="1953"/>
      <c r="I1072"/>
      <c r="J1072"/>
      <c r="K1072"/>
    </row>
    <row r="1073" spans="2:11" x14ac:dyDescent="0.35">
      <c r="B1073" s="1953"/>
      <c r="C1073" s="1953"/>
      <c r="D1073" s="1953"/>
      <c r="E1073" s="1953"/>
      <c r="F1073" s="1953"/>
      <c r="G1073" s="1953"/>
      <c r="H1073" s="1953"/>
      <c r="I1073"/>
      <c r="J1073"/>
      <c r="K1073"/>
    </row>
    <row r="1074" spans="2:11" x14ac:dyDescent="0.35">
      <c r="B1074" s="1953"/>
      <c r="C1074" s="1953"/>
      <c r="D1074" s="1953"/>
      <c r="E1074" s="1953"/>
      <c r="F1074" s="1953"/>
      <c r="G1074" s="1953"/>
      <c r="H1074" s="1953"/>
      <c r="I1074"/>
      <c r="J1074"/>
      <c r="K1074"/>
    </row>
    <row r="1075" spans="2:11" x14ac:dyDescent="0.35">
      <c r="B1075" s="1953"/>
      <c r="C1075" s="1953"/>
      <c r="D1075" s="1953"/>
      <c r="E1075" s="1953"/>
      <c r="F1075" s="1953"/>
      <c r="G1075" s="1953"/>
      <c r="H1075" s="1953"/>
      <c r="I1075"/>
      <c r="J1075"/>
      <c r="K1075"/>
    </row>
    <row r="1076" spans="2:11" x14ac:dyDescent="0.35">
      <c r="B1076" s="1953"/>
      <c r="C1076" s="1953"/>
      <c r="D1076" s="1953"/>
      <c r="E1076" s="1953"/>
      <c r="F1076" s="1953"/>
      <c r="G1076" s="1953"/>
      <c r="H1076" s="1953"/>
      <c r="I1076"/>
      <c r="J1076"/>
      <c r="K1076"/>
    </row>
    <row r="1077" spans="2:11" x14ac:dyDescent="0.35">
      <c r="B1077" s="1953"/>
      <c r="C1077" s="1953"/>
      <c r="D1077" s="1953"/>
      <c r="E1077" s="1953"/>
      <c r="F1077" s="1953"/>
      <c r="G1077" s="1953"/>
      <c r="H1077" s="1953"/>
      <c r="I1077"/>
      <c r="J1077"/>
      <c r="K1077"/>
    </row>
    <row r="1078" spans="2:11" x14ac:dyDescent="0.35">
      <c r="B1078" s="1953"/>
      <c r="C1078" s="1953"/>
      <c r="D1078" s="1953"/>
      <c r="E1078" s="1953"/>
      <c r="F1078" s="1953"/>
      <c r="G1078" s="1953"/>
      <c r="H1078" s="1953"/>
      <c r="I1078"/>
      <c r="J1078"/>
      <c r="K1078"/>
    </row>
    <row r="1079" spans="2:11" x14ac:dyDescent="0.35">
      <c r="B1079" s="1953"/>
      <c r="C1079" s="1953"/>
      <c r="D1079" s="1953"/>
      <c r="E1079" s="1953"/>
      <c r="F1079" s="1953"/>
      <c r="G1079" s="1953"/>
      <c r="H1079" s="1953"/>
      <c r="I1079"/>
      <c r="J1079"/>
      <c r="K1079"/>
    </row>
    <row r="1080" spans="2:11" x14ac:dyDescent="0.35">
      <c r="B1080" s="1953"/>
      <c r="C1080" s="1953"/>
      <c r="D1080" s="1953"/>
      <c r="E1080" s="1953"/>
      <c r="F1080" s="1953"/>
      <c r="G1080" s="1953"/>
      <c r="H1080" s="1953"/>
      <c r="I1080"/>
      <c r="J1080"/>
      <c r="K1080"/>
    </row>
    <row r="1081" spans="2:11" x14ac:dyDescent="0.35">
      <c r="B1081" s="1953"/>
      <c r="C1081" s="1953"/>
      <c r="D1081" s="1953"/>
      <c r="E1081" s="1953"/>
      <c r="F1081" s="1953"/>
      <c r="G1081" s="1953"/>
      <c r="H1081" s="1953"/>
      <c r="I1081"/>
      <c r="J1081"/>
      <c r="K1081"/>
    </row>
    <row r="1082" spans="2:11" x14ac:dyDescent="0.35">
      <c r="B1082" s="1953"/>
      <c r="C1082" s="1953"/>
      <c r="D1082" s="1953"/>
      <c r="E1082" s="1953"/>
      <c r="F1082" s="1953"/>
      <c r="G1082" s="1953"/>
      <c r="H1082" s="1953"/>
      <c r="I1082"/>
      <c r="J1082"/>
      <c r="K1082"/>
    </row>
    <row r="1083" spans="2:11" x14ac:dyDescent="0.35">
      <c r="B1083" s="1953"/>
      <c r="C1083" s="1953"/>
      <c r="D1083" s="1953"/>
      <c r="E1083" s="1953"/>
      <c r="F1083" s="1953"/>
      <c r="G1083" s="1953"/>
      <c r="H1083" s="1953"/>
      <c r="I1083"/>
      <c r="J1083"/>
      <c r="K1083"/>
    </row>
    <row r="1084" spans="2:11" x14ac:dyDescent="0.35">
      <c r="B1084" s="1953"/>
      <c r="C1084" s="1953"/>
      <c r="D1084" s="1953"/>
      <c r="E1084" s="1953"/>
      <c r="F1084" s="1953"/>
      <c r="G1084" s="1953"/>
      <c r="H1084" s="1953"/>
      <c r="I1084"/>
      <c r="J1084"/>
      <c r="K1084"/>
    </row>
    <row r="1085" spans="2:11" x14ac:dyDescent="0.35">
      <c r="B1085" s="1953"/>
      <c r="C1085" s="1953"/>
      <c r="D1085" s="1953"/>
      <c r="E1085" s="1953"/>
      <c r="F1085" s="1953"/>
      <c r="G1085" s="1953"/>
      <c r="H1085" s="1953"/>
      <c r="I1085"/>
      <c r="J1085"/>
      <c r="K1085"/>
    </row>
    <row r="1086" spans="2:11" x14ac:dyDescent="0.35">
      <c r="B1086" s="1953"/>
      <c r="C1086" s="1953"/>
      <c r="D1086" s="1953"/>
      <c r="E1086" s="1953"/>
      <c r="F1086" s="1953"/>
      <c r="G1086" s="1953"/>
      <c r="H1086" s="1953"/>
      <c r="I1086"/>
      <c r="J1086"/>
      <c r="K1086"/>
    </row>
    <row r="1087" spans="2:11" x14ac:dyDescent="0.35">
      <c r="B1087" s="1953"/>
      <c r="C1087" s="1953"/>
      <c r="D1087" s="1953"/>
      <c r="E1087" s="1953"/>
      <c r="F1087" s="1953"/>
      <c r="G1087" s="1953"/>
      <c r="H1087" s="1953"/>
      <c r="I1087"/>
      <c r="J1087"/>
      <c r="K1087"/>
    </row>
    <row r="1088" spans="2:11" x14ac:dyDescent="0.35">
      <c r="B1088" s="1953"/>
      <c r="C1088" s="1953"/>
      <c r="D1088" s="1953"/>
      <c r="E1088" s="1953"/>
      <c r="F1088" s="1953"/>
      <c r="G1088" s="1953"/>
      <c r="H1088" s="1953"/>
      <c r="I1088"/>
      <c r="J1088"/>
      <c r="K1088"/>
    </row>
    <row r="1089" spans="2:11" x14ac:dyDescent="0.35">
      <c r="B1089" s="1953"/>
      <c r="C1089" s="1953"/>
      <c r="D1089" s="1953"/>
      <c r="E1089" s="1953"/>
      <c r="F1089" s="1953"/>
      <c r="G1089" s="1953"/>
      <c r="H1089" s="1953"/>
      <c r="I1089"/>
      <c r="J1089"/>
      <c r="K1089"/>
    </row>
    <row r="1090" spans="2:11" x14ac:dyDescent="0.35">
      <c r="B1090" s="1953"/>
      <c r="C1090" s="1953"/>
      <c r="D1090" s="1953"/>
      <c r="E1090" s="1953"/>
      <c r="F1090" s="1953"/>
      <c r="G1090" s="1953"/>
      <c r="H1090" s="1953"/>
      <c r="I1090"/>
      <c r="J1090"/>
      <c r="K1090"/>
    </row>
    <row r="1091" spans="2:11" x14ac:dyDescent="0.35">
      <c r="B1091" s="1953"/>
      <c r="C1091" s="1953"/>
      <c r="D1091" s="1953"/>
      <c r="E1091" s="1953"/>
      <c r="F1091" s="1953"/>
      <c r="G1091" s="1953"/>
      <c r="H1091" s="1953"/>
      <c r="I1091"/>
      <c r="J1091"/>
      <c r="K1091"/>
    </row>
    <row r="1092" spans="2:11" x14ac:dyDescent="0.35">
      <c r="B1092" s="1953"/>
      <c r="C1092" s="1953"/>
      <c r="D1092" s="1953"/>
      <c r="E1092" s="1953"/>
      <c r="F1092" s="1953"/>
      <c r="G1092" s="1953"/>
      <c r="H1092" s="1953"/>
      <c r="I1092"/>
      <c r="J1092"/>
      <c r="K1092"/>
    </row>
    <row r="1093" spans="2:11" x14ac:dyDescent="0.35">
      <c r="B1093" s="1953"/>
      <c r="C1093" s="1953"/>
      <c r="D1093" s="1953"/>
      <c r="E1093" s="1953"/>
      <c r="F1093" s="1953"/>
      <c r="G1093" s="1953"/>
      <c r="H1093" s="1953"/>
      <c r="I1093"/>
      <c r="J1093"/>
      <c r="K1093"/>
    </row>
    <row r="1094" spans="2:11" x14ac:dyDescent="0.35">
      <c r="B1094" s="1953"/>
      <c r="C1094" s="1953"/>
      <c r="D1094" s="1953"/>
      <c r="E1094" s="1953"/>
      <c r="F1094" s="1953"/>
      <c r="G1094" s="1953"/>
      <c r="H1094" s="1953"/>
      <c r="I1094"/>
      <c r="J1094"/>
      <c r="K1094"/>
    </row>
    <row r="1095" spans="2:11" x14ac:dyDescent="0.35">
      <c r="B1095" s="1953"/>
      <c r="C1095" s="1953"/>
      <c r="D1095" s="1953"/>
      <c r="E1095" s="1953"/>
      <c r="F1095" s="1953"/>
      <c r="G1095" s="1953"/>
      <c r="H1095" s="1953"/>
      <c r="I1095"/>
      <c r="J1095"/>
      <c r="K1095"/>
    </row>
    <row r="1096" spans="2:11" x14ac:dyDescent="0.35">
      <c r="B1096" s="1953"/>
      <c r="C1096" s="1953"/>
      <c r="D1096" s="1953"/>
      <c r="E1096" s="1953"/>
      <c r="F1096" s="1953"/>
      <c r="G1096" s="1953"/>
      <c r="H1096" s="1953"/>
      <c r="I1096"/>
      <c r="J1096"/>
      <c r="K1096"/>
    </row>
    <row r="1097" spans="2:11" x14ac:dyDescent="0.35">
      <c r="B1097" s="1953"/>
      <c r="C1097" s="1953"/>
      <c r="D1097" s="1953"/>
      <c r="E1097" s="1953"/>
      <c r="F1097" s="1953"/>
      <c r="G1097" s="1953"/>
      <c r="H1097" s="1953"/>
      <c r="I1097"/>
      <c r="J1097"/>
      <c r="K1097"/>
    </row>
    <row r="1098" spans="2:11" x14ac:dyDescent="0.35">
      <c r="B1098" s="1953"/>
      <c r="C1098" s="1953"/>
      <c r="D1098" s="1953"/>
      <c r="E1098" s="1953"/>
      <c r="F1098" s="1953"/>
      <c r="G1098" s="1953"/>
      <c r="H1098" s="1953"/>
      <c r="I1098"/>
      <c r="J1098"/>
      <c r="K1098"/>
    </row>
    <row r="1099" spans="2:11" x14ac:dyDescent="0.35">
      <c r="B1099" s="1953"/>
      <c r="C1099" s="1953"/>
      <c r="D1099" s="1953"/>
      <c r="E1099" s="1953"/>
      <c r="F1099" s="1953"/>
      <c r="G1099" s="1953"/>
      <c r="H1099" s="1953"/>
      <c r="I1099"/>
      <c r="J1099"/>
      <c r="K1099"/>
    </row>
    <row r="1100" spans="2:11" x14ac:dyDescent="0.35">
      <c r="B1100" s="1953"/>
      <c r="C1100" s="1953"/>
      <c r="D1100" s="1953"/>
      <c r="E1100" s="1953"/>
      <c r="F1100" s="1953"/>
      <c r="G1100" s="1953"/>
      <c r="H1100" s="1953"/>
      <c r="I1100"/>
      <c r="J1100"/>
      <c r="K1100"/>
    </row>
    <row r="1101" spans="2:11" x14ac:dyDescent="0.35">
      <c r="B1101" s="1953"/>
      <c r="C1101" s="1953"/>
      <c r="D1101" s="1953"/>
      <c r="E1101" s="1953"/>
      <c r="F1101" s="1953"/>
      <c r="G1101" s="1953"/>
      <c r="H1101" s="1953"/>
      <c r="I1101"/>
      <c r="J1101"/>
      <c r="K1101"/>
    </row>
    <row r="1102" spans="2:11" x14ac:dyDescent="0.35">
      <c r="B1102" s="1953"/>
      <c r="C1102" s="1953"/>
      <c r="D1102" s="1953"/>
      <c r="E1102" s="1953"/>
      <c r="F1102" s="1953"/>
      <c r="G1102" s="1953"/>
      <c r="H1102" s="1953"/>
      <c r="I1102"/>
      <c r="J1102"/>
      <c r="K1102"/>
    </row>
    <row r="1103" spans="2:11" x14ac:dyDescent="0.35">
      <c r="B1103" s="1953"/>
      <c r="C1103" s="1953"/>
      <c r="D1103" s="1953"/>
      <c r="E1103" s="1953"/>
      <c r="F1103" s="1953"/>
      <c r="G1103" s="1953"/>
      <c r="H1103" s="1953"/>
      <c r="I1103"/>
      <c r="J1103"/>
      <c r="K1103"/>
    </row>
    <row r="1104" spans="2:11" x14ac:dyDescent="0.35">
      <c r="B1104" s="1953"/>
      <c r="C1104" s="1953"/>
      <c r="D1104" s="1953"/>
      <c r="E1104" s="1953"/>
      <c r="F1104" s="1953"/>
      <c r="G1104" s="1953"/>
      <c r="H1104" s="1953"/>
      <c r="I1104"/>
      <c r="J1104"/>
      <c r="K1104"/>
    </row>
    <row r="1105" spans="2:11" x14ac:dyDescent="0.35">
      <c r="B1105" s="1953"/>
      <c r="C1105" s="1953"/>
      <c r="D1105" s="1953"/>
      <c r="E1105" s="1953"/>
      <c r="F1105" s="1953"/>
      <c r="G1105" s="1953"/>
      <c r="H1105" s="1953"/>
      <c r="I1105"/>
      <c r="J1105"/>
      <c r="K1105"/>
    </row>
    <row r="1106" spans="2:11" x14ac:dyDescent="0.35">
      <c r="B1106" s="1953"/>
      <c r="C1106" s="1953"/>
      <c r="D1106" s="1953"/>
      <c r="E1106" s="1953"/>
      <c r="F1106" s="1953"/>
      <c r="G1106" s="1953"/>
      <c r="H1106" s="1953"/>
      <c r="I1106"/>
      <c r="J1106"/>
      <c r="K1106"/>
    </row>
    <row r="1107" spans="2:11" x14ac:dyDescent="0.35">
      <c r="B1107" s="1953"/>
      <c r="C1107" s="1953"/>
      <c r="D1107" s="1953"/>
      <c r="E1107" s="1953"/>
      <c r="F1107" s="1953"/>
      <c r="G1107" s="1953"/>
      <c r="H1107" s="1953"/>
      <c r="I1107"/>
      <c r="J1107"/>
      <c r="K1107"/>
    </row>
    <row r="1108" spans="2:11" x14ac:dyDescent="0.35">
      <c r="B1108" s="1953"/>
      <c r="C1108" s="1953"/>
      <c r="D1108" s="1953"/>
      <c r="E1108" s="1953"/>
      <c r="F1108" s="1953"/>
      <c r="G1108" s="1953"/>
      <c r="H1108" s="1953"/>
      <c r="I1108"/>
      <c r="J1108"/>
      <c r="K1108"/>
    </row>
    <row r="1109" spans="2:11" x14ac:dyDescent="0.35">
      <c r="B1109" s="1953"/>
      <c r="C1109" s="1953"/>
      <c r="D1109" s="1953"/>
      <c r="E1109" s="1953"/>
      <c r="F1109" s="1953"/>
      <c r="G1109" s="1953"/>
      <c r="H1109" s="1953"/>
      <c r="I1109"/>
      <c r="J1109"/>
      <c r="K1109"/>
    </row>
    <row r="1110" spans="2:11" x14ac:dyDescent="0.35">
      <c r="B1110" s="1953"/>
      <c r="C1110" s="1953"/>
      <c r="D1110" s="1953"/>
      <c r="E1110" s="1953"/>
      <c r="F1110" s="1953"/>
      <c r="G1110" s="1953"/>
      <c r="H1110" s="1953"/>
      <c r="I1110"/>
      <c r="J1110"/>
      <c r="K1110"/>
    </row>
    <row r="1111" spans="2:11" x14ac:dyDescent="0.35">
      <c r="B1111" s="1953"/>
      <c r="C1111" s="1953"/>
      <c r="D1111" s="1953"/>
      <c r="E1111" s="1953"/>
      <c r="F1111" s="1953"/>
      <c r="G1111" s="1953"/>
      <c r="H1111" s="1953"/>
      <c r="I1111"/>
      <c r="J1111"/>
      <c r="K1111"/>
    </row>
    <row r="1112" spans="2:11" x14ac:dyDescent="0.35">
      <c r="B1112" s="1953"/>
      <c r="C1112" s="1953"/>
      <c r="D1112" s="1953"/>
      <c r="E1112" s="1953"/>
      <c r="F1112" s="1953"/>
      <c r="G1112" s="1953"/>
      <c r="H1112" s="1953"/>
      <c r="I1112"/>
      <c r="J1112"/>
      <c r="K1112"/>
    </row>
    <row r="1113" spans="2:11" x14ac:dyDescent="0.35">
      <c r="B1113" s="1953"/>
      <c r="C1113" s="1953"/>
      <c r="D1113" s="1953"/>
      <c r="E1113" s="1953"/>
      <c r="F1113" s="1953"/>
      <c r="G1113" s="1953"/>
      <c r="H1113" s="1953"/>
      <c r="I1113"/>
      <c r="J1113"/>
      <c r="K1113"/>
    </row>
    <row r="1114" spans="2:11" x14ac:dyDescent="0.35">
      <c r="B1114" s="1953"/>
      <c r="C1114" s="1953"/>
      <c r="D1114" s="1953"/>
      <c r="E1114" s="1953"/>
      <c r="F1114" s="1953"/>
      <c r="G1114" s="1953"/>
      <c r="H1114" s="1953"/>
      <c r="I1114"/>
      <c r="J1114"/>
      <c r="K1114"/>
    </row>
    <row r="1115" spans="2:11" x14ac:dyDescent="0.35">
      <c r="B1115" s="1953"/>
      <c r="C1115" s="1953"/>
      <c r="D1115" s="1953"/>
      <c r="E1115" s="1953"/>
      <c r="F1115" s="1953"/>
      <c r="G1115" s="1953"/>
      <c r="H1115" s="1953"/>
      <c r="I1115"/>
      <c r="J1115"/>
      <c r="K1115"/>
    </row>
    <row r="1116" spans="2:11" x14ac:dyDescent="0.35">
      <c r="B1116" s="1953"/>
      <c r="C1116" s="1953"/>
      <c r="D1116" s="1953"/>
      <c r="E1116" s="1953"/>
      <c r="F1116" s="1953"/>
      <c r="G1116" s="1953"/>
      <c r="H1116" s="1953"/>
      <c r="I1116"/>
      <c r="J1116"/>
      <c r="K1116"/>
    </row>
    <row r="1117" spans="2:11" x14ac:dyDescent="0.35">
      <c r="B1117" s="1953"/>
      <c r="C1117" s="1953"/>
      <c r="D1117" s="1953"/>
      <c r="E1117" s="1953"/>
      <c r="F1117" s="1953"/>
      <c r="G1117" s="1953"/>
      <c r="H1117" s="1953"/>
      <c r="I1117"/>
      <c r="J1117"/>
      <c r="K1117"/>
    </row>
    <row r="1118" spans="2:11" x14ac:dyDescent="0.35">
      <c r="B1118" s="1953"/>
      <c r="C1118" s="1953"/>
      <c r="D1118" s="1953"/>
      <c r="E1118" s="1953"/>
      <c r="F1118" s="1953"/>
      <c r="G1118" s="1953"/>
      <c r="H1118" s="1953"/>
      <c r="I1118"/>
      <c r="J1118"/>
      <c r="K1118"/>
    </row>
    <row r="1119" spans="2:11" x14ac:dyDescent="0.35">
      <c r="B1119" s="1953"/>
      <c r="C1119" s="1953"/>
      <c r="D1119" s="1953"/>
      <c r="E1119" s="1953"/>
      <c r="F1119" s="1953"/>
      <c r="G1119" s="1953"/>
      <c r="H1119" s="1953"/>
      <c r="I1119"/>
      <c r="J1119"/>
      <c r="K1119"/>
    </row>
    <row r="1120" spans="2:11" x14ac:dyDescent="0.35">
      <c r="B1120" s="1953"/>
      <c r="C1120" s="1953"/>
      <c r="D1120" s="1953"/>
      <c r="E1120" s="1953"/>
      <c r="F1120" s="1953"/>
      <c r="G1120" s="1953"/>
      <c r="H1120" s="1953"/>
      <c r="I1120"/>
      <c r="J1120"/>
      <c r="K1120"/>
    </row>
    <row r="1121" spans="2:11" x14ac:dyDescent="0.35">
      <c r="B1121" s="1953"/>
      <c r="C1121" s="1953"/>
      <c r="D1121" s="1953"/>
      <c r="E1121" s="1953"/>
      <c r="F1121" s="1953"/>
      <c r="G1121" s="1953"/>
      <c r="H1121" s="1953"/>
      <c r="I1121"/>
      <c r="J1121"/>
      <c r="K1121"/>
    </row>
    <row r="1122" spans="2:11" x14ac:dyDescent="0.35">
      <c r="B1122" s="1953"/>
      <c r="C1122" s="1953"/>
      <c r="D1122" s="1953"/>
      <c r="E1122" s="1953"/>
      <c r="F1122" s="1953"/>
      <c r="G1122" s="1953"/>
      <c r="H1122" s="1953"/>
      <c r="I1122"/>
      <c r="J1122"/>
      <c r="K1122"/>
    </row>
    <row r="1123" spans="2:11" x14ac:dyDescent="0.35">
      <c r="B1123" s="1953"/>
      <c r="C1123" s="1953"/>
      <c r="D1123" s="1953"/>
      <c r="E1123" s="1953"/>
      <c r="F1123" s="1953"/>
      <c r="G1123" s="1953"/>
      <c r="H1123" s="1953"/>
      <c r="I1123"/>
      <c r="J1123"/>
      <c r="K1123"/>
    </row>
    <row r="1124" spans="2:11" x14ac:dyDescent="0.35">
      <c r="B1124" s="1953"/>
      <c r="C1124" s="1953"/>
      <c r="D1124" s="1953"/>
      <c r="E1124" s="1953"/>
      <c r="F1124" s="1953"/>
      <c r="G1124" s="1953"/>
      <c r="H1124" s="1953"/>
      <c r="I1124"/>
      <c r="J1124"/>
      <c r="K1124"/>
    </row>
    <row r="1125" spans="2:11" x14ac:dyDescent="0.35">
      <c r="B1125" s="1953"/>
      <c r="C1125" s="1953"/>
      <c r="D1125" s="1953"/>
      <c r="E1125" s="1953"/>
      <c r="F1125" s="1953"/>
      <c r="G1125" s="1953"/>
      <c r="H1125" s="1953"/>
      <c r="I1125"/>
      <c r="J1125"/>
      <c r="K1125"/>
    </row>
    <row r="1126" spans="2:11" x14ac:dyDescent="0.35">
      <c r="B1126" s="1953"/>
      <c r="C1126" s="1953"/>
      <c r="D1126" s="1953"/>
      <c r="E1126" s="1953"/>
      <c r="F1126" s="1953"/>
      <c r="G1126" s="1953"/>
      <c r="H1126" s="1953"/>
      <c r="I1126"/>
      <c r="J1126"/>
      <c r="K1126"/>
    </row>
    <row r="1127" spans="2:11" x14ac:dyDescent="0.35">
      <c r="B1127" s="1953"/>
      <c r="C1127" s="1953"/>
      <c r="D1127" s="1953"/>
      <c r="E1127" s="1953"/>
      <c r="F1127" s="1953"/>
      <c r="G1127" s="1953"/>
      <c r="H1127" s="1953"/>
      <c r="I1127"/>
      <c r="J1127"/>
      <c r="K1127"/>
    </row>
    <row r="1128" spans="2:11" x14ac:dyDescent="0.35">
      <c r="B1128" s="1953"/>
      <c r="C1128" s="1953"/>
      <c r="D1128" s="1953"/>
      <c r="E1128" s="1953"/>
      <c r="F1128" s="1953"/>
      <c r="G1128" s="1953"/>
      <c r="H1128" s="1953"/>
      <c r="I1128"/>
      <c r="J1128"/>
      <c r="K1128"/>
    </row>
    <row r="1129" spans="2:11" x14ac:dyDescent="0.35">
      <c r="B1129" s="1953"/>
      <c r="C1129" s="1953"/>
      <c r="D1129" s="1953"/>
      <c r="E1129" s="1953"/>
      <c r="F1129" s="1953"/>
      <c r="G1129" s="1953"/>
      <c r="H1129" s="1953"/>
      <c r="I1129"/>
      <c r="J1129"/>
      <c r="K1129"/>
    </row>
    <row r="1130" spans="2:11" x14ac:dyDescent="0.35">
      <c r="B1130" s="1953"/>
      <c r="C1130" s="1953"/>
      <c r="D1130" s="1953"/>
      <c r="E1130" s="1953"/>
      <c r="F1130" s="1953"/>
      <c r="G1130" s="1953"/>
      <c r="H1130" s="1953"/>
      <c r="I1130"/>
      <c r="J1130"/>
      <c r="K1130"/>
    </row>
    <row r="1131" spans="2:11" x14ac:dyDescent="0.35">
      <c r="B1131" s="1953"/>
      <c r="C1131" s="1953"/>
      <c r="D1131" s="1953"/>
      <c r="E1131" s="1953"/>
      <c r="F1131" s="1953"/>
      <c r="G1131" s="1953"/>
      <c r="H1131" s="1953"/>
      <c r="I1131"/>
      <c r="J1131"/>
      <c r="K1131"/>
    </row>
    <row r="1132" spans="2:11" x14ac:dyDescent="0.35">
      <c r="B1132" s="1953"/>
      <c r="C1132" s="1953"/>
      <c r="D1132" s="1953"/>
      <c r="E1132" s="1953"/>
      <c r="F1132" s="1953"/>
      <c r="G1132" s="1953"/>
      <c r="H1132" s="1953"/>
      <c r="I1132"/>
      <c r="J1132"/>
      <c r="K1132"/>
    </row>
    <row r="1133" spans="2:11" x14ac:dyDescent="0.35">
      <c r="B1133" s="1953"/>
      <c r="C1133" s="1953"/>
      <c r="D1133" s="1953"/>
      <c r="E1133" s="1953"/>
      <c r="F1133" s="1953"/>
      <c r="G1133" s="1953"/>
      <c r="H1133" s="1953"/>
      <c r="I1133"/>
      <c r="J1133"/>
      <c r="K1133"/>
    </row>
    <row r="1134" spans="2:11" x14ac:dyDescent="0.35">
      <c r="B1134" s="1953"/>
      <c r="C1134" s="1953"/>
      <c r="D1134" s="1953"/>
      <c r="E1134" s="1953"/>
      <c r="F1134" s="1953"/>
      <c r="G1134" s="1953"/>
      <c r="H1134" s="1953"/>
      <c r="I1134"/>
      <c r="J1134"/>
      <c r="K1134"/>
    </row>
    <row r="1135" spans="2:11" x14ac:dyDescent="0.35">
      <c r="B1135" s="1953"/>
      <c r="C1135" s="1953"/>
      <c r="D1135" s="1953"/>
      <c r="E1135" s="1953"/>
      <c r="F1135" s="1953"/>
      <c r="G1135" s="1953"/>
      <c r="H1135" s="1953"/>
      <c r="I1135"/>
      <c r="J1135"/>
      <c r="K1135"/>
    </row>
    <row r="1136" spans="2:11" x14ac:dyDescent="0.35">
      <c r="B1136" s="1953"/>
      <c r="C1136" s="1953"/>
      <c r="D1136" s="1953"/>
      <c r="E1136" s="1953"/>
      <c r="F1136" s="1953"/>
      <c r="G1136" s="1953"/>
      <c r="H1136" s="1953"/>
      <c r="I1136"/>
      <c r="J1136"/>
      <c r="K1136"/>
    </row>
    <row r="1137" spans="2:11" x14ac:dyDescent="0.35">
      <c r="B1137" s="1953"/>
      <c r="C1137" s="1953"/>
      <c r="D1137" s="1953"/>
      <c r="E1137" s="1953"/>
      <c r="F1137" s="1953"/>
      <c r="G1137" s="1953"/>
      <c r="H1137" s="1953"/>
      <c r="I1137"/>
      <c r="J1137"/>
      <c r="K1137"/>
    </row>
    <row r="1138" spans="2:11" x14ac:dyDescent="0.35">
      <c r="B1138" s="1953"/>
      <c r="C1138" s="1953"/>
      <c r="D1138" s="1953"/>
      <c r="E1138" s="1953"/>
      <c r="F1138" s="1953"/>
      <c r="G1138" s="1953"/>
      <c r="H1138" s="1953"/>
      <c r="I1138"/>
      <c r="J1138"/>
      <c r="K1138"/>
    </row>
    <row r="1139" spans="2:11" x14ac:dyDescent="0.35">
      <c r="B1139" s="1953"/>
      <c r="C1139" s="1953"/>
      <c r="D1139" s="1953"/>
      <c r="E1139" s="1953"/>
      <c r="F1139" s="1953"/>
      <c r="G1139" s="1953"/>
      <c r="H1139" s="1953"/>
      <c r="I1139"/>
      <c r="J1139"/>
      <c r="K1139"/>
    </row>
    <row r="1140" spans="2:11" x14ac:dyDescent="0.35">
      <c r="B1140" s="1953"/>
      <c r="C1140" s="1953"/>
      <c r="D1140" s="1953"/>
      <c r="E1140" s="1953"/>
      <c r="F1140" s="1953"/>
      <c r="G1140" s="1953"/>
      <c r="H1140" s="1953"/>
      <c r="I1140"/>
      <c r="J1140"/>
      <c r="K1140"/>
    </row>
    <row r="1141" spans="2:11" x14ac:dyDescent="0.35">
      <c r="B1141" s="1953"/>
      <c r="C1141" s="1953"/>
      <c r="D1141" s="1953"/>
      <c r="E1141" s="1953"/>
      <c r="F1141" s="1953"/>
      <c r="G1141" s="1953"/>
      <c r="H1141" s="1953"/>
      <c r="I1141"/>
      <c r="J1141"/>
      <c r="K1141"/>
    </row>
    <row r="1142" spans="2:11" x14ac:dyDescent="0.35">
      <c r="B1142" s="1953"/>
      <c r="C1142" s="1953"/>
      <c r="D1142" s="1953"/>
      <c r="E1142" s="1953"/>
      <c r="F1142" s="1953"/>
      <c r="G1142" s="1953"/>
      <c r="H1142" s="1953"/>
      <c r="I1142"/>
      <c r="J1142"/>
      <c r="K1142"/>
    </row>
    <row r="1143" spans="2:11" x14ac:dyDescent="0.35">
      <c r="B1143" s="1953"/>
      <c r="C1143" s="1953"/>
      <c r="D1143" s="1953"/>
      <c r="E1143" s="1953"/>
      <c r="F1143" s="1953"/>
      <c r="G1143" s="1953"/>
      <c r="H1143" s="1953"/>
      <c r="I1143"/>
      <c r="J1143"/>
      <c r="K1143"/>
    </row>
    <row r="1144" spans="2:11" x14ac:dyDescent="0.35">
      <c r="B1144" s="1953"/>
      <c r="C1144" s="1953"/>
      <c r="D1144" s="1953"/>
      <c r="E1144" s="1953"/>
      <c r="F1144" s="1953"/>
      <c r="G1144" s="1953"/>
      <c r="H1144" s="1953"/>
      <c r="I1144"/>
      <c r="J1144"/>
      <c r="K1144"/>
    </row>
    <row r="1145" spans="2:11" x14ac:dyDescent="0.35">
      <c r="B1145" s="1953"/>
      <c r="C1145" s="1953"/>
      <c r="D1145" s="1953"/>
      <c r="E1145" s="1953"/>
      <c r="F1145" s="1953"/>
      <c r="G1145" s="1953"/>
      <c r="H1145" s="1953"/>
      <c r="I1145"/>
      <c r="J1145"/>
      <c r="K1145"/>
    </row>
    <row r="1146" spans="2:11" x14ac:dyDescent="0.35">
      <c r="B1146" s="1953"/>
      <c r="C1146" s="1953"/>
      <c r="D1146" s="1953"/>
      <c r="E1146" s="1953"/>
      <c r="F1146" s="1953"/>
      <c r="G1146" s="1953"/>
      <c r="H1146" s="1953"/>
      <c r="I1146"/>
      <c r="J1146"/>
      <c r="K1146"/>
    </row>
    <row r="1147" spans="2:11" x14ac:dyDescent="0.35">
      <c r="B1147" s="1953"/>
      <c r="C1147" s="1953"/>
      <c r="D1147" s="1953"/>
      <c r="E1147" s="1953"/>
      <c r="F1147" s="1953"/>
      <c r="G1147" s="1953"/>
      <c r="H1147" s="1953"/>
      <c r="I1147"/>
      <c r="J1147"/>
      <c r="K1147"/>
    </row>
    <row r="1148" spans="2:11" x14ac:dyDescent="0.35">
      <c r="B1148" s="1953"/>
      <c r="C1148" s="1953"/>
      <c r="D1148" s="1953"/>
      <c r="E1148" s="1953"/>
      <c r="F1148" s="1953"/>
      <c r="G1148" s="1953"/>
      <c r="H1148" s="1953"/>
      <c r="I1148"/>
      <c r="J1148"/>
      <c r="K1148"/>
    </row>
    <row r="1149" spans="2:11" x14ac:dyDescent="0.35">
      <c r="B1149" s="1953"/>
      <c r="C1149" s="1953"/>
      <c r="D1149" s="1953"/>
      <c r="E1149" s="1953"/>
      <c r="F1149" s="1953"/>
      <c r="G1149" s="1953"/>
      <c r="H1149" s="1953"/>
      <c r="I1149"/>
      <c r="J1149"/>
      <c r="K1149"/>
    </row>
    <row r="1150" spans="2:11" x14ac:dyDescent="0.35">
      <c r="B1150" s="1953"/>
      <c r="C1150" s="1953"/>
      <c r="D1150" s="1953"/>
      <c r="E1150" s="1953"/>
      <c r="F1150" s="1953"/>
      <c r="G1150" s="1953"/>
      <c r="H1150" s="1953"/>
      <c r="I1150"/>
      <c r="J1150"/>
      <c r="K1150"/>
    </row>
    <row r="1151" spans="2:11" x14ac:dyDescent="0.35">
      <c r="B1151" s="1953"/>
      <c r="C1151" s="1953"/>
      <c r="D1151" s="1953"/>
      <c r="E1151" s="1953"/>
      <c r="F1151" s="1953"/>
      <c r="G1151" s="1953"/>
      <c r="H1151" s="1953"/>
      <c r="I1151"/>
      <c r="J1151"/>
      <c r="K1151"/>
    </row>
    <row r="1152" spans="2:11" x14ac:dyDescent="0.35">
      <c r="B1152" s="1953"/>
      <c r="C1152" s="1953"/>
      <c r="D1152" s="1953"/>
      <c r="E1152" s="1953"/>
      <c r="F1152" s="1953"/>
      <c r="G1152" s="1953"/>
      <c r="H1152" s="1953"/>
      <c r="I1152"/>
      <c r="J1152"/>
      <c r="K1152"/>
    </row>
    <row r="1153" spans="2:11" x14ac:dyDescent="0.35">
      <c r="B1153" s="1953"/>
      <c r="C1153" s="1953"/>
      <c r="D1153" s="1953"/>
      <c r="E1153" s="1953"/>
      <c r="F1153" s="1953"/>
      <c r="G1153" s="1953"/>
      <c r="H1153" s="1953"/>
      <c r="I1153"/>
      <c r="J1153"/>
      <c r="K1153"/>
    </row>
    <row r="1154" spans="2:11" x14ac:dyDescent="0.35">
      <c r="B1154" s="1953"/>
      <c r="C1154" s="1953"/>
      <c r="D1154" s="1953"/>
      <c r="E1154" s="1953"/>
      <c r="F1154" s="1953"/>
      <c r="G1154" s="1953"/>
      <c r="H1154" s="1953"/>
      <c r="I1154"/>
      <c r="J1154"/>
      <c r="K1154"/>
    </row>
    <row r="1155" spans="2:11" x14ac:dyDescent="0.35">
      <c r="B1155" s="1953"/>
      <c r="C1155" s="1953"/>
      <c r="D1155" s="1953"/>
      <c r="E1155" s="1953"/>
      <c r="F1155" s="1953"/>
      <c r="G1155" s="1953"/>
      <c r="H1155" s="1953"/>
      <c r="I1155"/>
      <c r="J1155"/>
      <c r="K1155"/>
    </row>
    <row r="1156" spans="2:11" x14ac:dyDescent="0.35">
      <c r="B1156" s="1953"/>
      <c r="C1156" s="1953"/>
      <c r="D1156" s="1953"/>
      <c r="E1156" s="1953"/>
      <c r="F1156" s="1953"/>
      <c r="G1156" s="1953"/>
      <c r="H1156" s="1953"/>
      <c r="I1156"/>
      <c r="J1156"/>
      <c r="K1156"/>
    </row>
    <row r="1157" spans="2:11" x14ac:dyDescent="0.35">
      <c r="B1157" s="1953"/>
      <c r="C1157" s="1953"/>
      <c r="D1157" s="1953"/>
      <c r="E1157" s="1953"/>
      <c r="F1157" s="1953"/>
      <c r="G1157" s="1953"/>
      <c r="H1157" s="1953"/>
      <c r="I1157"/>
      <c r="J1157"/>
      <c r="K1157"/>
    </row>
    <row r="1158" spans="2:11" x14ac:dyDescent="0.35">
      <c r="B1158" s="1953"/>
      <c r="C1158" s="1953"/>
      <c r="D1158" s="1953"/>
      <c r="E1158" s="1953"/>
      <c r="F1158" s="1953"/>
      <c r="G1158" s="1953"/>
      <c r="H1158" s="1953"/>
      <c r="I1158"/>
      <c r="J1158"/>
      <c r="K1158"/>
    </row>
    <row r="1159" spans="2:11" x14ac:dyDescent="0.35">
      <c r="B1159" s="1953"/>
      <c r="C1159" s="1953"/>
      <c r="D1159" s="1953"/>
      <c r="E1159" s="1953"/>
      <c r="F1159" s="1953"/>
      <c r="G1159" s="1953"/>
      <c r="H1159" s="1953"/>
      <c r="I1159"/>
      <c r="J1159"/>
      <c r="K1159"/>
    </row>
    <row r="1160" spans="2:11" x14ac:dyDescent="0.35">
      <c r="B1160" s="1953"/>
      <c r="C1160" s="1953"/>
      <c r="D1160" s="1953"/>
      <c r="E1160" s="1953"/>
      <c r="F1160" s="1953"/>
      <c r="G1160" s="1953"/>
      <c r="H1160" s="1953"/>
      <c r="I1160"/>
      <c r="J1160"/>
      <c r="K1160"/>
    </row>
    <row r="1161" spans="2:11" x14ac:dyDescent="0.35">
      <c r="B1161" s="1953"/>
      <c r="C1161" s="1953"/>
      <c r="D1161" s="1953"/>
      <c r="E1161" s="1953"/>
      <c r="F1161" s="1953"/>
      <c r="G1161" s="1953"/>
      <c r="H1161" s="1953"/>
      <c r="I1161"/>
      <c r="J1161"/>
      <c r="K1161"/>
    </row>
    <row r="1162" spans="2:11" x14ac:dyDescent="0.35">
      <c r="B1162" s="1953"/>
      <c r="C1162" s="1953"/>
      <c r="D1162" s="1953"/>
      <c r="E1162" s="1953"/>
      <c r="F1162" s="1953"/>
      <c r="G1162" s="1953"/>
      <c r="H1162" s="1953"/>
      <c r="I1162"/>
      <c r="J1162"/>
      <c r="K1162"/>
    </row>
    <row r="1163" spans="2:11" x14ac:dyDescent="0.35">
      <c r="B1163" s="1953"/>
      <c r="C1163" s="1953"/>
      <c r="D1163" s="1953"/>
      <c r="E1163" s="1953"/>
      <c r="F1163" s="1953"/>
      <c r="G1163" s="1953"/>
      <c r="H1163" s="1953"/>
      <c r="I1163"/>
      <c r="J1163"/>
      <c r="K1163"/>
    </row>
    <row r="1164" spans="2:11" x14ac:dyDescent="0.35">
      <c r="B1164" s="1953"/>
      <c r="C1164" s="1953"/>
      <c r="D1164" s="1953"/>
      <c r="E1164" s="1953"/>
      <c r="F1164" s="1953"/>
      <c r="G1164" s="1953"/>
      <c r="H1164" s="1953"/>
      <c r="I1164"/>
      <c r="J1164"/>
      <c r="K1164"/>
    </row>
    <row r="1165" spans="2:11" x14ac:dyDescent="0.35">
      <c r="B1165" s="1953"/>
      <c r="C1165" s="1953"/>
      <c r="D1165" s="1953"/>
      <c r="E1165" s="1953"/>
      <c r="F1165" s="1953"/>
      <c r="G1165" s="1953"/>
      <c r="H1165" s="1953"/>
      <c r="I1165"/>
      <c r="J1165"/>
      <c r="K1165"/>
    </row>
    <row r="1166" spans="2:11" x14ac:dyDescent="0.35">
      <c r="B1166" s="1953"/>
      <c r="C1166" s="1953"/>
      <c r="D1166" s="1953"/>
      <c r="E1166" s="1953"/>
      <c r="F1166" s="1953"/>
      <c r="G1166" s="1953"/>
      <c r="H1166" s="1953"/>
      <c r="I1166"/>
      <c r="J1166"/>
      <c r="K1166"/>
    </row>
    <row r="1167" spans="2:11" x14ac:dyDescent="0.35">
      <c r="B1167" s="1953"/>
      <c r="C1167" s="1953"/>
      <c r="D1167" s="1953"/>
      <c r="E1167" s="1953"/>
      <c r="F1167" s="1953"/>
      <c r="G1167" s="1953"/>
      <c r="H1167" s="1953"/>
      <c r="I1167"/>
      <c r="J1167"/>
      <c r="K1167"/>
    </row>
    <row r="1168" spans="2:11" x14ac:dyDescent="0.35">
      <c r="B1168" s="1953"/>
      <c r="C1168" s="1953"/>
      <c r="D1168" s="1953"/>
      <c r="E1168" s="1953"/>
      <c r="F1168" s="1953"/>
      <c r="G1168" s="1953"/>
      <c r="H1168" s="1953"/>
      <c r="I1168"/>
      <c r="J1168"/>
      <c r="K1168"/>
    </row>
    <row r="1169" spans="2:11" x14ac:dyDescent="0.35">
      <c r="B1169" s="1953"/>
      <c r="C1169" s="1953"/>
      <c r="D1169" s="1953"/>
      <c r="E1169" s="1953"/>
      <c r="F1169" s="1953"/>
      <c r="G1169" s="1953"/>
      <c r="H1169" s="1953"/>
      <c r="I1169"/>
      <c r="J1169"/>
      <c r="K1169"/>
    </row>
    <row r="1170" spans="2:11" x14ac:dyDescent="0.35">
      <c r="B1170" s="1953"/>
      <c r="C1170" s="1953"/>
      <c r="D1170" s="1953"/>
      <c r="E1170" s="1953"/>
      <c r="F1170" s="1953"/>
      <c r="G1170" s="1953"/>
      <c r="H1170" s="1953"/>
      <c r="I1170"/>
      <c r="J1170"/>
      <c r="K1170"/>
    </row>
    <row r="1171" spans="2:11" x14ac:dyDescent="0.35">
      <c r="B1171" s="1953"/>
      <c r="C1171" s="1953"/>
      <c r="D1171" s="1953"/>
      <c r="E1171" s="1953"/>
      <c r="F1171" s="1953"/>
      <c r="G1171" s="1953"/>
      <c r="H1171" s="1953"/>
      <c r="I1171"/>
      <c r="J1171"/>
      <c r="K1171"/>
    </row>
    <row r="1172" spans="2:11" x14ac:dyDescent="0.35">
      <c r="B1172" s="1953"/>
      <c r="C1172" s="1953"/>
      <c r="D1172" s="1953"/>
      <c r="E1172" s="1953"/>
      <c r="F1172" s="1953"/>
      <c r="G1172" s="1953"/>
      <c r="H1172" s="1953"/>
      <c r="I1172"/>
      <c r="J1172"/>
      <c r="K1172"/>
    </row>
    <row r="1173" spans="2:11" x14ac:dyDescent="0.35">
      <c r="B1173" s="1953"/>
      <c r="C1173" s="1953"/>
      <c r="D1173" s="1953"/>
      <c r="E1173" s="1953"/>
      <c r="F1173" s="1953"/>
      <c r="G1173" s="1953"/>
      <c r="H1173" s="1953"/>
      <c r="I1173"/>
      <c r="J1173"/>
      <c r="K1173"/>
    </row>
    <row r="1174" spans="2:11" x14ac:dyDescent="0.35">
      <c r="B1174" s="1953"/>
      <c r="C1174" s="1953"/>
      <c r="D1174" s="1953"/>
      <c r="E1174" s="1953"/>
      <c r="F1174" s="1953"/>
      <c r="G1174" s="1953"/>
      <c r="H1174" s="1953"/>
      <c r="I1174"/>
      <c r="J1174"/>
      <c r="K1174"/>
    </row>
    <row r="1175" spans="2:11" x14ac:dyDescent="0.35">
      <c r="B1175" s="1953"/>
      <c r="C1175" s="1953"/>
      <c r="D1175" s="1953"/>
      <c r="E1175" s="1953"/>
      <c r="F1175" s="1953"/>
      <c r="G1175" s="1953"/>
      <c r="H1175" s="1953"/>
      <c r="I1175"/>
      <c r="J1175"/>
      <c r="K1175"/>
    </row>
    <row r="1176" spans="2:11" x14ac:dyDescent="0.35">
      <c r="B1176" s="1953"/>
      <c r="C1176" s="1953"/>
      <c r="D1176" s="1953"/>
      <c r="E1176" s="1953"/>
      <c r="F1176" s="1953"/>
      <c r="G1176" s="1953"/>
      <c r="H1176" s="1953"/>
      <c r="I1176"/>
      <c r="J1176"/>
      <c r="K1176"/>
    </row>
    <row r="1177" spans="2:11" x14ac:dyDescent="0.35">
      <c r="B1177" s="1953"/>
      <c r="C1177" s="1953"/>
      <c r="D1177" s="1953"/>
      <c r="E1177" s="1953"/>
      <c r="F1177" s="1953"/>
      <c r="G1177" s="1953"/>
      <c r="H1177" s="1953"/>
      <c r="I1177"/>
      <c r="J1177"/>
      <c r="K1177"/>
    </row>
    <row r="1178" spans="2:11" x14ac:dyDescent="0.35">
      <c r="B1178" s="1953"/>
      <c r="C1178" s="1953"/>
      <c r="D1178" s="1953"/>
      <c r="E1178" s="1953"/>
      <c r="F1178" s="1953"/>
      <c r="G1178" s="1953"/>
      <c r="H1178" s="1953"/>
      <c r="I1178"/>
      <c r="J1178"/>
      <c r="K1178"/>
    </row>
    <row r="1179" spans="2:11" x14ac:dyDescent="0.35">
      <c r="B1179" s="1953"/>
      <c r="C1179" s="1953"/>
      <c r="D1179" s="1953"/>
      <c r="E1179" s="1953"/>
      <c r="F1179" s="1953"/>
      <c r="G1179" s="1953"/>
      <c r="H1179" s="1953"/>
      <c r="I1179"/>
      <c r="J1179"/>
      <c r="K1179"/>
    </row>
    <row r="1180" spans="2:11" x14ac:dyDescent="0.35">
      <c r="B1180" s="1953"/>
      <c r="C1180" s="1953"/>
      <c r="D1180" s="1953"/>
      <c r="E1180" s="1953"/>
      <c r="F1180" s="1953"/>
      <c r="G1180" s="1953"/>
      <c r="H1180" s="1953"/>
      <c r="I1180"/>
      <c r="J1180"/>
      <c r="K1180"/>
    </row>
    <row r="1181" spans="2:11" x14ac:dyDescent="0.35">
      <c r="B1181" s="1953"/>
      <c r="C1181" s="1953"/>
      <c r="D1181" s="1953"/>
      <c r="E1181" s="1953"/>
      <c r="F1181" s="1953"/>
      <c r="G1181" s="1953"/>
      <c r="H1181" s="1953"/>
      <c r="I1181"/>
      <c r="J1181"/>
      <c r="K1181"/>
    </row>
    <row r="1182" spans="2:11" x14ac:dyDescent="0.35">
      <c r="B1182" s="1953"/>
      <c r="C1182" s="1953"/>
      <c r="D1182" s="1953"/>
      <c r="E1182" s="1953"/>
      <c r="F1182" s="1953"/>
      <c r="G1182" s="1953"/>
      <c r="H1182" s="1953"/>
      <c r="I1182"/>
      <c r="J1182"/>
      <c r="K1182"/>
    </row>
    <row r="1183" spans="2:11" x14ac:dyDescent="0.35">
      <c r="B1183" s="1953"/>
      <c r="C1183" s="1953"/>
      <c r="D1183" s="1953"/>
      <c r="E1183" s="1953"/>
      <c r="F1183" s="1953"/>
      <c r="G1183" s="1953"/>
      <c r="H1183" s="1953"/>
      <c r="I1183"/>
      <c r="J1183"/>
      <c r="K1183"/>
    </row>
    <row r="1184" spans="2:11" x14ac:dyDescent="0.35">
      <c r="B1184" s="1953"/>
      <c r="C1184" s="1953"/>
      <c r="D1184" s="1953"/>
      <c r="E1184" s="1953"/>
      <c r="F1184" s="1953"/>
      <c r="G1184" s="1953"/>
      <c r="H1184" s="1953"/>
      <c r="I1184"/>
      <c r="J1184"/>
      <c r="K1184"/>
    </row>
    <row r="1185" spans="2:11" x14ac:dyDescent="0.35">
      <c r="B1185" s="1953"/>
      <c r="C1185" s="1953"/>
      <c r="D1185" s="1953"/>
      <c r="E1185" s="1953"/>
      <c r="F1185" s="1953"/>
      <c r="G1185" s="1953"/>
      <c r="H1185" s="1953"/>
      <c r="I1185"/>
      <c r="J1185"/>
      <c r="K1185"/>
    </row>
    <row r="1186" spans="2:11" x14ac:dyDescent="0.35">
      <c r="B1186" s="1953"/>
      <c r="C1186" s="1953"/>
      <c r="D1186" s="1953"/>
      <c r="E1186" s="1953"/>
      <c r="F1186" s="1953"/>
      <c r="G1186" s="1953"/>
      <c r="H1186" s="1953"/>
      <c r="I1186"/>
      <c r="J1186"/>
      <c r="K1186"/>
    </row>
    <row r="1187" spans="2:11" x14ac:dyDescent="0.35">
      <c r="B1187" s="1953"/>
      <c r="C1187" s="1953"/>
      <c r="D1187" s="1953"/>
      <c r="E1187" s="1953"/>
      <c r="F1187" s="1953"/>
      <c r="G1187" s="1953"/>
      <c r="H1187" s="1953"/>
      <c r="I1187"/>
      <c r="J1187"/>
      <c r="K1187"/>
    </row>
    <row r="1188" spans="2:11" x14ac:dyDescent="0.35">
      <c r="B1188" s="1953"/>
      <c r="C1188" s="1953"/>
      <c r="D1188" s="1953"/>
      <c r="E1188" s="1953"/>
      <c r="F1188" s="1953"/>
      <c r="G1188" s="1953"/>
      <c r="H1188" s="1953"/>
      <c r="I1188"/>
      <c r="J1188"/>
      <c r="K1188"/>
    </row>
    <row r="1189" spans="2:11" x14ac:dyDescent="0.35">
      <c r="B1189" s="1953"/>
      <c r="C1189" s="1953"/>
      <c r="D1189" s="1953"/>
      <c r="E1189" s="1953"/>
      <c r="F1189" s="1953"/>
      <c r="G1189" s="1953"/>
      <c r="H1189" s="1953"/>
      <c r="I1189"/>
      <c r="J1189"/>
      <c r="K1189"/>
    </row>
    <row r="1190" spans="2:11" x14ac:dyDescent="0.35">
      <c r="B1190" s="1953"/>
      <c r="C1190" s="1953"/>
      <c r="D1190" s="1953"/>
      <c r="E1190" s="1953"/>
      <c r="F1190" s="1953"/>
      <c r="G1190" s="1953"/>
      <c r="H1190" s="1953"/>
      <c r="I1190"/>
      <c r="J1190"/>
      <c r="K1190"/>
    </row>
    <row r="1191" spans="2:11" x14ac:dyDescent="0.35">
      <c r="B1191" s="1953"/>
      <c r="C1191" s="1953"/>
      <c r="D1191" s="1953"/>
      <c r="E1191" s="1953"/>
      <c r="F1191" s="1953"/>
      <c r="G1191" s="1953"/>
      <c r="H1191" s="1953"/>
      <c r="I1191"/>
      <c r="J1191"/>
      <c r="K1191"/>
    </row>
    <row r="1192" spans="2:11" x14ac:dyDescent="0.35">
      <c r="B1192" s="1953"/>
      <c r="C1192" s="1953"/>
      <c r="D1192" s="1953"/>
      <c r="E1192" s="1953"/>
      <c r="F1192" s="1953"/>
      <c r="G1192" s="1953"/>
      <c r="H1192" s="1953"/>
      <c r="I1192"/>
      <c r="J1192"/>
      <c r="K1192"/>
    </row>
    <row r="1193" spans="2:11" x14ac:dyDescent="0.35">
      <c r="B1193" s="1953"/>
      <c r="C1193" s="1953"/>
      <c r="D1193" s="1953"/>
      <c r="E1193" s="1953"/>
      <c r="F1193" s="1953"/>
      <c r="G1193" s="1953"/>
      <c r="H1193" s="1953"/>
      <c r="I1193"/>
      <c r="J1193"/>
      <c r="K1193"/>
    </row>
    <row r="1194" spans="2:11" x14ac:dyDescent="0.35">
      <c r="B1194" s="1953"/>
      <c r="C1194" s="1953"/>
      <c r="D1194" s="1953"/>
      <c r="E1194" s="1953"/>
      <c r="F1194" s="1953"/>
      <c r="G1194" s="1953"/>
      <c r="H1194" s="1953"/>
      <c r="I1194"/>
      <c r="J1194"/>
      <c r="K1194"/>
    </row>
    <row r="1195" spans="2:11" x14ac:dyDescent="0.35">
      <c r="B1195" s="1953"/>
      <c r="C1195" s="1953"/>
      <c r="D1195" s="1953"/>
      <c r="E1195" s="1953"/>
      <c r="F1195" s="1953"/>
      <c r="G1195" s="1953"/>
      <c r="H1195" s="1953"/>
      <c r="I1195"/>
      <c r="J1195"/>
      <c r="K1195"/>
    </row>
    <row r="1196" spans="2:11" x14ac:dyDescent="0.35">
      <c r="B1196" s="1953"/>
      <c r="C1196" s="1953"/>
      <c r="D1196" s="1953"/>
      <c r="E1196" s="1953"/>
      <c r="F1196" s="1953"/>
      <c r="G1196" s="1953"/>
      <c r="H1196" s="1953"/>
      <c r="I1196"/>
      <c r="J1196"/>
      <c r="K1196"/>
    </row>
    <row r="1197" spans="2:11" x14ac:dyDescent="0.35">
      <c r="B1197" s="1953"/>
      <c r="C1197" s="1953"/>
      <c r="D1197" s="1953"/>
      <c r="E1197" s="1953"/>
      <c r="F1197" s="1953"/>
      <c r="G1197" s="1953"/>
      <c r="H1197" s="1953"/>
      <c r="I1197"/>
      <c r="J1197"/>
      <c r="K1197"/>
    </row>
    <row r="1198" spans="2:11" x14ac:dyDescent="0.35">
      <c r="B1198" s="1953"/>
      <c r="C1198" s="1953"/>
      <c r="D1198" s="1953"/>
      <c r="E1198" s="1953"/>
      <c r="F1198" s="1953"/>
      <c r="G1198" s="1953"/>
      <c r="H1198" s="1953"/>
      <c r="I1198"/>
      <c r="J1198"/>
      <c r="K1198"/>
    </row>
    <row r="1199" spans="2:11" x14ac:dyDescent="0.35">
      <c r="B1199" s="1953"/>
      <c r="C1199" s="1953"/>
      <c r="D1199" s="1953"/>
      <c r="E1199" s="1953"/>
      <c r="F1199" s="1953"/>
      <c r="G1199" s="1953"/>
      <c r="H1199" s="1953"/>
      <c r="I1199"/>
      <c r="J1199"/>
      <c r="K1199"/>
    </row>
    <row r="1200" spans="2:11" x14ac:dyDescent="0.35">
      <c r="B1200" s="1953"/>
      <c r="C1200" s="1953"/>
      <c r="D1200" s="1953"/>
      <c r="E1200" s="1953"/>
      <c r="F1200" s="1953"/>
      <c r="G1200" s="1953"/>
      <c r="H1200" s="1953"/>
      <c r="I1200"/>
      <c r="J1200"/>
      <c r="K1200"/>
    </row>
    <row r="1201" spans="2:11" x14ac:dyDescent="0.35">
      <c r="B1201" s="1953"/>
      <c r="C1201" s="1953"/>
      <c r="D1201" s="1953"/>
      <c r="E1201" s="1953"/>
      <c r="F1201" s="1953"/>
      <c r="G1201" s="1953"/>
      <c r="H1201" s="1953"/>
      <c r="I1201"/>
      <c r="J1201"/>
      <c r="K1201"/>
    </row>
    <row r="1202" spans="2:11" x14ac:dyDescent="0.35">
      <c r="B1202" s="1953"/>
      <c r="C1202" s="1953"/>
      <c r="D1202" s="1953"/>
      <c r="E1202" s="1953"/>
      <c r="F1202" s="1953"/>
      <c r="G1202" s="1953"/>
      <c r="H1202" s="1953"/>
      <c r="I1202"/>
      <c r="J1202"/>
      <c r="K1202"/>
    </row>
    <row r="1203" spans="2:11" x14ac:dyDescent="0.35">
      <c r="B1203" s="1953"/>
      <c r="C1203" s="1953"/>
      <c r="D1203" s="1953"/>
      <c r="E1203" s="1953"/>
      <c r="F1203" s="1953"/>
      <c r="G1203" s="1953"/>
      <c r="H1203" s="1953"/>
      <c r="I1203"/>
      <c r="J1203"/>
      <c r="K1203"/>
    </row>
    <row r="1204" spans="2:11" x14ac:dyDescent="0.35">
      <c r="B1204" s="1953"/>
      <c r="C1204" s="1953"/>
      <c r="D1204" s="1953"/>
      <c r="E1204" s="1953"/>
      <c r="F1204" s="1953"/>
      <c r="G1204" s="1953"/>
      <c r="H1204" s="1953"/>
      <c r="I1204"/>
      <c r="J1204"/>
      <c r="K1204"/>
    </row>
    <row r="1205" spans="2:11" x14ac:dyDescent="0.35">
      <c r="B1205" s="1953"/>
      <c r="C1205" s="1953"/>
      <c r="D1205" s="1953"/>
      <c r="E1205" s="1953"/>
      <c r="F1205" s="1953"/>
      <c r="G1205" s="1953"/>
      <c r="H1205" s="1953"/>
      <c r="I1205"/>
      <c r="J1205"/>
      <c r="K1205"/>
    </row>
    <row r="1206" spans="2:11" x14ac:dyDescent="0.35">
      <c r="B1206" s="1953"/>
      <c r="C1206" s="1953"/>
      <c r="D1206" s="1953"/>
      <c r="E1206" s="1953"/>
      <c r="F1206" s="1953"/>
      <c r="G1206" s="1953"/>
      <c r="H1206" s="1953"/>
      <c r="I1206"/>
      <c r="J1206"/>
      <c r="K1206"/>
    </row>
    <row r="1207" spans="2:11" x14ac:dyDescent="0.35">
      <c r="B1207" s="1953"/>
      <c r="C1207" s="1953"/>
      <c r="D1207" s="1953"/>
      <c r="E1207" s="1953"/>
      <c r="F1207" s="1953"/>
      <c r="G1207" s="1953"/>
      <c r="H1207" s="1953"/>
      <c r="I1207"/>
      <c r="J1207"/>
      <c r="K1207"/>
    </row>
    <row r="1208" spans="2:11" x14ac:dyDescent="0.35">
      <c r="B1208" s="1953"/>
      <c r="C1208" s="1953"/>
      <c r="D1208" s="1953"/>
      <c r="E1208" s="1953"/>
      <c r="F1208" s="1953"/>
      <c r="G1208" s="1953"/>
      <c r="H1208" s="1953"/>
      <c r="I1208"/>
      <c r="J1208"/>
      <c r="K1208"/>
    </row>
    <row r="1209" spans="2:11" x14ac:dyDescent="0.35">
      <c r="B1209" s="1953"/>
      <c r="C1209" s="1953"/>
      <c r="D1209" s="1953"/>
      <c r="E1209" s="1953"/>
      <c r="F1209" s="1953"/>
      <c r="G1209" s="1953"/>
      <c r="H1209" s="1953"/>
      <c r="I1209"/>
      <c r="J1209"/>
      <c r="K1209"/>
    </row>
    <row r="1210" spans="2:11" x14ac:dyDescent="0.35">
      <c r="B1210" s="1953"/>
      <c r="C1210" s="1953"/>
      <c r="D1210" s="1953"/>
      <c r="E1210" s="1953"/>
      <c r="F1210" s="1953"/>
      <c r="G1210" s="1953"/>
      <c r="H1210" s="1953"/>
      <c r="I1210"/>
      <c r="J1210"/>
      <c r="K1210"/>
    </row>
    <row r="1211" spans="2:11" x14ac:dyDescent="0.35">
      <c r="B1211" s="1953"/>
      <c r="C1211" s="1953"/>
      <c r="D1211" s="1953"/>
      <c r="E1211" s="1953"/>
      <c r="F1211" s="1953"/>
      <c r="G1211" s="1953"/>
      <c r="H1211" s="1953"/>
      <c r="I1211"/>
      <c r="J1211"/>
      <c r="K1211"/>
    </row>
    <row r="1212" spans="2:11" x14ac:dyDescent="0.35">
      <c r="B1212" s="1953"/>
      <c r="C1212" s="1953"/>
      <c r="D1212" s="1953"/>
      <c r="E1212" s="1953"/>
      <c r="F1212" s="1953"/>
      <c r="G1212" s="1953"/>
      <c r="H1212" s="1953"/>
      <c r="I1212"/>
      <c r="J1212"/>
      <c r="K1212"/>
    </row>
    <row r="1213" spans="2:11" x14ac:dyDescent="0.35">
      <c r="B1213" s="1953"/>
      <c r="C1213" s="1953"/>
      <c r="D1213" s="1953"/>
      <c r="E1213" s="1953"/>
      <c r="F1213" s="1953"/>
      <c r="G1213" s="1953"/>
      <c r="H1213" s="1953"/>
      <c r="I1213"/>
      <c r="J1213"/>
      <c r="K1213"/>
    </row>
    <row r="1214" spans="2:11" x14ac:dyDescent="0.35">
      <c r="B1214" s="1953"/>
      <c r="C1214" s="1953"/>
      <c r="D1214" s="1953"/>
      <c r="E1214" s="1953"/>
      <c r="F1214" s="1953"/>
      <c r="G1214" s="1953"/>
      <c r="H1214" s="1953"/>
      <c r="I1214"/>
      <c r="J1214"/>
      <c r="K1214"/>
    </row>
    <row r="1215" spans="2:11" x14ac:dyDescent="0.35">
      <c r="B1215" s="1953"/>
      <c r="C1215" s="1953"/>
      <c r="D1215" s="1953"/>
      <c r="E1215" s="1953"/>
      <c r="F1215" s="1953"/>
      <c r="G1215" s="1953"/>
      <c r="H1215" s="1953"/>
      <c r="I1215"/>
      <c r="J1215"/>
      <c r="K1215"/>
    </row>
    <row r="1216" spans="2:11" x14ac:dyDescent="0.35">
      <c r="B1216" s="1953"/>
      <c r="C1216" s="1953"/>
      <c r="D1216" s="1953"/>
      <c r="E1216" s="1953"/>
      <c r="F1216" s="1953"/>
      <c r="G1216" s="1953"/>
      <c r="H1216" s="1953"/>
      <c r="I1216"/>
      <c r="J1216"/>
      <c r="K1216"/>
    </row>
    <row r="1217" spans="2:11" x14ac:dyDescent="0.35">
      <c r="B1217" s="1953"/>
      <c r="C1217" s="1953"/>
      <c r="D1217" s="1953"/>
      <c r="E1217" s="1953"/>
      <c r="F1217" s="1953"/>
      <c r="G1217" s="1953"/>
      <c r="H1217" s="1953"/>
      <c r="I1217"/>
      <c r="J1217"/>
      <c r="K1217"/>
    </row>
    <row r="1218" spans="2:11" x14ac:dyDescent="0.35">
      <c r="B1218" s="1953"/>
      <c r="C1218" s="1953"/>
      <c r="D1218" s="1953"/>
      <c r="E1218" s="1953"/>
      <c r="F1218" s="1953"/>
      <c r="G1218" s="1953"/>
      <c r="H1218" s="1953"/>
      <c r="I1218"/>
      <c r="J1218"/>
      <c r="K1218"/>
    </row>
    <row r="1219" spans="2:11" x14ac:dyDescent="0.35">
      <c r="B1219" s="1953"/>
      <c r="C1219" s="1953"/>
      <c r="D1219" s="1953"/>
      <c r="E1219" s="1953"/>
      <c r="F1219" s="1953"/>
      <c r="G1219" s="1953"/>
      <c r="H1219" s="1953"/>
      <c r="I1219"/>
      <c r="J1219"/>
      <c r="K1219"/>
    </row>
    <row r="1220" spans="2:11" x14ac:dyDescent="0.35">
      <c r="B1220" s="1953"/>
      <c r="C1220" s="1953"/>
      <c r="D1220" s="1953"/>
      <c r="E1220" s="1953"/>
      <c r="F1220" s="1953"/>
      <c r="G1220" s="1953"/>
      <c r="H1220" s="1953"/>
      <c r="I1220"/>
      <c r="J1220"/>
      <c r="K1220"/>
    </row>
    <row r="1221" spans="2:11" x14ac:dyDescent="0.35">
      <c r="B1221" s="1953"/>
      <c r="C1221" s="1953"/>
      <c r="D1221" s="1953"/>
      <c r="E1221" s="1953"/>
      <c r="F1221" s="1953"/>
      <c r="G1221" s="1953"/>
      <c r="H1221" s="1953"/>
      <c r="I1221"/>
      <c r="J1221"/>
      <c r="K1221"/>
    </row>
    <row r="1222" spans="2:11" x14ac:dyDescent="0.35">
      <c r="B1222" s="1953"/>
      <c r="C1222" s="1953"/>
      <c r="D1222" s="1953"/>
      <c r="E1222" s="1953"/>
      <c r="F1222" s="1953"/>
      <c r="G1222" s="1953"/>
      <c r="H1222" s="1953"/>
      <c r="I1222"/>
      <c r="J1222"/>
      <c r="K1222"/>
    </row>
    <row r="1223" spans="2:11" x14ac:dyDescent="0.35">
      <c r="B1223" s="1953"/>
      <c r="C1223" s="1953"/>
      <c r="D1223" s="1953"/>
      <c r="E1223" s="1953"/>
      <c r="F1223" s="1953"/>
      <c r="G1223" s="1953"/>
      <c r="H1223" s="1953"/>
      <c r="I1223"/>
      <c r="J1223"/>
      <c r="K1223"/>
    </row>
    <row r="1224" spans="2:11" x14ac:dyDescent="0.35">
      <c r="B1224" s="1953"/>
      <c r="C1224" s="1953"/>
      <c r="D1224" s="1953"/>
      <c r="E1224" s="1953"/>
      <c r="F1224" s="1953"/>
      <c r="G1224" s="1953"/>
      <c r="H1224" s="1953"/>
      <c r="I1224"/>
      <c r="J1224"/>
      <c r="K1224"/>
    </row>
    <row r="1225" spans="2:11" x14ac:dyDescent="0.35">
      <c r="B1225" s="1953"/>
      <c r="C1225" s="1953"/>
      <c r="D1225" s="1953"/>
      <c r="E1225" s="1953"/>
      <c r="F1225" s="1953"/>
      <c r="G1225" s="1953"/>
      <c r="H1225" s="1953"/>
      <c r="I1225"/>
      <c r="J1225"/>
      <c r="K1225"/>
    </row>
    <row r="1226" spans="2:11" x14ac:dyDescent="0.35">
      <c r="B1226" s="1953"/>
      <c r="C1226" s="1953"/>
      <c r="D1226" s="1953"/>
      <c r="E1226" s="1953"/>
      <c r="F1226" s="1953"/>
      <c r="G1226" s="1953"/>
      <c r="H1226" s="1953"/>
      <c r="I1226"/>
      <c r="J1226"/>
      <c r="K1226"/>
    </row>
    <row r="1227" spans="2:11" x14ac:dyDescent="0.35">
      <c r="B1227" s="1953"/>
      <c r="C1227" s="1953"/>
      <c r="D1227" s="1953"/>
      <c r="E1227" s="1953"/>
      <c r="F1227" s="1953"/>
      <c r="G1227" s="1953"/>
      <c r="H1227" s="1953"/>
      <c r="I1227"/>
      <c r="J1227"/>
      <c r="K1227"/>
    </row>
    <row r="1228" spans="2:11" x14ac:dyDescent="0.35">
      <c r="B1228" s="1953"/>
      <c r="C1228" s="1953"/>
      <c r="D1228" s="1953"/>
      <c r="E1228" s="1953"/>
      <c r="F1228" s="1953"/>
      <c r="G1228" s="1953"/>
      <c r="H1228" s="1953"/>
      <c r="I1228"/>
      <c r="J1228"/>
      <c r="K1228"/>
    </row>
    <row r="1229" spans="2:11" x14ac:dyDescent="0.35">
      <c r="B1229" s="1953"/>
      <c r="C1229" s="1953"/>
      <c r="D1229" s="1953"/>
      <c r="E1229" s="1953"/>
      <c r="F1229" s="1953"/>
      <c r="G1229" s="1953"/>
      <c r="H1229" s="1953"/>
      <c r="I1229"/>
      <c r="J1229"/>
      <c r="K1229"/>
    </row>
    <row r="1230" spans="2:11" x14ac:dyDescent="0.35">
      <c r="B1230" s="1953"/>
      <c r="C1230" s="1953"/>
      <c r="D1230" s="1953"/>
      <c r="E1230" s="1953"/>
      <c r="F1230" s="1953"/>
      <c r="G1230" s="1953"/>
      <c r="H1230" s="1953"/>
      <c r="I1230"/>
      <c r="J1230"/>
      <c r="K1230"/>
    </row>
    <row r="1231" spans="2:11" x14ac:dyDescent="0.35">
      <c r="B1231" s="1953"/>
      <c r="C1231" s="1953"/>
      <c r="D1231" s="1953"/>
      <c r="E1231" s="1953"/>
      <c r="F1231" s="1953"/>
      <c r="G1231" s="1953"/>
      <c r="H1231" s="1953"/>
      <c r="I1231"/>
      <c r="J1231"/>
      <c r="K1231"/>
    </row>
    <row r="1232" spans="2:11" x14ac:dyDescent="0.35">
      <c r="B1232" s="1953"/>
      <c r="C1232" s="1953"/>
      <c r="D1232" s="1953"/>
      <c r="E1232" s="1953"/>
      <c r="F1232" s="1953"/>
      <c r="G1232" s="1953"/>
      <c r="H1232" s="1953"/>
      <c r="I1232"/>
      <c r="J1232"/>
      <c r="K1232"/>
    </row>
    <row r="1233" spans="2:11" x14ac:dyDescent="0.35">
      <c r="B1233" s="1953"/>
      <c r="C1233" s="1953"/>
      <c r="D1233" s="1953"/>
      <c r="E1233" s="1953"/>
      <c r="F1233" s="1953"/>
      <c r="G1233" s="1953"/>
      <c r="H1233" s="1953"/>
      <c r="I1233"/>
      <c r="J1233"/>
      <c r="K1233"/>
    </row>
    <row r="1234" spans="2:11" x14ac:dyDescent="0.35">
      <c r="B1234" s="1953"/>
      <c r="C1234" s="1953"/>
      <c r="D1234" s="1953"/>
      <c r="E1234" s="1953"/>
      <c r="F1234" s="1953"/>
      <c r="G1234" s="1953"/>
      <c r="H1234" s="1953"/>
      <c r="I1234"/>
      <c r="J1234"/>
      <c r="K1234"/>
    </row>
    <row r="1235" spans="2:11" x14ac:dyDescent="0.35">
      <c r="B1235" s="1953"/>
      <c r="C1235" s="1953"/>
      <c r="D1235" s="1953"/>
      <c r="E1235" s="1953"/>
      <c r="F1235" s="1953"/>
      <c r="G1235" s="1953"/>
      <c r="H1235" s="1953"/>
      <c r="I1235"/>
      <c r="J1235"/>
      <c r="K1235"/>
    </row>
    <row r="1236" spans="2:11" x14ac:dyDescent="0.35">
      <c r="B1236" s="1953"/>
      <c r="C1236" s="1953"/>
      <c r="D1236" s="1953"/>
      <c r="E1236" s="1953"/>
      <c r="F1236" s="1953"/>
      <c r="G1236" s="1953"/>
      <c r="H1236" s="1953"/>
      <c r="I1236"/>
      <c r="J1236"/>
      <c r="K1236"/>
    </row>
    <row r="1237" spans="2:11" x14ac:dyDescent="0.35">
      <c r="B1237" s="1953"/>
      <c r="C1237" s="1953"/>
      <c r="D1237" s="1953"/>
      <c r="E1237" s="1953"/>
      <c r="F1237" s="1953"/>
      <c r="G1237" s="1953"/>
      <c r="H1237" s="1953"/>
      <c r="I1237"/>
      <c r="J1237"/>
      <c r="K1237"/>
    </row>
    <row r="1238" spans="2:11" x14ac:dyDescent="0.35">
      <c r="B1238" s="1953"/>
      <c r="C1238" s="1953"/>
      <c r="D1238" s="1953"/>
      <c r="E1238" s="1953"/>
      <c r="F1238" s="1953"/>
      <c r="G1238" s="1953"/>
      <c r="H1238" s="1953"/>
      <c r="I1238"/>
      <c r="J1238"/>
      <c r="K1238"/>
    </row>
    <row r="1239" spans="2:11" x14ac:dyDescent="0.35">
      <c r="B1239" s="1953"/>
      <c r="C1239" s="1953"/>
      <c r="D1239" s="1953"/>
      <c r="E1239" s="1953"/>
      <c r="F1239" s="1953"/>
      <c r="G1239" s="1953"/>
      <c r="H1239" s="1953"/>
      <c r="I1239"/>
      <c r="J1239"/>
      <c r="K1239"/>
    </row>
    <row r="1240" spans="2:11" x14ac:dyDescent="0.35">
      <c r="B1240" s="1953"/>
      <c r="C1240" s="1953"/>
      <c r="D1240" s="1953"/>
      <c r="E1240" s="1953"/>
      <c r="F1240" s="1953"/>
      <c r="G1240" s="1953"/>
      <c r="H1240" s="1953"/>
      <c r="I1240"/>
      <c r="J1240"/>
      <c r="K1240"/>
    </row>
    <row r="1241" spans="2:11" x14ac:dyDescent="0.35">
      <c r="B1241" s="1953"/>
      <c r="C1241" s="1953"/>
      <c r="D1241" s="1953"/>
      <c r="E1241" s="1953"/>
      <c r="F1241" s="1953"/>
      <c r="G1241" s="1953"/>
      <c r="H1241" s="1953"/>
      <c r="I1241"/>
      <c r="J1241"/>
      <c r="K1241"/>
    </row>
    <row r="1242" spans="2:11" x14ac:dyDescent="0.35">
      <c r="B1242" s="1953"/>
      <c r="C1242" s="1953"/>
      <c r="D1242" s="1953"/>
      <c r="E1242" s="1953"/>
      <c r="F1242" s="1953"/>
      <c r="G1242" s="1953"/>
      <c r="H1242" s="1953"/>
      <c r="I1242"/>
      <c r="J1242"/>
      <c r="K1242"/>
    </row>
    <row r="1243" spans="2:11" x14ac:dyDescent="0.35">
      <c r="B1243" s="1953"/>
      <c r="C1243" s="1953"/>
      <c r="D1243" s="1953"/>
      <c r="E1243" s="1953"/>
      <c r="F1243" s="1953"/>
      <c r="G1243" s="1953"/>
      <c r="H1243" s="1953"/>
      <c r="I1243"/>
      <c r="J1243"/>
      <c r="K1243"/>
    </row>
    <row r="1244" spans="2:11" x14ac:dyDescent="0.35">
      <c r="B1244" s="1953"/>
      <c r="C1244" s="1953"/>
      <c r="D1244" s="1953"/>
      <c r="E1244" s="1953"/>
      <c r="F1244" s="1953"/>
      <c r="G1244" s="1953"/>
      <c r="H1244" s="1953"/>
      <c r="I1244"/>
      <c r="J1244"/>
      <c r="K1244"/>
    </row>
    <row r="1245" spans="2:11" x14ac:dyDescent="0.35">
      <c r="B1245" s="1953"/>
      <c r="C1245" s="1953"/>
      <c r="D1245" s="1953"/>
      <c r="E1245" s="1953"/>
      <c r="F1245" s="1953"/>
      <c r="G1245" s="1953"/>
      <c r="H1245" s="1953"/>
      <c r="I1245"/>
      <c r="J1245"/>
      <c r="K1245"/>
    </row>
    <row r="1246" spans="2:11" x14ac:dyDescent="0.35">
      <c r="B1246" s="1953"/>
      <c r="C1246" s="1953"/>
      <c r="D1246" s="1953"/>
      <c r="E1246" s="1953"/>
      <c r="F1246" s="1953"/>
      <c r="G1246" s="1953"/>
      <c r="H1246" s="1953"/>
      <c r="I1246"/>
      <c r="J1246"/>
      <c r="K1246"/>
    </row>
    <row r="1247" spans="2:11" x14ac:dyDescent="0.35">
      <c r="B1247" s="1953"/>
      <c r="C1247" s="1953"/>
      <c r="D1247" s="1953"/>
      <c r="E1247" s="1953"/>
      <c r="F1247" s="1953"/>
      <c r="G1247" s="1953"/>
      <c r="H1247" s="1953"/>
      <c r="I1247"/>
      <c r="J1247"/>
      <c r="K1247"/>
    </row>
    <row r="1248" spans="2:11" x14ac:dyDescent="0.35">
      <c r="B1248" s="1953"/>
      <c r="C1248" s="1953"/>
      <c r="D1248" s="1953"/>
      <c r="E1248" s="1953"/>
      <c r="F1248" s="1953"/>
      <c r="G1248" s="1953"/>
      <c r="H1248" s="1953"/>
      <c r="I1248"/>
      <c r="J1248"/>
      <c r="K1248"/>
    </row>
    <row r="1249" spans="2:11" x14ac:dyDescent="0.35">
      <c r="B1249" s="1953"/>
      <c r="C1249" s="1953"/>
      <c r="D1249" s="1953"/>
      <c r="E1249" s="1953"/>
      <c r="F1249" s="1953"/>
      <c r="G1249" s="1953"/>
      <c r="H1249" s="1953"/>
      <c r="I1249"/>
      <c r="J1249"/>
      <c r="K1249"/>
    </row>
    <row r="1250" spans="2:11" x14ac:dyDescent="0.35">
      <c r="B1250" s="1953"/>
      <c r="C1250" s="1953"/>
      <c r="D1250" s="1953"/>
      <c r="E1250" s="1953"/>
      <c r="F1250" s="1953"/>
      <c r="G1250" s="1953"/>
      <c r="H1250" s="1953"/>
      <c r="I1250"/>
      <c r="J1250"/>
      <c r="K1250"/>
    </row>
    <row r="1251" spans="2:11" x14ac:dyDescent="0.35">
      <c r="B1251" s="1953"/>
      <c r="C1251" s="1953"/>
      <c r="D1251" s="1953"/>
      <c r="E1251" s="1953"/>
      <c r="F1251" s="1953"/>
      <c r="G1251" s="1953"/>
      <c r="H1251" s="1953"/>
      <c r="I1251"/>
      <c r="J1251"/>
      <c r="K1251"/>
    </row>
    <row r="1252" spans="2:11" x14ac:dyDescent="0.35">
      <c r="B1252" s="1953"/>
      <c r="C1252" s="1953"/>
      <c r="D1252" s="1953"/>
      <c r="E1252" s="1953"/>
      <c r="F1252" s="1953"/>
      <c r="G1252" s="1953"/>
      <c r="H1252" s="1953"/>
      <c r="I1252"/>
      <c r="J1252"/>
      <c r="K1252"/>
    </row>
    <row r="1253" spans="2:11" x14ac:dyDescent="0.35">
      <c r="B1253" s="1953"/>
      <c r="C1253" s="1953"/>
      <c r="D1253" s="1953"/>
      <c r="E1253" s="1953"/>
      <c r="F1253" s="1953"/>
      <c r="G1253" s="1953"/>
      <c r="H1253" s="1953"/>
      <c r="I1253"/>
      <c r="J1253"/>
      <c r="K1253"/>
    </row>
    <row r="1254" spans="2:11" x14ac:dyDescent="0.35">
      <c r="B1254" s="1953"/>
      <c r="C1254" s="1953"/>
      <c r="D1254" s="1953"/>
      <c r="E1254" s="1953"/>
      <c r="F1254" s="1953"/>
      <c r="G1254" s="1953"/>
      <c r="H1254" s="1953"/>
      <c r="I1254"/>
      <c r="J1254"/>
      <c r="K1254"/>
    </row>
    <row r="1255" spans="2:11" x14ac:dyDescent="0.35">
      <c r="B1255" s="1953"/>
      <c r="C1255" s="1953"/>
      <c r="D1255" s="1953"/>
      <c r="E1255" s="1953"/>
      <c r="F1255" s="1953"/>
      <c r="G1255" s="1953"/>
      <c r="H1255" s="1953"/>
      <c r="I1255"/>
      <c r="J1255"/>
      <c r="K1255"/>
    </row>
    <row r="1256" spans="2:11" x14ac:dyDescent="0.35">
      <c r="B1256" s="1953"/>
      <c r="C1256" s="1953"/>
      <c r="D1256" s="1953"/>
      <c r="E1256" s="1953"/>
      <c r="F1256" s="1953"/>
      <c r="G1256" s="1953"/>
      <c r="H1256" s="1953"/>
      <c r="I1256"/>
      <c r="J1256"/>
      <c r="K1256"/>
    </row>
    <row r="1257" spans="2:11" x14ac:dyDescent="0.35">
      <c r="B1257" s="1953"/>
      <c r="C1257" s="1953"/>
      <c r="D1257" s="1953"/>
      <c r="E1257" s="1953"/>
      <c r="F1257" s="1953"/>
      <c r="G1257" s="1953"/>
      <c r="H1257" s="1953"/>
      <c r="I1257"/>
      <c r="J1257"/>
      <c r="K1257"/>
    </row>
    <row r="1258" spans="2:11" x14ac:dyDescent="0.35">
      <c r="B1258" s="1953"/>
      <c r="C1258" s="1953"/>
      <c r="D1258" s="1953"/>
      <c r="E1258" s="1953"/>
      <c r="F1258" s="1953"/>
      <c r="G1258" s="1953"/>
      <c r="H1258" s="1953"/>
      <c r="I1258"/>
      <c r="J1258"/>
      <c r="K1258"/>
    </row>
    <row r="1259" spans="2:11" x14ac:dyDescent="0.35">
      <c r="B1259" s="1953"/>
      <c r="C1259" s="1953"/>
      <c r="D1259" s="1953"/>
      <c r="E1259" s="1953"/>
      <c r="F1259" s="1953"/>
      <c r="G1259" s="1953"/>
      <c r="H1259" s="1953"/>
      <c r="I1259"/>
      <c r="J1259"/>
      <c r="K1259"/>
    </row>
    <row r="1260" spans="2:11" x14ac:dyDescent="0.35">
      <c r="B1260" s="1953"/>
      <c r="C1260" s="1953"/>
      <c r="D1260" s="1953"/>
      <c r="E1260" s="1953"/>
      <c r="F1260" s="1953"/>
      <c r="G1260" s="1953"/>
      <c r="H1260" s="1953"/>
      <c r="I1260"/>
      <c r="J1260"/>
      <c r="K1260"/>
    </row>
    <row r="1261" spans="2:11" x14ac:dyDescent="0.35">
      <c r="B1261" s="1953"/>
      <c r="C1261" s="1953"/>
      <c r="D1261" s="1953"/>
      <c r="E1261" s="1953"/>
      <c r="F1261" s="1953"/>
      <c r="G1261" s="1953"/>
      <c r="H1261" s="1953"/>
      <c r="I1261"/>
      <c r="J1261"/>
      <c r="K1261"/>
    </row>
    <row r="1262" spans="2:11" x14ac:dyDescent="0.35">
      <c r="B1262" s="1953"/>
      <c r="C1262" s="1953"/>
      <c r="D1262" s="1953"/>
      <c r="E1262" s="1953"/>
      <c r="F1262" s="1953"/>
      <c r="G1262" s="1953"/>
      <c r="H1262" s="1953"/>
      <c r="I1262"/>
      <c r="J1262"/>
      <c r="K1262"/>
    </row>
    <row r="1263" spans="2:11" x14ac:dyDescent="0.35">
      <c r="B1263" s="1953"/>
      <c r="C1263" s="1953"/>
      <c r="D1263" s="1953"/>
      <c r="E1263" s="1953"/>
      <c r="F1263" s="1953"/>
      <c r="G1263" s="1953"/>
      <c r="H1263" s="1953"/>
      <c r="I1263"/>
      <c r="J1263"/>
      <c r="K1263"/>
    </row>
    <row r="1264" spans="2:11" x14ac:dyDescent="0.35">
      <c r="B1264" s="1953"/>
      <c r="C1264" s="1953"/>
      <c r="D1264" s="1953"/>
      <c r="E1264" s="1953"/>
      <c r="F1264" s="1953"/>
      <c r="G1264" s="1953"/>
      <c r="H1264" s="1953"/>
      <c r="I1264"/>
      <c r="J1264"/>
      <c r="K1264"/>
    </row>
    <row r="1265" spans="2:11" x14ac:dyDescent="0.35">
      <c r="B1265" s="1953"/>
      <c r="C1265" s="1953"/>
      <c r="D1265" s="1953"/>
      <c r="E1265" s="1953"/>
      <c r="F1265" s="1953"/>
      <c r="G1265" s="1953"/>
      <c r="H1265" s="1953"/>
      <c r="I1265"/>
      <c r="J1265"/>
      <c r="K1265"/>
    </row>
    <row r="1266" spans="2:11" x14ac:dyDescent="0.35">
      <c r="B1266" s="1953"/>
      <c r="C1266" s="1953"/>
      <c r="D1266" s="1953"/>
      <c r="E1266" s="1953"/>
      <c r="F1266" s="1953"/>
      <c r="G1266" s="1953"/>
      <c r="H1266" s="1953"/>
      <c r="I1266"/>
      <c r="J1266"/>
      <c r="K1266"/>
    </row>
    <row r="1267" spans="2:11" x14ac:dyDescent="0.35">
      <c r="B1267" s="1953"/>
      <c r="C1267" s="1953"/>
      <c r="D1267" s="1953"/>
      <c r="E1267" s="1953"/>
      <c r="F1267" s="1953"/>
      <c r="G1267" s="1953"/>
      <c r="H1267" s="1953"/>
      <c r="I1267"/>
      <c r="J1267"/>
      <c r="K1267"/>
    </row>
    <row r="1268" spans="2:11" x14ac:dyDescent="0.35">
      <c r="B1268" s="1953"/>
      <c r="C1268" s="1953"/>
      <c r="D1268" s="1953"/>
      <c r="E1268" s="1953"/>
      <c r="F1268" s="1953"/>
      <c r="G1268" s="1953"/>
      <c r="H1268" s="1953"/>
      <c r="I1268"/>
      <c r="J1268"/>
      <c r="K1268"/>
    </row>
    <row r="1269" spans="2:11" x14ac:dyDescent="0.35">
      <c r="B1269" s="1953"/>
      <c r="C1269" s="1953"/>
      <c r="D1269" s="1953"/>
      <c r="E1269" s="1953"/>
      <c r="F1269" s="1953"/>
      <c r="G1269" s="1953"/>
      <c r="H1269" s="1953"/>
      <c r="I1269"/>
      <c r="J1269"/>
      <c r="K1269"/>
    </row>
    <row r="1270" spans="2:11" x14ac:dyDescent="0.35">
      <c r="B1270" s="1953"/>
      <c r="C1270" s="1953"/>
      <c r="D1270" s="1953"/>
      <c r="E1270" s="1953"/>
      <c r="F1270" s="1953"/>
      <c r="G1270" s="1953"/>
      <c r="H1270" s="1953"/>
      <c r="I1270"/>
      <c r="J1270"/>
      <c r="K1270"/>
    </row>
    <row r="1271" spans="2:11" x14ac:dyDescent="0.35">
      <c r="B1271" s="1953"/>
      <c r="C1271" s="1953"/>
      <c r="D1271" s="1953"/>
      <c r="E1271" s="1953"/>
      <c r="F1271" s="1953"/>
      <c r="G1271" s="1953"/>
      <c r="H1271" s="1953"/>
      <c r="I1271"/>
      <c r="J1271"/>
      <c r="K1271"/>
    </row>
    <row r="1272" spans="2:11" x14ac:dyDescent="0.35">
      <c r="B1272" s="1953"/>
      <c r="C1272" s="1953"/>
      <c r="D1272" s="1953"/>
      <c r="E1272" s="1953"/>
      <c r="F1272" s="1953"/>
      <c r="G1272" s="1953"/>
      <c r="H1272" s="1953"/>
      <c r="I1272"/>
      <c r="J1272"/>
      <c r="K1272"/>
    </row>
    <row r="1273" spans="2:11" x14ac:dyDescent="0.35">
      <c r="B1273" s="1953"/>
      <c r="C1273" s="1953"/>
      <c r="D1273" s="1953"/>
      <c r="E1273" s="1953"/>
      <c r="F1273" s="1953"/>
      <c r="G1273" s="1953"/>
      <c r="H1273" s="1953"/>
      <c r="I1273"/>
      <c r="J1273"/>
      <c r="K1273"/>
    </row>
    <row r="1274" spans="2:11" x14ac:dyDescent="0.35">
      <c r="B1274" s="1953"/>
      <c r="C1274" s="1953"/>
      <c r="D1274" s="1953"/>
      <c r="E1274" s="1953"/>
      <c r="F1274" s="1953"/>
      <c r="G1274" s="1953"/>
      <c r="H1274" s="1953"/>
      <c r="I1274"/>
      <c r="J1274"/>
      <c r="K1274"/>
    </row>
    <row r="1275" spans="2:11" x14ac:dyDescent="0.35">
      <c r="B1275" s="1953"/>
      <c r="C1275" s="1953"/>
      <c r="D1275" s="1953"/>
      <c r="E1275" s="1953"/>
      <c r="F1275" s="1953"/>
      <c r="G1275" s="1953"/>
      <c r="H1275" s="1953"/>
      <c r="I1275"/>
      <c r="J1275"/>
      <c r="K1275"/>
    </row>
    <row r="1276" spans="2:11" x14ac:dyDescent="0.35">
      <c r="B1276" s="1953"/>
      <c r="C1276" s="1953"/>
      <c r="D1276" s="1953"/>
      <c r="E1276" s="1953"/>
      <c r="F1276" s="1953"/>
      <c r="G1276" s="1953"/>
      <c r="H1276" s="1953"/>
      <c r="I1276"/>
      <c r="J1276"/>
      <c r="K1276"/>
    </row>
    <row r="1277" spans="2:11" x14ac:dyDescent="0.35">
      <c r="B1277" s="1953"/>
      <c r="C1277" s="1953"/>
      <c r="D1277" s="1953"/>
      <c r="E1277" s="1953"/>
      <c r="F1277" s="1953"/>
      <c r="G1277" s="1953"/>
      <c r="H1277" s="1953"/>
      <c r="I1277"/>
      <c r="J1277"/>
      <c r="K1277"/>
    </row>
    <row r="1278" spans="2:11" x14ac:dyDescent="0.35">
      <c r="B1278" s="1953"/>
      <c r="C1278" s="1953"/>
      <c r="D1278" s="1953"/>
      <c r="E1278" s="1953"/>
      <c r="F1278" s="1953"/>
      <c r="G1278" s="1953"/>
      <c r="H1278" s="1953"/>
      <c r="I1278"/>
      <c r="J1278"/>
      <c r="K1278"/>
    </row>
    <row r="1279" spans="2:11" x14ac:dyDescent="0.35">
      <c r="B1279" s="1953"/>
      <c r="C1279" s="1953"/>
      <c r="D1279" s="1953"/>
      <c r="E1279" s="1953"/>
      <c r="F1279" s="1953"/>
      <c r="G1279" s="1953"/>
      <c r="H1279" s="1953"/>
      <c r="I1279"/>
      <c r="J1279"/>
      <c r="K1279"/>
    </row>
    <row r="1280" spans="2:11" x14ac:dyDescent="0.35">
      <c r="B1280" s="1953"/>
      <c r="C1280" s="1953"/>
      <c r="D1280" s="1953"/>
      <c r="E1280" s="1953"/>
      <c r="F1280" s="1953"/>
      <c r="G1280" s="1953"/>
      <c r="H1280" s="1953"/>
      <c r="I1280"/>
      <c r="J1280"/>
      <c r="K1280"/>
    </row>
    <row r="1281" spans="2:11" x14ac:dyDescent="0.35">
      <c r="B1281" s="1953"/>
      <c r="C1281" s="1953"/>
      <c r="D1281" s="1953"/>
      <c r="E1281" s="1953"/>
      <c r="F1281" s="1953"/>
      <c r="G1281" s="1953"/>
      <c r="H1281" s="1953"/>
      <c r="I1281"/>
      <c r="J1281"/>
      <c r="K1281"/>
    </row>
    <row r="1282" spans="2:11" x14ac:dyDescent="0.35">
      <c r="B1282" s="1953"/>
      <c r="C1282" s="1953"/>
      <c r="D1282" s="1953"/>
      <c r="E1282" s="1953"/>
      <c r="F1282" s="1953"/>
      <c r="G1282" s="1953"/>
      <c r="H1282" s="1953"/>
      <c r="I1282"/>
      <c r="J1282"/>
      <c r="K1282"/>
    </row>
    <row r="1283" spans="2:11" x14ac:dyDescent="0.35">
      <c r="B1283" s="1953"/>
      <c r="C1283" s="1953"/>
      <c r="D1283" s="1953"/>
      <c r="E1283" s="1953"/>
      <c r="F1283" s="1953"/>
      <c r="G1283" s="1953"/>
      <c r="H1283" s="1953"/>
      <c r="I1283"/>
      <c r="J1283"/>
      <c r="K1283"/>
    </row>
    <row r="1284" spans="2:11" x14ac:dyDescent="0.35">
      <c r="B1284" s="1953"/>
      <c r="C1284" s="1953"/>
      <c r="D1284" s="1953"/>
      <c r="E1284" s="1953"/>
      <c r="F1284" s="1953"/>
      <c r="G1284" s="1953"/>
      <c r="H1284" s="1953"/>
      <c r="I1284"/>
      <c r="J1284"/>
      <c r="K1284"/>
    </row>
    <row r="1285" spans="2:11" x14ac:dyDescent="0.35">
      <c r="B1285" s="1953"/>
      <c r="C1285" s="1953"/>
      <c r="D1285" s="1953"/>
      <c r="E1285" s="1953"/>
      <c r="F1285" s="1953"/>
      <c r="G1285" s="1953"/>
      <c r="H1285" s="1953"/>
      <c r="I1285"/>
      <c r="J1285"/>
      <c r="K1285"/>
    </row>
    <row r="1286" spans="2:11" x14ac:dyDescent="0.35">
      <c r="B1286" s="1953"/>
      <c r="C1286" s="1953"/>
      <c r="D1286" s="1953"/>
      <c r="E1286" s="1953"/>
      <c r="F1286" s="1953"/>
      <c r="G1286" s="1953"/>
      <c r="H1286" s="1953"/>
      <c r="I1286"/>
      <c r="J1286"/>
      <c r="K1286"/>
    </row>
    <row r="1287" spans="2:11" x14ac:dyDescent="0.35">
      <c r="B1287" s="1953"/>
      <c r="C1287" s="1953"/>
      <c r="D1287" s="1953"/>
      <c r="E1287" s="1953"/>
      <c r="F1287" s="1953"/>
      <c r="G1287" s="1953"/>
      <c r="H1287" s="1953"/>
      <c r="I1287"/>
      <c r="J1287"/>
      <c r="K1287"/>
    </row>
    <row r="1288" spans="2:11" x14ac:dyDescent="0.35">
      <c r="B1288" s="1953"/>
      <c r="C1288" s="1953"/>
      <c r="D1288" s="1953"/>
      <c r="E1288" s="1953"/>
      <c r="F1288" s="1953"/>
      <c r="G1288" s="1953"/>
      <c r="H1288" s="1953"/>
      <c r="I1288"/>
      <c r="J1288"/>
      <c r="K1288"/>
    </row>
    <row r="1289" spans="2:11" x14ac:dyDescent="0.35">
      <c r="B1289" s="1953"/>
      <c r="C1289" s="1953"/>
      <c r="D1289" s="1953"/>
      <c r="E1289" s="1953"/>
      <c r="F1289" s="1953"/>
      <c r="G1289" s="1953"/>
      <c r="H1289" s="1953"/>
      <c r="I1289"/>
      <c r="J1289"/>
      <c r="K1289"/>
    </row>
    <row r="1290" spans="2:11" x14ac:dyDescent="0.35">
      <c r="B1290" s="1953"/>
      <c r="C1290" s="1953"/>
      <c r="D1290" s="1953"/>
      <c r="E1290" s="1953"/>
      <c r="F1290" s="1953"/>
      <c r="G1290" s="1953"/>
      <c r="H1290" s="1953"/>
      <c r="I1290"/>
      <c r="J1290"/>
      <c r="K1290"/>
    </row>
    <row r="1291" spans="2:11" x14ac:dyDescent="0.35">
      <c r="B1291" s="1953"/>
      <c r="C1291" s="1953"/>
      <c r="D1291" s="1953"/>
      <c r="E1291" s="1953"/>
      <c r="F1291" s="1953"/>
      <c r="G1291" s="1953"/>
      <c r="H1291" s="1953"/>
      <c r="I1291"/>
      <c r="J1291"/>
      <c r="K1291"/>
    </row>
    <row r="1292" spans="2:11" x14ac:dyDescent="0.35">
      <c r="B1292" s="1953"/>
      <c r="C1292" s="1953"/>
      <c r="D1292" s="1953"/>
      <c r="E1292" s="1953"/>
      <c r="F1292" s="1953"/>
      <c r="G1292" s="1953"/>
      <c r="H1292" s="1953"/>
      <c r="I1292"/>
      <c r="J1292"/>
      <c r="K1292"/>
    </row>
    <row r="1293" spans="2:11" x14ac:dyDescent="0.35">
      <c r="B1293" s="1953"/>
      <c r="C1293" s="1953"/>
      <c r="D1293" s="1953"/>
      <c r="E1293" s="1953"/>
      <c r="F1293" s="1953"/>
      <c r="G1293" s="1953"/>
      <c r="H1293" s="1953"/>
      <c r="I1293"/>
      <c r="J1293"/>
      <c r="K1293"/>
    </row>
    <row r="1294" spans="2:11" x14ac:dyDescent="0.35">
      <c r="B1294" s="1953"/>
      <c r="C1294" s="1953"/>
      <c r="D1294" s="1953"/>
      <c r="E1294" s="1953"/>
      <c r="F1294" s="1953"/>
      <c r="G1294" s="1953"/>
      <c r="H1294" s="1953"/>
      <c r="I1294"/>
      <c r="J1294"/>
      <c r="K1294"/>
    </row>
    <row r="1295" spans="2:11" x14ac:dyDescent="0.35">
      <c r="B1295" s="1953"/>
      <c r="C1295" s="1953"/>
      <c r="D1295" s="1953"/>
      <c r="E1295" s="1953"/>
      <c r="F1295" s="1953"/>
      <c r="G1295" s="1953"/>
      <c r="H1295" s="1953"/>
      <c r="I1295"/>
      <c r="J1295"/>
      <c r="K1295"/>
    </row>
    <row r="1296" spans="2:11" x14ac:dyDescent="0.35">
      <c r="B1296" s="1953"/>
      <c r="C1296" s="1953"/>
      <c r="D1296" s="1953"/>
      <c r="E1296" s="1953"/>
      <c r="F1296" s="1953"/>
      <c r="G1296" s="1953"/>
      <c r="H1296" s="1953"/>
      <c r="I1296"/>
      <c r="J1296"/>
      <c r="K1296"/>
    </row>
    <row r="1297" spans="2:11" x14ac:dyDescent="0.35">
      <c r="B1297" s="1953"/>
      <c r="C1297" s="1953"/>
      <c r="D1297" s="1953"/>
      <c r="E1297" s="1953"/>
      <c r="F1297" s="1953"/>
      <c r="G1297" s="1953"/>
      <c r="H1297" s="1953"/>
      <c r="I1297"/>
      <c r="J1297"/>
      <c r="K1297"/>
    </row>
    <row r="1298" spans="2:11" x14ac:dyDescent="0.35">
      <c r="B1298" s="1953"/>
      <c r="C1298" s="1953"/>
      <c r="D1298" s="1953"/>
      <c r="E1298" s="1953"/>
      <c r="F1298" s="1953"/>
      <c r="G1298" s="1953"/>
      <c r="H1298" s="1953"/>
      <c r="I1298"/>
      <c r="J1298"/>
      <c r="K1298"/>
    </row>
    <row r="1299" spans="2:11" x14ac:dyDescent="0.35">
      <c r="B1299" s="1953"/>
      <c r="C1299" s="1953"/>
      <c r="D1299" s="1953"/>
      <c r="E1299" s="1953"/>
      <c r="F1299" s="1953"/>
      <c r="G1299" s="1953"/>
      <c r="H1299" s="1953"/>
      <c r="I1299"/>
      <c r="J1299"/>
      <c r="K1299"/>
    </row>
    <row r="1300" spans="2:11" x14ac:dyDescent="0.35">
      <c r="B1300" s="1953"/>
      <c r="C1300" s="1953"/>
      <c r="D1300" s="1953"/>
      <c r="E1300" s="1953"/>
      <c r="F1300" s="1953"/>
      <c r="G1300" s="1953"/>
      <c r="H1300" s="1953"/>
      <c r="I1300"/>
      <c r="J1300"/>
      <c r="K1300"/>
    </row>
    <row r="1301" spans="2:11" x14ac:dyDescent="0.35">
      <c r="B1301" s="1953"/>
      <c r="C1301" s="1953"/>
      <c r="D1301" s="1953"/>
      <c r="E1301" s="1953"/>
      <c r="F1301" s="1953"/>
      <c r="G1301" s="1953"/>
      <c r="H1301" s="1953"/>
      <c r="I1301"/>
      <c r="J1301"/>
      <c r="K1301"/>
    </row>
    <row r="1302" spans="2:11" x14ac:dyDescent="0.35">
      <c r="B1302" s="1953"/>
      <c r="C1302" s="1953"/>
      <c r="D1302" s="1953"/>
      <c r="E1302" s="1953"/>
      <c r="F1302" s="1953"/>
      <c r="G1302" s="1953"/>
      <c r="H1302" s="1953"/>
      <c r="I1302"/>
      <c r="J1302"/>
      <c r="K1302"/>
    </row>
    <row r="1303" spans="2:11" x14ac:dyDescent="0.35">
      <c r="B1303" s="1953"/>
      <c r="C1303" s="1953"/>
      <c r="D1303" s="1953"/>
      <c r="E1303" s="1953"/>
      <c r="F1303" s="1953"/>
      <c r="G1303" s="1953"/>
      <c r="H1303" s="1953"/>
      <c r="I1303"/>
      <c r="J1303"/>
      <c r="K1303"/>
    </row>
    <row r="1304" spans="2:11" x14ac:dyDescent="0.35">
      <c r="B1304" s="1953"/>
      <c r="C1304" s="1953"/>
      <c r="D1304" s="1953"/>
      <c r="E1304" s="1953"/>
      <c r="F1304" s="1953"/>
      <c r="G1304" s="1953"/>
      <c r="H1304" s="1953"/>
      <c r="I1304"/>
      <c r="J1304"/>
      <c r="K1304"/>
    </row>
    <row r="1305" spans="2:11" x14ac:dyDescent="0.35">
      <c r="B1305" s="1953"/>
      <c r="C1305" s="1953"/>
      <c r="D1305" s="1953"/>
      <c r="E1305" s="1953"/>
      <c r="F1305" s="1953"/>
      <c r="G1305" s="1953"/>
      <c r="H1305" s="1953"/>
      <c r="I1305"/>
      <c r="J1305"/>
      <c r="K1305"/>
    </row>
    <row r="1306" spans="2:11" x14ac:dyDescent="0.35">
      <c r="B1306" s="1953"/>
      <c r="C1306" s="1953"/>
      <c r="D1306" s="1953"/>
      <c r="E1306" s="1953"/>
      <c r="F1306" s="1953"/>
      <c r="G1306" s="1953"/>
      <c r="H1306" s="1953"/>
      <c r="I1306"/>
      <c r="J1306"/>
      <c r="K1306"/>
    </row>
    <row r="1307" spans="2:11" x14ac:dyDescent="0.35">
      <c r="B1307" s="1953"/>
      <c r="C1307" s="1953"/>
      <c r="D1307" s="1953"/>
      <c r="E1307" s="1953"/>
      <c r="F1307" s="1953"/>
      <c r="G1307" s="1953"/>
      <c r="H1307" s="1953"/>
      <c r="I1307"/>
      <c r="J1307"/>
      <c r="K1307"/>
    </row>
    <row r="1308" spans="2:11" x14ac:dyDescent="0.35">
      <c r="B1308" s="1953"/>
      <c r="C1308" s="1953"/>
      <c r="D1308" s="1953"/>
      <c r="E1308" s="1953"/>
      <c r="F1308" s="1953"/>
      <c r="G1308" s="1953"/>
      <c r="H1308" s="1953"/>
      <c r="I1308"/>
      <c r="J1308"/>
      <c r="K1308"/>
    </row>
    <row r="1309" spans="2:11" x14ac:dyDescent="0.35">
      <c r="B1309" s="1953"/>
      <c r="C1309" s="1953"/>
      <c r="D1309" s="1953"/>
      <c r="E1309" s="1953"/>
      <c r="F1309" s="1953"/>
      <c r="G1309" s="1953"/>
      <c r="H1309" s="1953"/>
      <c r="I1309"/>
      <c r="J1309"/>
      <c r="K1309"/>
    </row>
    <row r="1310" spans="2:11" x14ac:dyDescent="0.35">
      <c r="B1310" s="1953"/>
      <c r="C1310" s="1953"/>
      <c r="D1310" s="1953"/>
      <c r="E1310" s="1953"/>
      <c r="F1310" s="1953"/>
      <c r="G1310" s="1953"/>
      <c r="H1310" s="1953"/>
      <c r="I1310"/>
      <c r="J1310"/>
      <c r="K1310"/>
    </row>
    <row r="1311" spans="2:11" x14ac:dyDescent="0.35">
      <c r="B1311" s="1953"/>
      <c r="C1311" s="1953"/>
      <c r="D1311" s="1953"/>
      <c r="E1311" s="1953"/>
      <c r="F1311" s="1953"/>
      <c r="G1311" s="1953"/>
      <c r="H1311" s="1953"/>
      <c r="I1311"/>
      <c r="J1311"/>
      <c r="K1311"/>
    </row>
    <row r="1312" spans="2:11" x14ac:dyDescent="0.35">
      <c r="B1312" s="1953"/>
      <c r="C1312" s="1953"/>
      <c r="D1312" s="1953"/>
      <c r="E1312" s="1953"/>
      <c r="F1312" s="1953"/>
      <c r="G1312" s="1953"/>
      <c r="H1312" s="1953"/>
      <c r="I1312"/>
      <c r="J1312"/>
      <c r="K1312"/>
    </row>
    <row r="1313" spans="2:11" x14ac:dyDescent="0.35">
      <c r="B1313" s="1953"/>
      <c r="C1313" s="1953"/>
      <c r="D1313" s="1953"/>
      <c r="E1313" s="1953"/>
      <c r="F1313" s="1953"/>
      <c r="G1313" s="1953"/>
      <c r="H1313" s="1953"/>
      <c r="I1313"/>
      <c r="J1313"/>
      <c r="K1313"/>
    </row>
    <row r="1314" spans="2:11" x14ac:dyDescent="0.35">
      <c r="B1314" s="1953"/>
      <c r="C1314" s="1953"/>
      <c r="D1314" s="1953"/>
      <c r="E1314" s="1953"/>
      <c r="F1314" s="1953"/>
      <c r="G1314" s="1953"/>
      <c r="H1314" s="1953"/>
      <c r="I1314"/>
      <c r="J1314"/>
      <c r="K1314"/>
    </row>
    <row r="1315" spans="2:11" x14ac:dyDescent="0.35">
      <c r="B1315" s="1953"/>
      <c r="C1315" s="1953"/>
      <c r="D1315" s="1953"/>
      <c r="E1315" s="1953"/>
      <c r="F1315" s="1953"/>
      <c r="G1315" s="1953"/>
      <c r="H1315" s="1953"/>
      <c r="I1315"/>
      <c r="J1315"/>
      <c r="K1315"/>
    </row>
    <row r="1316" spans="2:11" x14ac:dyDescent="0.35">
      <c r="B1316" s="1953"/>
      <c r="C1316" s="1953"/>
      <c r="D1316" s="1953"/>
      <c r="E1316" s="1953"/>
      <c r="F1316" s="1953"/>
      <c r="G1316" s="1953"/>
      <c r="H1316" s="1953"/>
      <c r="I1316"/>
      <c r="J1316"/>
      <c r="K1316"/>
    </row>
    <row r="1317" spans="2:11" x14ac:dyDescent="0.35">
      <c r="B1317" s="1953"/>
      <c r="C1317" s="1953"/>
      <c r="D1317" s="1953"/>
      <c r="E1317" s="1953"/>
      <c r="F1317" s="1953"/>
      <c r="G1317" s="1953"/>
      <c r="H1317" s="1953"/>
      <c r="I1317"/>
      <c r="J1317"/>
      <c r="K1317"/>
    </row>
    <row r="1318" spans="2:11" x14ac:dyDescent="0.35">
      <c r="B1318" s="1953"/>
      <c r="C1318" s="1953"/>
      <c r="D1318" s="1953"/>
      <c r="E1318" s="1953"/>
      <c r="F1318" s="1953"/>
      <c r="G1318" s="1953"/>
      <c r="H1318" s="1953"/>
      <c r="I1318"/>
      <c r="J1318"/>
      <c r="K1318"/>
    </row>
    <row r="1319" spans="2:11" x14ac:dyDescent="0.35">
      <c r="B1319" s="1953"/>
      <c r="C1319" s="1953"/>
      <c r="D1319" s="1953"/>
      <c r="E1319" s="1953"/>
      <c r="F1319" s="1953"/>
      <c r="G1319" s="1953"/>
      <c r="H1319" s="1953"/>
      <c r="I1319"/>
      <c r="J1319"/>
      <c r="K1319"/>
    </row>
    <row r="1320" spans="2:11" x14ac:dyDescent="0.35">
      <c r="B1320" s="1953"/>
      <c r="C1320" s="1953"/>
      <c r="D1320" s="1953"/>
      <c r="E1320" s="1953"/>
      <c r="F1320" s="1953"/>
      <c r="G1320" s="1953"/>
      <c r="H1320" s="1953"/>
      <c r="I1320"/>
      <c r="J1320"/>
      <c r="K1320"/>
    </row>
    <row r="1321" spans="2:11" x14ac:dyDescent="0.35">
      <c r="B1321" s="1953"/>
      <c r="C1321" s="1953"/>
      <c r="D1321" s="1953"/>
      <c r="E1321" s="1953"/>
      <c r="F1321" s="1953"/>
      <c r="G1321" s="1953"/>
      <c r="H1321" s="1953"/>
      <c r="I1321"/>
      <c r="J1321"/>
      <c r="K1321"/>
    </row>
    <row r="1322" spans="2:11" x14ac:dyDescent="0.35">
      <c r="B1322" s="1953"/>
      <c r="C1322" s="1953"/>
      <c r="D1322" s="1953"/>
      <c r="E1322" s="1953"/>
      <c r="F1322" s="1953"/>
      <c r="G1322" s="1953"/>
      <c r="H1322" s="1953"/>
      <c r="I1322"/>
      <c r="J1322"/>
      <c r="K1322"/>
    </row>
    <row r="1323" spans="2:11" x14ac:dyDescent="0.35">
      <c r="B1323" s="1953"/>
      <c r="C1323" s="1953"/>
      <c r="D1323" s="1953"/>
      <c r="E1323" s="1953"/>
      <c r="F1323" s="1953"/>
      <c r="G1323" s="1953"/>
      <c r="H1323" s="1953"/>
      <c r="I1323"/>
      <c r="J1323"/>
      <c r="K1323"/>
    </row>
    <row r="1324" spans="2:11" x14ac:dyDescent="0.35">
      <c r="B1324" s="1953"/>
      <c r="C1324" s="1953"/>
      <c r="D1324" s="1953"/>
      <c r="E1324" s="1953"/>
      <c r="F1324" s="1953"/>
      <c r="G1324" s="1953"/>
      <c r="H1324" s="1953"/>
      <c r="I1324"/>
      <c r="J1324"/>
      <c r="K1324"/>
    </row>
    <row r="1325" spans="2:11" x14ac:dyDescent="0.35">
      <c r="B1325" s="1953"/>
      <c r="C1325" s="1953"/>
      <c r="D1325" s="1953"/>
      <c r="E1325" s="1953"/>
      <c r="F1325" s="1953"/>
      <c r="G1325" s="1953"/>
      <c r="H1325" s="1953"/>
      <c r="I1325"/>
      <c r="J1325"/>
      <c r="K1325"/>
    </row>
    <row r="1326" spans="2:11" x14ac:dyDescent="0.35">
      <c r="B1326" s="1953"/>
      <c r="C1326" s="1953"/>
      <c r="D1326" s="1953"/>
      <c r="E1326" s="1953"/>
      <c r="F1326" s="1953"/>
      <c r="G1326" s="1953"/>
      <c r="H1326" s="1953"/>
      <c r="I1326"/>
      <c r="J1326"/>
      <c r="K1326"/>
    </row>
    <row r="1327" spans="2:11" x14ac:dyDescent="0.35">
      <c r="B1327" s="1953"/>
      <c r="C1327" s="1953"/>
      <c r="D1327" s="1953"/>
      <c r="E1327" s="1953"/>
      <c r="F1327" s="1953"/>
      <c r="G1327" s="1953"/>
      <c r="H1327" s="1953"/>
      <c r="I1327"/>
      <c r="J1327"/>
      <c r="K1327"/>
    </row>
    <row r="1328" spans="2:11" x14ac:dyDescent="0.35">
      <c r="B1328" s="1953"/>
      <c r="C1328" s="1953"/>
      <c r="D1328" s="1953"/>
      <c r="E1328" s="1953"/>
      <c r="F1328" s="1953"/>
      <c r="G1328" s="1953"/>
      <c r="H1328" s="1953"/>
      <c r="I1328"/>
      <c r="J1328"/>
      <c r="K1328"/>
    </row>
    <row r="1329" spans="2:11" x14ac:dyDescent="0.35">
      <c r="B1329" s="1953"/>
      <c r="C1329" s="1953"/>
      <c r="D1329" s="1953"/>
      <c r="E1329" s="1953"/>
      <c r="F1329" s="1953"/>
      <c r="G1329" s="1953"/>
      <c r="H1329" s="1953"/>
      <c r="I1329"/>
      <c r="J1329"/>
      <c r="K1329"/>
    </row>
    <row r="1330" spans="2:11" x14ac:dyDescent="0.35">
      <c r="B1330" s="1953"/>
      <c r="C1330" s="1953"/>
      <c r="D1330" s="1953"/>
      <c r="E1330" s="1953"/>
      <c r="F1330" s="1953"/>
      <c r="G1330" s="1953"/>
      <c r="H1330" s="1953"/>
      <c r="I1330"/>
      <c r="J1330"/>
      <c r="K1330"/>
    </row>
    <row r="1331" spans="2:11" x14ac:dyDescent="0.35">
      <c r="B1331" s="1953"/>
      <c r="C1331" s="1953"/>
      <c r="D1331" s="1953"/>
      <c r="E1331" s="1953"/>
      <c r="F1331" s="1953"/>
      <c r="G1331" s="1953"/>
      <c r="H1331" s="1953"/>
      <c r="I1331"/>
      <c r="J1331"/>
      <c r="K1331"/>
    </row>
    <row r="1332" spans="2:11" x14ac:dyDescent="0.35">
      <c r="B1332" s="1953"/>
      <c r="C1332" s="1953"/>
      <c r="D1332" s="1953"/>
      <c r="E1332" s="1953"/>
      <c r="F1332" s="1953"/>
      <c r="G1332" s="1953"/>
      <c r="H1332" s="1953"/>
      <c r="I1332"/>
      <c r="J1332"/>
      <c r="K1332"/>
    </row>
    <row r="1333" spans="2:11" x14ac:dyDescent="0.35">
      <c r="B1333" s="1953"/>
      <c r="C1333" s="1953"/>
      <c r="D1333" s="1953"/>
      <c r="E1333" s="1953"/>
      <c r="F1333" s="1953"/>
      <c r="G1333" s="1953"/>
      <c r="H1333" s="1953"/>
      <c r="I1333"/>
      <c r="J1333"/>
      <c r="K1333"/>
    </row>
    <row r="1334" spans="2:11" x14ac:dyDescent="0.35">
      <c r="B1334" s="1953"/>
      <c r="C1334" s="1953"/>
      <c r="D1334" s="1953"/>
      <c r="E1334" s="1953"/>
      <c r="F1334" s="1953"/>
      <c r="G1334" s="1953"/>
      <c r="H1334" s="1953"/>
      <c r="I1334"/>
      <c r="J1334"/>
      <c r="K1334"/>
    </row>
    <row r="1335" spans="2:11" x14ac:dyDescent="0.35">
      <c r="B1335" s="1953"/>
      <c r="C1335" s="1953"/>
      <c r="D1335" s="1953"/>
      <c r="E1335" s="1953"/>
      <c r="F1335" s="1953"/>
      <c r="G1335" s="1953"/>
      <c r="H1335" s="1953"/>
      <c r="I1335"/>
      <c r="J1335"/>
      <c r="K1335"/>
    </row>
    <row r="1336" spans="2:11" x14ac:dyDescent="0.35">
      <c r="B1336" s="1953"/>
      <c r="C1336" s="1953"/>
      <c r="D1336" s="1953"/>
      <c r="E1336" s="1953"/>
      <c r="F1336" s="1953"/>
      <c r="G1336" s="1953"/>
      <c r="H1336" s="1953"/>
      <c r="I1336"/>
      <c r="J1336"/>
      <c r="K1336"/>
    </row>
    <row r="1337" spans="2:11" x14ac:dyDescent="0.35">
      <c r="B1337" s="1953"/>
      <c r="C1337" s="1953"/>
      <c r="D1337" s="1953"/>
      <c r="E1337" s="1953"/>
      <c r="F1337" s="1953"/>
      <c r="G1337" s="1953"/>
      <c r="H1337" s="1953"/>
      <c r="I1337"/>
      <c r="J1337"/>
      <c r="K1337"/>
    </row>
    <row r="1338" spans="2:11" x14ac:dyDescent="0.35">
      <c r="B1338" s="1953"/>
      <c r="C1338" s="1953"/>
      <c r="D1338" s="1953"/>
      <c r="E1338" s="1953"/>
      <c r="F1338" s="1953"/>
      <c r="G1338" s="1953"/>
      <c r="H1338" s="1953"/>
      <c r="I1338"/>
      <c r="J1338"/>
      <c r="K1338"/>
    </row>
    <row r="1339" spans="2:11" x14ac:dyDescent="0.35">
      <c r="B1339" s="1953"/>
      <c r="C1339" s="1953"/>
      <c r="D1339" s="1953"/>
      <c r="E1339" s="1953"/>
      <c r="F1339" s="1953"/>
      <c r="G1339" s="1953"/>
      <c r="H1339" s="1953"/>
      <c r="I1339"/>
      <c r="J1339"/>
      <c r="K1339"/>
    </row>
    <row r="1340" spans="2:11" x14ac:dyDescent="0.35">
      <c r="B1340" s="1953"/>
      <c r="C1340" s="1953"/>
      <c r="D1340" s="1953"/>
      <c r="E1340" s="1953"/>
      <c r="F1340" s="1953"/>
      <c r="G1340" s="1953"/>
      <c r="H1340" s="1953"/>
      <c r="I1340"/>
      <c r="J1340"/>
      <c r="K1340"/>
    </row>
    <row r="1341" spans="2:11" x14ac:dyDescent="0.35">
      <c r="B1341" s="1953"/>
      <c r="C1341" s="1953"/>
      <c r="D1341" s="1953"/>
      <c r="E1341" s="1953"/>
      <c r="F1341" s="1953"/>
      <c r="G1341" s="1953"/>
      <c r="H1341" s="1953"/>
      <c r="I1341"/>
      <c r="J1341"/>
      <c r="K1341"/>
    </row>
    <row r="1342" spans="2:11" x14ac:dyDescent="0.35">
      <c r="B1342" s="1953"/>
      <c r="C1342" s="1953"/>
      <c r="D1342" s="1953"/>
      <c r="E1342" s="1953"/>
      <c r="F1342" s="1953"/>
      <c r="G1342" s="1953"/>
      <c r="H1342" s="1953"/>
      <c r="I1342"/>
      <c r="J1342"/>
      <c r="K1342"/>
    </row>
    <row r="1343" spans="2:11" x14ac:dyDescent="0.35">
      <c r="B1343" s="1953"/>
      <c r="C1343" s="1953"/>
      <c r="D1343" s="1953"/>
      <c r="E1343" s="1953"/>
      <c r="F1343" s="1953"/>
      <c r="G1343" s="1953"/>
      <c r="H1343" s="1953"/>
      <c r="I1343"/>
      <c r="J1343"/>
      <c r="K1343"/>
    </row>
    <row r="1344" spans="2:11" x14ac:dyDescent="0.35">
      <c r="B1344" s="1953"/>
      <c r="C1344" s="1953"/>
      <c r="D1344" s="1953"/>
      <c r="E1344" s="1953"/>
      <c r="F1344" s="1953"/>
      <c r="G1344" s="1953"/>
      <c r="H1344" s="1953"/>
      <c r="I1344"/>
      <c r="J1344"/>
      <c r="K1344"/>
    </row>
    <row r="1345" spans="2:11" x14ac:dyDescent="0.35">
      <c r="B1345" s="1953"/>
      <c r="C1345" s="1953"/>
      <c r="D1345" s="1953"/>
      <c r="E1345" s="1953"/>
      <c r="F1345" s="1953"/>
      <c r="G1345" s="1953"/>
      <c r="H1345" s="1953"/>
      <c r="I1345"/>
      <c r="J1345"/>
      <c r="K1345"/>
    </row>
    <row r="1346" spans="2:11" x14ac:dyDescent="0.35">
      <c r="B1346" s="1953"/>
      <c r="C1346" s="1953"/>
      <c r="D1346" s="1953"/>
      <c r="E1346" s="1953"/>
      <c r="F1346" s="1953"/>
      <c r="G1346" s="1953"/>
      <c r="H1346" s="1953"/>
      <c r="I1346"/>
      <c r="J1346"/>
      <c r="K1346"/>
    </row>
    <row r="1347" spans="2:11" x14ac:dyDescent="0.35">
      <c r="B1347" s="1953"/>
      <c r="C1347" s="1953"/>
      <c r="D1347" s="1953"/>
      <c r="E1347" s="1953"/>
      <c r="F1347" s="1953"/>
      <c r="G1347" s="1953"/>
      <c r="H1347" s="1953"/>
      <c r="I1347"/>
      <c r="J1347"/>
      <c r="K1347"/>
    </row>
    <row r="1348" spans="2:11" x14ac:dyDescent="0.35">
      <c r="B1348" s="1953"/>
      <c r="C1348" s="1953"/>
      <c r="D1348" s="1953"/>
      <c r="E1348" s="1953"/>
      <c r="F1348" s="1953"/>
      <c r="G1348" s="1953"/>
      <c r="H1348" s="1953"/>
      <c r="I1348"/>
      <c r="J1348"/>
      <c r="K1348"/>
    </row>
    <row r="1349" spans="2:11" x14ac:dyDescent="0.35">
      <c r="B1349" s="1953"/>
      <c r="C1349" s="1953"/>
      <c r="D1349" s="1953"/>
      <c r="E1349" s="1953"/>
      <c r="F1349" s="1953"/>
      <c r="G1349" s="1953"/>
      <c r="H1349" s="1953"/>
      <c r="I1349"/>
      <c r="J1349"/>
      <c r="K1349"/>
    </row>
    <row r="1350" spans="2:11" x14ac:dyDescent="0.35">
      <c r="B1350" s="1953"/>
      <c r="C1350" s="1953"/>
      <c r="D1350" s="1953"/>
      <c r="E1350" s="1953"/>
      <c r="F1350" s="1953"/>
      <c r="G1350" s="1953"/>
      <c r="H1350" s="1953"/>
      <c r="I1350"/>
      <c r="J1350"/>
      <c r="K1350"/>
    </row>
    <row r="1351" spans="2:11" x14ac:dyDescent="0.35">
      <c r="B1351" s="1953"/>
      <c r="C1351" s="1953"/>
      <c r="D1351" s="1953"/>
      <c r="E1351" s="1953"/>
      <c r="F1351" s="1953"/>
      <c r="G1351" s="1953"/>
      <c r="H1351" s="1953"/>
      <c r="I1351"/>
      <c r="J1351"/>
      <c r="K1351"/>
    </row>
    <row r="1352" spans="2:11" x14ac:dyDescent="0.35">
      <c r="B1352" s="1953"/>
      <c r="C1352" s="1953"/>
      <c r="D1352" s="1953"/>
      <c r="E1352" s="1953"/>
      <c r="F1352" s="1953"/>
      <c r="G1352" s="1953"/>
      <c r="H1352" s="1953"/>
      <c r="I1352"/>
      <c r="J1352"/>
      <c r="K1352"/>
    </row>
    <row r="1353" spans="2:11" x14ac:dyDescent="0.35">
      <c r="B1353" s="1953"/>
      <c r="C1353" s="1953"/>
      <c r="D1353" s="1953"/>
      <c r="E1353" s="1953"/>
      <c r="F1353" s="1953"/>
      <c r="G1353" s="1953"/>
      <c r="H1353" s="1953"/>
      <c r="I1353"/>
      <c r="J1353"/>
      <c r="K1353"/>
    </row>
    <row r="1354" spans="2:11" x14ac:dyDescent="0.35">
      <c r="B1354" s="1953"/>
      <c r="C1354" s="1953"/>
      <c r="D1354" s="1953"/>
      <c r="E1354" s="1953"/>
      <c r="F1354" s="1953"/>
      <c r="G1354" s="1953"/>
      <c r="H1354" s="1953"/>
      <c r="I1354"/>
      <c r="J1354"/>
      <c r="K1354"/>
    </row>
    <row r="1355" spans="2:11" x14ac:dyDescent="0.35">
      <c r="B1355" s="1953"/>
      <c r="C1355" s="1953"/>
      <c r="D1355" s="1953"/>
      <c r="E1355" s="1953"/>
      <c r="F1355" s="1953"/>
      <c r="G1355" s="1953"/>
      <c r="H1355" s="1953"/>
      <c r="I1355"/>
      <c r="J1355"/>
      <c r="K1355"/>
    </row>
    <row r="1356" spans="2:11" x14ac:dyDescent="0.35">
      <c r="B1356" s="1953"/>
      <c r="C1356" s="1953"/>
      <c r="D1356" s="1953"/>
      <c r="E1356" s="1953"/>
      <c r="F1356" s="1953"/>
      <c r="G1356" s="1953"/>
      <c r="H1356" s="1953"/>
      <c r="I1356"/>
      <c r="J1356"/>
      <c r="K1356"/>
    </row>
    <row r="1357" spans="2:11" x14ac:dyDescent="0.35">
      <c r="B1357" s="1953"/>
      <c r="C1357" s="1953"/>
      <c r="D1357" s="1953"/>
      <c r="E1357" s="1953"/>
      <c r="F1357" s="1953"/>
      <c r="G1357" s="1953"/>
      <c r="H1357" s="1953"/>
      <c r="I1357"/>
      <c r="J1357"/>
      <c r="K1357"/>
    </row>
    <row r="1358" spans="2:11" x14ac:dyDescent="0.35">
      <c r="B1358" s="1953"/>
      <c r="C1358" s="1953"/>
      <c r="D1358" s="1953"/>
      <c r="E1358" s="1953"/>
      <c r="F1358" s="1953"/>
      <c r="G1358" s="1953"/>
      <c r="H1358" s="1953"/>
      <c r="I1358"/>
      <c r="J1358"/>
      <c r="K1358"/>
    </row>
    <row r="1359" spans="2:11" x14ac:dyDescent="0.35">
      <c r="B1359" s="1953"/>
      <c r="C1359" s="1953"/>
      <c r="D1359" s="1953"/>
      <c r="E1359" s="1953"/>
      <c r="F1359" s="1953"/>
      <c r="G1359" s="1953"/>
      <c r="H1359" s="1953"/>
      <c r="I1359"/>
      <c r="J1359"/>
      <c r="K1359"/>
    </row>
    <row r="1360" spans="2:11" x14ac:dyDescent="0.35">
      <c r="B1360" s="1953"/>
      <c r="C1360" s="1953"/>
      <c r="D1360" s="1953"/>
      <c r="E1360" s="1953"/>
      <c r="F1360" s="1953"/>
      <c r="G1360" s="1953"/>
      <c r="H1360" s="1953"/>
      <c r="I1360"/>
      <c r="J1360"/>
      <c r="K1360"/>
    </row>
    <row r="1361" spans="2:11" x14ac:dyDescent="0.35">
      <c r="B1361" s="1953"/>
      <c r="C1361" s="1953"/>
      <c r="D1361" s="1953"/>
      <c r="E1361" s="1953"/>
      <c r="F1361" s="1953"/>
      <c r="G1361" s="1953"/>
      <c r="H1361" s="1953"/>
      <c r="I1361"/>
      <c r="J1361"/>
      <c r="K1361"/>
    </row>
    <row r="1362" spans="2:11" x14ac:dyDescent="0.35">
      <c r="B1362" s="1953"/>
      <c r="C1362" s="1953"/>
      <c r="D1362" s="1953"/>
      <c r="E1362" s="1953"/>
      <c r="F1362" s="1953"/>
      <c r="G1362" s="1953"/>
      <c r="H1362" s="1953"/>
      <c r="I1362"/>
      <c r="J1362"/>
      <c r="K1362"/>
    </row>
    <row r="1363" spans="2:11" x14ac:dyDescent="0.35">
      <c r="B1363" s="1953"/>
      <c r="C1363" s="1953"/>
      <c r="D1363" s="1953"/>
      <c r="E1363" s="1953"/>
      <c r="F1363" s="1953"/>
      <c r="G1363" s="1953"/>
      <c r="H1363" s="1953"/>
      <c r="I1363"/>
      <c r="J1363"/>
      <c r="K1363"/>
    </row>
    <row r="1364" spans="2:11" x14ac:dyDescent="0.35">
      <c r="B1364" s="1953"/>
      <c r="C1364" s="1953"/>
      <c r="D1364" s="1953"/>
      <c r="E1364" s="1953"/>
      <c r="F1364" s="1953"/>
      <c r="G1364" s="1953"/>
      <c r="H1364" s="1953"/>
      <c r="I1364"/>
      <c r="J1364"/>
      <c r="K1364"/>
    </row>
    <row r="1365" spans="2:11" x14ac:dyDescent="0.35">
      <c r="B1365" s="1953"/>
      <c r="C1365" s="1953"/>
      <c r="D1365" s="1953"/>
      <c r="E1365" s="1953"/>
      <c r="F1365" s="1953"/>
      <c r="G1365" s="1953"/>
      <c r="H1365" s="1953"/>
      <c r="I1365"/>
      <c r="J1365"/>
      <c r="K1365"/>
    </row>
    <row r="1366" spans="2:11" x14ac:dyDescent="0.35">
      <c r="B1366" s="1953"/>
      <c r="C1366" s="1953"/>
      <c r="D1366" s="1953"/>
      <c r="E1366" s="1953"/>
      <c r="F1366" s="1953"/>
      <c r="G1366" s="1953"/>
      <c r="H1366" s="1953"/>
      <c r="I1366"/>
      <c r="J1366"/>
      <c r="K1366"/>
    </row>
    <row r="1367" spans="2:11" x14ac:dyDescent="0.35">
      <c r="B1367" s="1953"/>
      <c r="C1367" s="1953"/>
      <c r="D1367" s="1953"/>
      <c r="E1367" s="1953"/>
      <c r="F1367" s="1953"/>
      <c r="G1367" s="1953"/>
      <c r="H1367" s="1953"/>
      <c r="I1367"/>
      <c r="J1367"/>
      <c r="K1367"/>
    </row>
    <row r="1368" spans="2:11" x14ac:dyDescent="0.35">
      <c r="B1368" s="1953"/>
      <c r="C1368" s="1953"/>
      <c r="D1368" s="1953"/>
      <c r="E1368" s="1953"/>
      <c r="F1368" s="1953"/>
      <c r="G1368" s="1953"/>
      <c r="H1368" s="1953"/>
      <c r="I1368"/>
      <c r="J1368"/>
      <c r="K1368"/>
    </row>
    <row r="1369" spans="2:11" x14ac:dyDescent="0.35">
      <c r="B1369" s="1953"/>
      <c r="C1369" s="1953"/>
      <c r="D1369" s="1953"/>
      <c r="E1369" s="1953"/>
      <c r="F1369" s="1953"/>
      <c r="G1369" s="1953"/>
      <c r="H1369" s="1953"/>
      <c r="I1369"/>
      <c r="J1369"/>
      <c r="K1369"/>
    </row>
    <row r="1370" spans="2:11" x14ac:dyDescent="0.35">
      <c r="B1370" s="1953"/>
      <c r="C1370" s="1953"/>
      <c r="D1370" s="1953"/>
      <c r="E1370" s="1953"/>
      <c r="F1370" s="1953"/>
      <c r="G1370" s="1953"/>
      <c r="H1370" s="1953"/>
      <c r="I1370"/>
      <c r="J1370"/>
      <c r="K1370"/>
    </row>
    <row r="1371" spans="2:11" x14ac:dyDescent="0.35">
      <c r="B1371" s="1953"/>
      <c r="C1371" s="1953"/>
      <c r="D1371" s="1953"/>
      <c r="E1371" s="1953"/>
      <c r="F1371" s="1953"/>
      <c r="G1371" s="1953"/>
      <c r="H1371" s="1953"/>
      <c r="I1371"/>
      <c r="J1371"/>
      <c r="K1371"/>
    </row>
    <row r="1372" spans="2:11" x14ac:dyDescent="0.35">
      <c r="B1372" s="1953"/>
      <c r="C1372" s="1953"/>
      <c r="D1372" s="1953"/>
      <c r="E1372" s="1953"/>
      <c r="F1372" s="1953"/>
      <c r="G1372" s="1953"/>
      <c r="H1372" s="1953"/>
      <c r="I1372"/>
      <c r="J1372"/>
      <c r="K1372"/>
    </row>
    <row r="1373" spans="2:11" x14ac:dyDescent="0.35">
      <c r="B1373" s="1953"/>
      <c r="C1373" s="1953"/>
      <c r="D1373" s="1953"/>
      <c r="E1373" s="1953"/>
      <c r="F1373" s="1953"/>
      <c r="G1373" s="1953"/>
      <c r="H1373" s="1953"/>
      <c r="I1373"/>
      <c r="J1373"/>
      <c r="K1373"/>
    </row>
    <row r="1374" spans="2:11" x14ac:dyDescent="0.35">
      <c r="B1374" s="1953"/>
      <c r="C1374" s="1953"/>
      <c r="D1374" s="1953"/>
      <c r="E1374" s="1953"/>
      <c r="F1374" s="1953"/>
      <c r="G1374" s="1953"/>
      <c r="H1374" s="1953"/>
      <c r="I1374"/>
      <c r="J1374"/>
      <c r="K1374"/>
    </row>
    <row r="1375" spans="2:11" x14ac:dyDescent="0.35">
      <c r="B1375" s="1953"/>
      <c r="C1375" s="1953"/>
      <c r="D1375" s="1953"/>
      <c r="E1375" s="1953"/>
      <c r="F1375" s="1953"/>
      <c r="G1375" s="1953"/>
      <c r="H1375" s="1953"/>
      <c r="I1375"/>
      <c r="J1375"/>
      <c r="K1375"/>
    </row>
    <row r="1376" spans="2:11" x14ac:dyDescent="0.35">
      <c r="B1376" s="1953"/>
      <c r="C1376" s="1953"/>
      <c r="D1376" s="1953"/>
      <c r="E1376" s="1953"/>
      <c r="F1376" s="1953"/>
      <c r="G1376" s="1953"/>
      <c r="H1376" s="1953"/>
      <c r="I1376"/>
      <c r="J1376"/>
      <c r="K1376"/>
    </row>
    <row r="1377" spans="2:11" x14ac:dyDescent="0.35">
      <c r="B1377" s="1953"/>
      <c r="C1377" s="1953"/>
      <c r="D1377" s="1953"/>
      <c r="E1377" s="1953"/>
      <c r="F1377" s="1953"/>
      <c r="G1377" s="1953"/>
      <c r="H1377" s="1953"/>
      <c r="I1377"/>
      <c r="J1377"/>
      <c r="K1377"/>
    </row>
    <row r="1378" spans="2:11" x14ac:dyDescent="0.35">
      <c r="B1378" s="1953"/>
      <c r="C1378" s="1953"/>
      <c r="D1378" s="1953"/>
      <c r="E1378" s="1953"/>
      <c r="F1378" s="1953"/>
      <c r="G1378" s="1953"/>
      <c r="H1378" s="1953"/>
      <c r="I1378"/>
      <c r="J1378"/>
      <c r="K1378"/>
    </row>
    <row r="1379" spans="2:11" x14ac:dyDescent="0.35">
      <c r="B1379" s="1953"/>
      <c r="C1379" s="1953"/>
      <c r="D1379" s="1953"/>
      <c r="E1379" s="1953"/>
      <c r="F1379" s="1953"/>
      <c r="G1379" s="1953"/>
      <c r="H1379" s="1953"/>
      <c r="I1379"/>
      <c r="J1379"/>
      <c r="K1379"/>
    </row>
    <row r="1380" spans="2:11" x14ac:dyDescent="0.35">
      <c r="B1380" s="1953"/>
      <c r="C1380" s="1953"/>
      <c r="D1380" s="1953"/>
      <c r="E1380" s="1953"/>
      <c r="F1380" s="1953"/>
      <c r="G1380" s="1953"/>
      <c r="H1380" s="1953"/>
      <c r="I1380"/>
      <c r="J1380"/>
      <c r="K1380"/>
    </row>
    <row r="1381" spans="2:11" x14ac:dyDescent="0.35">
      <c r="B1381" s="1953"/>
      <c r="C1381" s="1953"/>
      <c r="D1381" s="1953"/>
      <c r="E1381" s="1953"/>
      <c r="F1381" s="1953"/>
      <c r="G1381" s="1953"/>
      <c r="H1381" s="1953"/>
      <c r="I1381"/>
      <c r="J1381"/>
      <c r="K1381"/>
    </row>
    <row r="1382" spans="2:11" x14ac:dyDescent="0.35">
      <c r="B1382" s="1953"/>
      <c r="C1382" s="1953"/>
      <c r="D1382" s="1953"/>
      <c r="E1382" s="1953"/>
      <c r="F1382" s="1953"/>
      <c r="G1382" s="1953"/>
      <c r="H1382" s="1953"/>
      <c r="I1382"/>
      <c r="J1382"/>
      <c r="K1382"/>
    </row>
    <row r="1383" spans="2:11" x14ac:dyDescent="0.35">
      <c r="B1383" s="1953"/>
      <c r="C1383" s="1953"/>
      <c r="D1383" s="1953"/>
      <c r="E1383" s="1953"/>
      <c r="F1383" s="1953"/>
      <c r="G1383" s="1953"/>
      <c r="H1383" s="1953"/>
      <c r="I1383"/>
      <c r="J1383"/>
      <c r="K1383"/>
    </row>
    <row r="1384" spans="2:11" x14ac:dyDescent="0.35">
      <c r="B1384" s="1953"/>
      <c r="C1384" s="1953"/>
      <c r="D1384" s="1953"/>
      <c r="E1384" s="1953"/>
      <c r="F1384" s="1953"/>
      <c r="G1384" s="1953"/>
      <c r="H1384" s="1953"/>
      <c r="I1384"/>
      <c r="J1384"/>
      <c r="K1384"/>
    </row>
    <row r="1385" spans="2:11" x14ac:dyDescent="0.35">
      <c r="B1385" s="1953"/>
      <c r="C1385" s="1953"/>
      <c r="D1385" s="1953"/>
      <c r="E1385" s="1953"/>
      <c r="F1385" s="1953"/>
      <c r="G1385" s="1953"/>
      <c r="H1385" s="1953"/>
      <c r="I1385"/>
      <c r="J1385"/>
      <c r="K1385"/>
    </row>
    <row r="1386" spans="2:11" x14ac:dyDescent="0.35">
      <c r="B1386" s="1953"/>
      <c r="C1386" s="1953"/>
      <c r="D1386" s="1953"/>
      <c r="E1386" s="1953"/>
      <c r="F1386" s="1953"/>
      <c r="G1386" s="1953"/>
      <c r="H1386" s="1953"/>
      <c r="I1386"/>
      <c r="J1386"/>
      <c r="K1386"/>
    </row>
    <row r="1387" spans="2:11" x14ac:dyDescent="0.35">
      <c r="B1387" s="1953"/>
      <c r="C1387" s="1953"/>
      <c r="D1387" s="1953"/>
      <c r="E1387" s="1953"/>
      <c r="F1387" s="1953"/>
      <c r="G1387" s="1953"/>
      <c r="H1387" s="1953"/>
      <c r="I1387"/>
      <c r="J1387"/>
      <c r="K1387"/>
    </row>
    <row r="1388" spans="2:11" x14ac:dyDescent="0.35">
      <c r="B1388" s="1953"/>
      <c r="C1388" s="1953"/>
      <c r="D1388" s="1953"/>
      <c r="E1388" s="1953"/>
      <c r="F1388" s="1953"/>
      <c r="G1388" s="1953"/>
      <c r="H1388" s="1953"/>
      <c r="I1388"/>
      <c r="J1388"/>
      <c r="K1388"/>
    </row>
    <row r="1389" spans="2:11" x14ac:dyDescent="0.35">
      <c r="B1389" s="1953"/>
      <c r="C1389" s="1953"/>
      <c r="D1389" s="1953"/>
      <c r="E1389" s="1953"/>
      <c r="F1389" s="1953"/>
      <c r="G1389" s="1953"/>
      <c r="H1389" s="1953"/>
      <c r="I1389"/>
      <c r="J1389"/>
      <c r="K1389"/>
    </row>
    <row r="1390" spans="2:11" x14ac:dyDescent="0.35">
      <c r="B1390" s="1953"/>
      <c r="C1390" s="1953"/>
      <c r="D1390" s="1953"/>
      <c r="E1390" s="1953"/>
      <c r="F1390" s="1953"/>
      <c r="G1390" s="1953"/>
      <c r="H1390" s="1953"/>
      <c r="I1390"/>
      <c r="J1390"/>
      <c r="K1390"/>
    </row>
    <row r="1391" spans="2:11" x14ac:dyDescent="0.35">
      <c r="B1391" s="1953"/>
      <c r="C1391" s="1953"/>
      <c r="D1391" s="1953"/>
      <c r="E1391" s="1953"/>
      <c r="F1391" s="1953"/>
      <c r="G1391" s="1953"/>
      <c r="H1391" s="1953"/>
      <c r="I1391"/>
      <c r="J1391"/>
      <c r="K1391"/>
    </row>
    <row r="1392" spans="2:11" x14ac:dyDescent="0.35">
      <c r="B1392" s="1953"/>
      <c r="C1392" s="1953"/>
      <c r="D1392" s="1953"/>
      <c r="E1392" s="1953"/>
      <c r="F1392" s="1953"/>
      <c r="G1392" s="1953"/>
      <c r="H1392" s="1953"/>
      <c r="I1392"/>
      <c r="J1392"/>
      <c r="K1392"/>
    </row>
    <row r="1393" spans="2:11" x14ac:dyDescent="0.35">
      <c r="B1393" s="1953"/>
      <c r="C1393" s="1953"/>
      <c r="D1393" s="1953"/>
      <c r="E1393" s="1953"/>
      <c r="F1393" s="1953"/>
      <c r="G1393" s="1953"/>
      <c r="H1393" s="1953"/>
      <c r="I1393"/>
      <c r="J1393"/>
      <c r="K1393"/>
    </row>
    <row r="1394" spans="2:11" x14ac:dyDescent="0.35">
      <c r="B1394" s="1953"/>
      <c r="C1394" s="1953"/>
      <c r="D1394" s="1953"/>
      <c r="E1394" s="1953"/>
      <c r="F1394" s="1953"/>
      <c r="G1394" s="1953"/>
      <c r="H1394" s="1953"/>
      <c r="I1394"/>
      <c r="J1394"/>
      <c r="K1394"/>
    </row>
    <row r="1395" spans="2:11" x14ac:dyDescent="0.35">
      <c r="B1395" s="1953"/>
      <c r="C1395" s="1953"/>
      <c r="D1395" s="1953"/>
      <c r="E1395" s="1953"/>
      <c r="F1395" s="1953"/>
      <c r="G1395" s="1953"/>
      <c r="H1395" s="1953"/>
      <c r="I1395"/>
      <c r="J1395"/>
      <c r="K1395"/>
    </row>
    <row r="1396" spans="2:11" x14ac:dyDescent="0.35">
      <c r="B1396" s="1953"/>
      <c r="C1396" s="1953"/>
      <c r="D1396" s="1953"/>
      <c r="E1396" s="1953"/>
      <c r="F1396" s="1953"/>
      <c r="G1396" s="1953"/>
      <c r="H1396" s="1953"/>
      <c r="I1396"/>
      <c r="J1396"/>
      <c r="K1396"/>
    </row>
    <row r="1397" spans="2:11" x14ac:dyDescent="0.35">
      <c r="B1397" s="1953"/>
      <c r="C1397" s="1953"/>
      <c r="D1397" s="1953"/>
      <c r="E1397" s="1953"/>
      <c r="F1397" s="1953"/>
      <c r="G1397" s="1953"/>
      <c r="H1397" s="1953"/>
      <c r="I1397"/>
      <c r="J1397"/>
      <c r="K1397"/>
    </row>
    <row r="1398" spans="2:11" x14ac:dyDescent="0.35">
      <c r="B1398" s="1953"/>
      <c r="C1398" s="1953"/>
      <c r="D1398" s="1953"/>
      <c r="E1398" s="1953"/>
      <c r="F1398" s="1953"/>
      <c r="G1398" s="1953"/>
      <c r="H1398" s="1953"/>
      <c r="I1398"/>
      <c r="J1398"/>
      <c r="K1398"/>
    </row>
    <row r="1399" spans="2:11" x14ac:dyDescent="0.35">
      <c r="B1399" s="1953"/>
      <c r="C1399" s="1953"/>
      <c r="D1399" s="1953"/>
      <c r="E1399" s="1953"/>
      <c r="F1399" s="1953"/>
      <c r="G1399" s="1953"/>
      <c r="H1399" s="1953"/>
      <c r="I1399"/>
      <c r="J1399"/>
      <c r="K1399"/>
    </row>
    <row r="1400" spans="2:11" x14ac:dyDescent="0.35">
      <c r="B1400" s="1953"/>
      <c r="C1400" s="1953"/>
      <c r="D1400" s="1953"/>
      <c r="E1400" s="1953"/>
      <c r="F1400" s="1953"/>
      <c r="G1400" s="1953"/>
      <c r="H1400" s="1953"/>
      <c r="I1400"/>
      <c r="J1400"/>
      <c r="K1400"/>
    </row>
    <row r="1401" spans="2:11" x14ac:dyDescent="0.35">
      <c r="B1401" s="1953"/>
      <c r="C1401" s="1953"/>
      <c r="D1401" s="1953"/>
      <c r="E1401" s="1953"/>
      <c r="F1401" s="1953"/>
      <c r="G1401" s="1953"/>
      <c r="H1401" s="1953"/>
      <c r="I1401"/>
      <c r="J1401"/>
      <c r="K1401"/>
    </row>
    <row r="1402" spans="2:11" x14ac:dyDescent="0.35">
      <c r="B1402" s="1953"/>
      <c r="C1402" s="1953"/>
      <c r="D1402" s="1953"/>
      <c r="E1402" s="1953"/>
      <c r="F1402" s="1953"/>
      <c r="G1402" s="1953"/>
      <c r="H1402" s="1953"/>
      <c r="I1402"/>
      <c r="J1402"/>
      <c r="K1402"/>
    </row>
    <row r="1403" spans="2:11" x14ac:dyDescent="0.35">
      <c r="B1403" s="1953"/>
      <c r="C1403" s="1953"/>
      <c r="D1403" s="1953"/>
      <c r="E1403" s="1953"/>
      <c r="F1403" s="1953"/>
      <c r="G1403" s="1953"/>
      <c r="H1403" s="1953"/>
      <c r="I1403"/>
      <c r="J1403"/>
      <c r="K1403"/>
    </row>
    <row r="1404" spans="2:11" x14ac:dyDescent="0.35">
      <c r="B1404" s="1953"/>
      <c r="C1404" s="1953"/>
      <c r="D1404" s="1953"/>
      <c r="E1404" s="1953"/>
      <c r="F1404" s="1953"/>
      <c r="G1404" s="1953"/>
      <c r="H1404" s="1953"/>
      <c r="I1404"/>
      <c r="J1404"/>
      <c r="K1404"/>
    </row>
    <row r="1405" spans="2:11" x14ac:dyDescent="0.35">
      <c r="B1405" s="1953"/>
      <c r="C1405" s="1953"/>
      <c r="D1405" s="1953"/>
      <c r="E1405" s="1953"/>
      <c r="F1405" s="1953"/>
      <c r="G1405" s="1953"/>
      <c r="H1405" s="1953"/>
      <c r="I1405"/>
      <c r="J1405"/>
      <c r="K1405"/>
    </row>
    <row r="1406" spans="2:11" x14ac:dyDescent="0.35">
      <c r="B1406" s="1953"/>
      <c r="C1406" s="1953"/>
      <c r="D1406" s="1953"/>
      <c r="E1406" s="1953"/>
      <c r="F1406" s="1953"/>
      <c r="G1406" s="1953"/>
      <c r="H1406" s="1953"/>
      <c r="I1406"/>
      <c r="J1406"/>
      <c r="K1406"/>
    </row>
    <row r="1407" spans="2:11" x14ac:dyDescent="0.35">
      <c r="B1407" s="1953"/>
      <c r="C1407" s="1953"/>
      <c r="D1407" s="1953"/>
      <c r="E1407" s="1953"/>
      <c r="F1407" s="1953"/>
      <c r="G1407" s="1953"/>
      <c r="H1407" s="1953"/>
      <c r="I1407"/>
      <c r="J1407"/>
      <c r="K1407"/>
    </row>
    <row r="1408" spans="2:11" x14ac:dyDescent="0.35">
      <c r="B1408" s="1953"/>
      <c r="C1408" s="1953"/>
      <c r="D1408" s="1953"/>
      <c r="E1408" s="1953"/>
      <c r="F1408" s="1953"/>
      <c r="G1408" s="1953"/>
      <c r="H1408" s="1953"/>
      <c r="I1408"/>
      <c r="J1408"/>
      <c r="K1408"/>
    </row>
    <row r="1409" spans="2:11" x14ac:dyDescent="0.35">
      <c r="B1409" s="1953"/>
      <c r="C1409" s="1953"/>
      <c r="D1409" s="1953"/>
      <c r="E1409" s="1953"/>
      <c r="F1409" s="1953"/>
      <c r="G1409" s="1953"/>
      <c r="H1409" s="1953"/>
      <c r="I1409"/>
      <c r="J1409"/>
      <c r="K1409"/>
    </row>
    <row r="1410" spans="2:11" x14ac:dyDescent="0.35">
      <c r="B1410" s="1953"/>
      <c r="C1410" s="1953"/>
      <c r="D1410" s="1953"/>
      <c r="E1410" s="1953"/>
      <c r="F1410" s="1953"/>
      <c r="G1410" s="1953"/>
      <c r="H1410" s="1953"/>
      <c r="I1410"/>
      <c r="J1410"/>
      <c r="K1410"/>
    </row>
    <row r="1411" spans="2:11" x14ac:dyDescent="0.35">
      <c r="B1411" s="1953"/>
      <c r="C1411" s="1953"/>
      <c r="D1411" s="1953"/>
      <c r="E1411" s="1953"/>
      <c r="F1411" s="1953"/>
      <c r="G1411" s="1953"/>
      <c r="H1411" s="1953"/>
      <c r="I1411"/>
      <c r="J1411"/>
      <c r="K1411"/>
    </row>
    <row r="1412" spans="2:11" x14ac:dyDescent="0.35">
      <c r="B1412" s="1953"/>
      <c r="C1412" s="1953"/>
      <c r="D1412" s="1953"/>
      <c r="E1412" s="1953"/>
      <c r="F1412" s="1953"/>
      <c r="G1412" s="1953"/>
      <c r="H1412" s="1953"/>
      <c r="I1412"/>
      <c r="J1412"/>
      <c r="K1412"/>
    </row>
    <row r="1413" spans="2:11" x14ac:dyDescent="0.35">
      <c r="B1413" s="1953"/>
      <c r="C1413" s="1953"/>
      <c r="D1413" s="1953"/>
      <c r="E1413" s="1953"/>
      <c r="F1413" s="1953"/>
      <c r="G1413" s="1953"/>
      <c r="H1413" s="1953"/>
      <c r="I1413"/>
      <c r="J1413"/>
      <c r="K1413"/>
    </row>
    <row r="1414" spans="2:11" x14ac:dyDescent="0.35">
      <c r="B1414" s="1953"/>
      <c r="C1414" s="1953"/>
      <c r="D1414" s="1953"/>
      <c r="E1414" s="1953"/>
      <c r="F1414" s="1953"/>
      <c r="G1414" s="1953"/>
      <c r="H1414" s="1953"/>
      <c r="I1414"/>
      <c r="J1414"/>
      <c r="K1414"/>
    </row>
    <row r="1415" spans="2:11" x14ac:dyDescent="0.35">
      <c r="B1415" s="1953"/>
      <c r="C1415" s="1953"/>
      <c r="D1415" s="1953"/>
      <c r="E1415" s="1953"/>
      <c r="F1415" s="1953"/>
      <c r="G1415" s="1953"/>
      <c r="H1415" s="1953"/>
      <c r="I1415"/>
      <c r="J1415"/>
      <c r="K1415"/>
    </row>
    <row r="1416" spans="2:11" x14ac:dyDescent="0.35">
      <c r="B1416" s="1953"/>
      <c r="C1416" s="1953"/>
      <c r="D1416" s="1953"/>
      <c r="E1416" s="1953"/>
      <c r="F1416" s="1953"/>
      <c r="G1416" s="1953"/>
      <c r="H1416" s="1953"/>
      <c r="I1416"/>
      <c r="J1416"/>
      <c r="K1416"/>
    </row>
    <row r="1417" spans="2:11" x14ac:dyDescent="0.35">
      <c r="B1417" s="1953"/>
      <c r="C1417" s="1953"/>
      <c r="D1417" s="1953"/>
      <c r="E1417" s="1953"/>
      <c r="F1417" s="1953"/>
      <c r="G1417" s="1953"/>
      <c r="H1417" s="1953"/>
      <c r="I1417"/>
      <c r="J1417"/>
      <c r="K1417"/>
    </row>
    <row r="1418" spans="2:11" x14ac:dyDescent="0.35">
      <c r="B1418" s="1953"/>
      <c r="C1418" s="1953"/>
      <c r="D1418" s="1953"/>
      <c r="E1418" s="1953"/>
      <c r="F1418" s="1953"/>
      <c r="G1418" s="1953"/>
      <c r="H1418" s="1953"/>
      <c r="I1418"/>
      <c r="J1418"/>
      <c r="K1418"/>
    </row>
    <row r="1419" spans="2:11" x14ac:dyDescent="0.35">
      <c r="B1419" s="1953"/>
      <c r="C1419" s="1953"/>
      <c r="D1419" s="1953"/>
      <c r="E1419" s="1953"/>
      <c r="F1419" s="1953"/>
      <c r="G1419" s="1953"/>
      <c r="H1419" s="1953"/>
      <c r="I1419"/>
      <c r="J1419"/>
      <c r="K1419"/>
    </row>
    <row r="1420" spans="2:11" x14ac:dyDescent="0.35">
      <c r="B1420" s="1953"/>
      <c r="C1420" s="1953"/>
      <c r="D1420" s="1953"/>
      <c r="E1420" s="1953"/>
      <c r="F1420" s="1953"/>
      <c r="G1420" s="1953"/>
      <c r="H1420" s="1953"/>
      <c r="I1420"/>
      <c r="J1420"/>
      <c r="K1420"/>
    </row>
    <row r="1421" spans="2:11" x14ac:dyDescent="0.35">
      <c r="B1421" s="1953"/>
      <c r="C1421" s="1953"/>
      <c r="D1421" s="1953"/>
      <c r="E1421" s="1953"/>
      <c r="F1421" s="1953"/>
      <c r="G1421" s="1953"/>
      <c r="H1421" s="1953"/>
      <c r="I1421"/>
      <c r="J1421"/>
      <c r="K1421"/>
    </row>
    <row r="1422" spans="2:11" x14ac:dyDescent="0.35">
      <c r="B1422" s="1953"/>
      <c r="C1422" s="1953"/>
      <c r="D1422" s="1953"/>
      <c r="E1422" s="1953"/>
      <c r="F1422" s="1953"/>
      <c r="G1422" s="1953"/>
      <c r="H1422" s="1953"/>
      <c r="I1422"/>
      <c r="J1422"/>
      <c r="K1422"/>
    </row>
    <row r="1423" spans="2:11" x14ac:dyDescent="0.35">
      <c r="B1423" s="1953"/>
      <c r="C1423" s="1953"/>
      <c r="D1423" s="1953"/>
      <c r="E1423" s="1953"/>
      <c r="F1423" s="1953"/>
      <c r="G1423" s="1953"/>
      <c r="H1423" s="1953"/>
      <c r="I1423"/>
      <c r="J1423"/>
      <c r="K1423"/>
    </row>
    <row r="1424" spans="2:11" x14ac:dyDescent="0.35">
      <c r="B1424" s="1953"/>
      <c r="C1424" s="1953"/>
      <c r="D1424" s="1953"/>
      <c r="E1424" s="1953"/>
      <c r="F1424" s="1953"/>
      <c r="G1424" s="1953"/>
      <c r="H1424" s="1953"/>
      <c r="I1424"/>
      <c r="J1424"/>
      <c r="K1424"/>
    </row>
    <row r="1425" spans="2:11" x14ac:dyDescent="0.35">
      <c r="B1425" s="1953"/>
      <c r="C1425" s="1953"/>
      <c r="D1425" s="1953"/>
      <c r="E1425" s="1953"/>
      <c r="F1425" s="1953"/>
      <c r="G1425" s="1953"/>
      <c r="H1425" s="1953"/>
      <c r="I1425"/>
      <c r="J1425"/>
      <c r="K1425"/>
    </row>
    <row r="1426" spans="2:11" x14ac:dyDescent="0.35">
      <c r="B1426" s="1953"/>
      <c r="C1426" s="1953"/>
      <c r="D1426" s="1953"/>
      <c r="E1426" s="1953"/>
      <c r="F1426" s="1953"/>
      <c r="G1426" s="1953"/>
      <c r="H1426" s="1953"/>
      <c r="I1426"/>
      <c r="J1426"/>
      <c r="K1426"/>
    </row>
    <row r="1427" spans="2:11" x14ac:dyDescent="0.35">
      <c r="B1427" s="1953"/>
      <c r="C1427" s="1953"/>
      <c r="D1427" s="1953"/>
      <c r="E1427" s="1953"/>
      <c r="F1427" s="1953"/>
      <c r="G1427" s="1953"/>
      <c r="H1427" s="1953"/>
      <c r="I1427"/>
      <c r="J1427"/>
      <c r="K1427"/>
    </row>
    <row r="1428" spans="2:11" x14ac:dyDescent="0.35">
      <c r="B1428" s="1953"/>
      <c r="C1428" s="1953"/>
      <c r="D1428" s="1953"/>
      <c r="E1428" s="1953"/>
      <c r="F1428" s="1953"/>
      <c r="G1428" s="1953"/>
      <c r="H1428" s="1953"/>
      <c r="I1428"/>
      <c r="J1428"/>
      <c r="K1428"/>
    </row>
    <row r="1429" spans="2:11" x14ac:dyDescent="0.35">
      <c r="B1429" s="1953"/>
      <c r="C1429" s="1953"/>
      <c r="D1429" s="1953"/>
      <c r="E1429" s="1953"/>
      <c r="F1429" s="1953"/>
      <c r="G1429" s="1953"/>
      <c r="H1429" s="1953"/>
      <c r="I1429"/>
      <c r="J1429"/>
      <c r="K1429"/>
    </row>
    <row r="1430" spans="2:11" x14ac:dyDescent="0.35">
      <c r="B1430" s="1953"/>
      <c r="C1430" s="1953"/>
      <c r="D1430" s="1953"/>
      <c r="E1430" s="1953"/>
      <c r="F1430" s="1953"/>
      <c r="G1430" s="1953"/>
      <c r="H1430" s="1953"/>
      <c r="I1430"/>
      <c r="J1430"/>
      <c r="K1430"/>
    </row>
    <row r="1431" spans="2:11" x14ac:dyDescent="0.35">
      <c r="B1431" s="1953"/>
      <c r="C1431" s="1953"/>
      <c r="D1431" s="1953"/>
      <c r="E1431" s="1953"/>
      <c r="F1431" s="1953"/>
      <c r="G1431" s="1953"/>
      <c r="H1431" s="1953"/>
      <c r="I1431"/>
      <c r="J1431"/>
      <c r="K1431"/>
    </row>
    <row r="1432" spans="2:11" x14ac:dyDescent="0.35">
      <c r="B1432" s="1953"/>
      <c r="C1432" s="1953"/>
      <c r="D1432" s="1953"/>
      <c r="E1432" s="1953"/>
      <c r="F1432" s="1953"/>
      <c r="G1432" s="1953"/>
      <c r="H1432" s="1953"/>
      <c r="I1432"/>
      <c r="J1432"/>
      <c r="K1432"/>
    </row>
    <row r="1433" spans="2:11" x14ac:dyDescent="0.35">
      <c r="B1433" s="1953"/>
      <c r="C1433" s="1953"/>
      <c r="D1433" s="1953"/>
      <c r="E1433" s="1953"/>
      <c r="F1433" s="1953"/>
      <c r="G1433" s="1953"/>
      <c r="H1433" s="1953"/>
      <c r="I1433"/>
      <c r="J1433"/>
      <c r="K1433"/>
    </row>
    <row r="1434" spans="2:11" x14ac:dyDescent="0.35">
      <c r="B1434" s="1953"/>
      <c r="C1434" s="1953"/>
      <c r="D1434" s="1953"/>
      <c r="E1434" s="1953"/>
      <c r="F1434" s="1953"/>
      <c r="G1434" s="1953"/>
      <c r="H1434" s="1953"/>
      <c r="I1434"/>
      <c r="J1434"/>
      <c r="K1434"/>
    </row>
    <row r="1435" spans="2:11" x14ac:dyDescent="0.35">
      <c r="B1435" s="1953"/>
      <c r="C1435" s="1953"/>
      <c r="D1435" s="1953"/>
      <c r="E1435" s="1953"/>
      <c r="F1435" s="1953"/>
      <c r="G1435" s="1953"/>
      <c r="H1435" s="1953"/>
      <c r="I1435"/>
      <c r="J1435"/>
      <c r="K1435"/>
    </row>
    <row r="1436" spans="2:11" x14ac:dyDescent="0.35">
      <c r="B1436" s="1953"/>
      <c r="C1436" s="1953"/>
      <c r="D1436" s="1953"/>
      <c r="E1436" s="1953"/>
      <c r="F1436" s="1953"/>
      <c r="G1436" s="1953"/>
      <c r="H1436" s="1953"/>
      <c r="I1436"/>
      <c r="J1436"/>
      <c r="K1436"/>
    </row>
    <row r="1437" spans="2:11" x14ac:dyDescent="0.35">
      <c r="B1437" s="1953"/>
      <c r="C1437" s="1953"/>
      <c r="D1437" s="1953"/>
      <c r="E1437" s="1953"/>
      <c r="F1437" s="1953"/>
      <c r="G1437" s="1953"/>
      <c r="H1437" s="1953"/>
      <c r="I1437"/>
      <c r="J1437"/>
      <c r="K1437"/>
    </row>
    <row r="1438" spans="2:11" x14ac:dyDescent="0.35">
      <c r="B1438" s="1953"/>
      <c r="C1438" s="1953"/>
      <c r="D1438" s="1953"/>
      <c r="E1438" s="1953"/>
      <c r="F1438" s="1953"/>
      <c r="G1438" s="1953"/>
      <c r="H1438" s="1953"/>
      <c r="I1438"/>
      <c r="J1438"/>
      <c r="K1438"/>
    </row>
    <row r="1439" spans="2:11" x14ac:dyDescent="0.35">
      <c r="B1439" s="1953"/>
      <c r="C1439" s="1953"/>
      <c r="D1439" s="1953"/>
      <c r="E1439" s="1953"/>
      <c r="F1439" s="1953"/>
      <c r="G1439" s="1953"/>
      <c r="H1439" s="1953"/>
      <c r="I1439"/>
      <c r="J1439"/>
      <c r="K1439"/>
    </row>
    <row r="1440" spans="2:11" x14ac:dyDescent="0.35">
      <c r="B1440" s="1953"/>
      <c r="C1440" s="1953"/>
      <c r="D1440" s="1953"/>
      <c r="E1440" s="1953"/>
      <c r="F1440" s="1953"/>
      <c r="G1440" s="1953"/>
      <c r="H1440" s="1953"/>
      <c r="I1440"/>
      <c r="J1440"/>
      <c r="K1440"/>
    </row>
    <row r="1441" spans="2:11" x14ac:dyDescent="0.35">
      <c r="B1441" s="1953"/>
      <c r="C1441" s="1953"/>
      <c r="D1441" s="1953"/>
      <c r="E1441" s="1953"/>
      <c r="F1441" s="1953"/>
      <c r="G1441" s="1953"/>
      <c r="H1441" s="1953"/>
      <c r="I1441"/>
      <c r="J1441"/>
      <c r="K1441"/>
    </row>
    <row r="1442" spans="2:11" x14ac:dyDescent="0.35">
      <c r="B1442" s="1953"/>
      <c r="C1442" s="1953"/>
      <c r="D1442" s="1953"/>
      <c r="E1442" s="1953"/>
      <c r="F1442" s="1953"/>
      <c r="G1442" s="1953"/>
      <c r="H1442" s="1953"/>
      <c r="I1442"/>
      <c r="J1442"/>
      <c r="K1442"/>
    </row>
    <row r="1443" spans="2:11" x14ac:dyDescent="0.35">
      <c r="B1443" s="1953"/>
      <c r="C1443" s="1953"/>
      <c r="D1443" s="1953"/>
      <c r="E1443" s="1953"/>
      <c r="F1443" s="1953"/>
      <c r="G1443" s="1953"/>
      <c r="H1443" s="1953"/>
      <c r="I1443"/>
      <c r="J1443"/>
      <c r="K1443"/>
    </row>
    <row r="1444" spans="2:11" x14ac:dyDescent="0.35">
      <c r="B1444" s="1953"/>
      <c r="C1444" s="1953"/>
      <c r="D1444" s="1953"/>
      <c r="E1444" s="1953"/>
      <c r="F1444" s="1953"/>
      <c r="G1444" s="1953"/>
      <c r="H1444" s="1953"/>
      <c r="I1444"/>
      <c r="J1444"/>
      <c r="K1444"/>
    </row>
    <row r="1445" spans="2:11" x14ac:dyDescent="0.35">
      <c r="B1445" s="1953"/>
      <c r="C1445" s="1953"/>
      <c r="D1445" s="1953"/>
      <c r="E1445" s="1953"/>
      <c r="F1445" s="1953"/>
      <c r="G1445" s="1953"/>
      <c r="H1445" s="1953"/>
      <c r="I1445"/>
      <c r="J1445"/>
      <c r="K1445"/>
    </row>
    <row r="1446" spans="2:11" x14ac:dyDescent="0.35">
      <c r="B1446" s="1953"/>
      <c r="C1446" s="1953"/>
      <c r="D1446" s="1953"/>
      <c r="E1446" s="1953"/>
      <c r="F1446" s="1953"/>
      <c r="G1446" s="1953"/>
      <c r="H1446" s="1953"/>
      <c r="I1446"/>
      <c r="J1446"/>
      <c r="K1446"/>
    </row>
    <row r="1447" spans="2:11" x14ac:dyDescent="0.35">
      <c r="B1447" s="1953"/>
      <c r="C1447" s="1953"/>
      <c r="D1447" s="1953"/>
      <c r="E1447" s="1953"/>
      <c r="F1447" s="1953"/>
      <c r="G1447" s="1953"/>
      <c r="H1447" s="1953"/>
      <c r="I1447"/>
      <c r="J1447"/>
      <c r="K1447"/>
    </row>
    <row r="1448" spans="2:11" x14ac:dyDescent="0.35">
      <c r="B1448" s="1953"/>
      <c r="C1448" s="1953"/>
      <c r="D1448" s="1953"/>
      <c r="E1448" s="1953"/>
      <c r="F1448" s="1953"/>
      <c r="G1448" s="1953"/>
      <c r="H1448" s="1953"/>
      <c r="I1448"/>
      <c r="J1448"/>
      <c r="K1448"/>
    </row>
    <row r="1449" spans="2:11" x14ac:dyDescent="0.35">
      <c r="B1449" s="1953"/>
      <c r="C1449" s="1953"/>
      <c r="D1449" s="1953"/>
      <c r="E1449" s="1953"/>
      <c r="F1449" s="1953"/>
      <c r="G1449" s="1953"/>
      <c r="H1449" s="1953"/>
      <c r="I1449"/>
      <c r="J1449"/>
      <c r="K1449"/>
    </row>
    <row r="1450" spans="2:11" x14ac:dyDescent="0.35">
      <c r="B1450" s="1953"/>
      <c r="C1450" s="1953"/>
      <c r="D1450" s="1953"/>
      <c r="E1450" s="1953"/>
      <c r="F1450" s="1953"/>
      <c r="G1450" s="1953"/>
      <c r="H1450" s="1953"/>
      <c r="I1450"/>
      <c r="J1450"/>
      <c r="K1450"/>
    </row>
    <row r="1451" spans="2:11" x14ac:dyDescent="0.35">
      <c r="B1451" s="1953"/>
      <c r="C1451" s="1953"/>
      <c r="D1451" s="1953"/>
      <c r="E1451" s="1953"/>
      <c r="F1451" s="1953"/>
      <c r="G1451" s="1953"/>
      <c r="H1451" s="1953"/>
      <c r="I1451"/>
      <c r="J1451"/>
      <c r="K1451"/>
    </row>
    <row r="1452" spans="2:11" x14ac:dyDescent="0.35">
      <c r="B1452" s="1953"/>
      <c r="C1452" s="1953"/>
      <c r="D1452" s="1953"/>
      <c r="E1452" s="1953"/>
      <c r="F1452" s="1953"/>
      <c r="G1452" s="1953"/>
      <c r="H1452" s="1953"/>
      <c r="I1452"/>
      <c r="J1452"/>
      <c r="K1452"/>
    </row>
    <row r="1453" spans="2:11" x14ac:dyDescent="0.35">
      <c r="B1453" s="1953"/>
      <c r="C1453" s="1953"/>
      <c r="D1453" s="1953"/>
      <c r="E1453" s="1953"/>
      <c r="F1453" s="1953"/>
      <c r="G1453" s="1953"/>
      <c r="H1453" s="1953"/>
      <c r="I1453"/>
      <c r="J1453"/>
      <c r="K1453"/>
    </row>
    <row r="1454" spans="2:11" x14ac:dyDescent="0.35">
      <c r="B1454" s="1953"/>
      <c r="C1454" s="1953"/>
      <c r="D1454" s="1953"/>
      <c r="E1454" s="1953"/>
      <c r="F1454" s="1953"/>
      <c r="G1454" s="1953"/>
      <c r="H1454" s="1953"/>
      <c r="I1454"/>
      <c r="J1454"/>
      <c r="K1454"/>
    </row>
    <row r="1455" spans="2:11" x14ac:dyDescent="0.35">
      <c r="B1455" s="1953"/>
      <c r="C1455" s="1953"/>
      <c r="D1455" s="1953"/>
      <c r="E1455" s="1953"/>
      <c r="F1455" s="1953"/>
      <c r="G1455" s="1953"/>
      <c r="H1455" s="1953"/>
      <c r="I1455"/>
      <c r="J1455"/>
      <c r="K1455"/>
    </row>
    <row r="1456" spans="2:11" x14ac:dyDescent="0.35">
      <c r="B1456" s="1953"/>
      <c r="C1456" s="1953"/>
      <c r="D1456" s="1953"/>
      <c r="E1456" s="1953"/>
      <c r="F1456" s="1953"/>
      <c r="G1456" s="1953"/>
      <c r="H1456" s="1953"/>
      <c r="I1456"/>
      <c r="J1456"/>
      <c r="K1456"/>
    </row>
    <row r="1457" spans="2:11" x14ac:dyDescent="0.35">
      <c r="B1457" s="1953"/>
      <c r="C1457" s="1953"/>
      <c r="D1457" s="1953"/>
      <c r="E1457" s="1953"/>
      <c r="F1457" s="1953"/>
      <c r="G1457" s="1953"/>
      <c r="H1457" s="1953"/>
      <c r="I1457"/>
      <c r="J1457"/>
      <c r="K1457"/>
    </row>
    <row r="1458" spans="2:11" x14ac:dyDescent="0.35">
      <c r="B1458" s="1953"/>
      <c r="C1458" s="1953"/>
      <c r="D1458" s="1953"/>
      <c r="E1458" s="1953"/>
      <c r="F1458" s="1953"/>
      <c r="G1458" s="1953"/>
      <c r="H1458" s="1953"/>
      <c r="I1458"/>
      <c r="J1458"/>
      <c r="K1458"/>
    </row>
    <row r="1459" spans="2:11" x14ac:dyDescent="0.35">
      <c r="B1459" s="1953"/>
      <c r="C1459" s="1953"/>
      <c r="D1459" s="1953"/>
      <c r="E1459" s="1953"/>
      <c r="F1459" s="1953"/>
      <c r="G1459" s="1953"/>
      <c r="H1459" s="1953"/>
      <c r="I1459"/>
      <c r="J1459"/>
      <c r="K1459"/>
    </row>
    <row r="1460" spans="2:11" x14ac:dyDescent="0.35">
      <c r="B1460" s="1953"/>
      <c r="C1460" s="1953"/>
      <c r="D1460" s="1953"/>
      <c r="E1460" s="1953"/>
      <c r="F1460" s="1953"/>
      <c r="G1460" s="1953"/>
      <c r="H1460" s="1953"/>
      <c r="I1460"/>
      <c r="J1460"/>
      <c r="K1460"/>
    </row>
    <row r="1461" spans="2:11" x14ac:dyDescent="0.35">
      <c r="B1461" s="1953"/>
      <c r="C1461" s="1953"/>
      <c r="D1461" s="1953"/>
      <c r="E1461" s="1953"/>
      <c r="F1461" s="1953"/>
      <c r="G1461" s="1953"/>
      <c r="H1461" s="1953"/>
      <c r="I1461"/>
      <c r="J1461"/>
      <c r="K1461"/>
    </row>
    <row r="1462" spans="2:11" x14ac:dyDescent="0.35">
      <c r="B1462" s="1953"/>
      <c r="C1462" s="1953"/>
      <c r="D1462" s="1953"/>
      <c r="E1462" s="1953"/>
      <c r="F1462" s="1953"/>
      <c r="G1462" s="1953"/>
      <c r="H1462" s="1953"/>
      <c r="I1462"/>
      <c r="J1462"/>
      <c r="K1462"/>
    </row>
    <row r="1463" spans="2:11" x14ac:dyDescent="0.35">
      <c r="B1463" s="1953"/>
      <c r="C1463" s="1953"/>
      <c r="D1463" s="1953"/>
      <c r="E1463" s="1953"/>
      <c r="F1463" s="1953"/>
      <c r="G1463" s="1953"/>
      <c r="H1463" s="1953"/>
      <c r="I1463"/>
      <c r="J1463"/>
      <c r="K1463"/>
    </row>
    <row r="1464" spans="2:11" x14ac:dyDescent="0.35">
      <c r="B1464" s="1953"/>
      <c r="C1464" s="1953"/>
      <c r="D1464" s="1953"/>
      <c r="E1464" s="1953"/>
      <c r="F1464" s="1953"/>
      <c r="G1464" s="1953"/>
      <c r="H1464" s="1953"/>
      <c r="I1464"/>
      <c r="J1464"/>
      <c r="K1464"/>
    </row>
    <row r="1465" spans="2:11" x14ac:dyDescent="0.35">
      <c r="B1465" s="1953"/>
      <c r="C1465" s="1953"/>
      <c r="D1465" s="1953"/>
      <c r="E1465" s="1953"/>
      <c r="F1465" s="1953"/>
      <c r="G1465" s="1953"/>
      <c r="H1465" s="1953"/>
      <c r="I1465"/>
      <c r="J1465"/>
      <c r="K1465"/>
    </row>
    <row r="1466" spans="2:11" x14ac:dyDescent="0.35">
      <c r="B1466" s="1953"/>
      <c r="C1466" s="1953"/>
      <c r="D1466" s="1953"/>
      <c r="E1466" s="1953"/>
      <c r="F1466" s="1953"/>
      <c r="G1466" s="1953"/>
      <c r="H1466" s="1953"/>
      <c r="I1466"/>
      <c r="J1466"/>
      <c r="K1466"/>
    </row>
    <row r="1467" spans="2:11" x14ac:dyDescent="0.35">
      <c r="B1467" s="1953"/>
      <c r="C1467" s="1953"/>
      <c r="D1467" s="1953"/>
      <c r="E1467" s="1953"/>
      <c r="F1467" s="1953"/>
      <c r="G1467" s="1953"/>
      <c r="H1467" s="1953"/>
      <c r="I1467"/>
      <c r="J1467"/>
      <c r="K1467"/>
    </row>
    <row r="1468" spans="2:11" x14ac:dyDescent="0.35">
      <c r="B1468" s="1953"/>
      <c r="C1468" s="1953"/>
      <c r="D1468" s="1953"/>
      <c r="E1468" s="1953"/>
      <c r="F1468" s="1953"/>
      <c r="G1468" s="1953"/>
      <c r="H1468" s="1953"/>
      <c r="I1468"/>
      <c r="J1468"/>
      <c r="K1468"/>
    </row>
    <row r="1469" spans="2:11" x14ac:dyDescent="0.35">
      <c r="B1469" s="1953"/>
      <c r="C1469" s="1953"/>
      <c r="D1469" s="1953"/>
      <c r="E1469" s="1953"/>
      <c r="F1469" s="1953"/>
      <c r="G1469" s="1953"/>
      <c r="H1469" s="1953"/>
      <c r="I1469"/>
      <c r="J1469"/>
      <c r="K1469"/>
    </row>
    <row r="1470" spans="2:11" x14ac:dyDescent="0.35">
      <c r="B1470" s="1953"/>
      <c r="C1470" s="1953"/>
      <c r="D1470" s="1953"/>
      <c r="E1470" s="1953"/>
      <c r="F1470" s="1953"/>
      <c r="G1470" s="1953"/>
      <c r="H1470" s="1953"/>
      <c r="I1470"/>
      <c r="J1470"/>
      <c r="K1470"/>
    </row>
    <row r="1471" spans="2:11" x14ac:dyDescent="0.35">
      <c r="B1471" s="1953"/>
      <c r="C1471" s="1953"/>
      <c r="D1471" s="1953"/>
      <c r="E1471" s="1953"/>
      <c r="F1471" s="1953"/>
      <c r="G1471" s="1953"/>
      <c r="H1471" s="1953"/>
      <c r="I1471"/>
      <c r="J1471"/>
      <c r="K1471"/>
    </row>
    <row r="1472" spans="2:11" x14ac:dyDescent="0.35">
      <c r="B1472" s="1953"/>
      <c r="C1472" s="1953"/>
      <c r="D1472" s="1953"/>
      <c r="E1472" s="1953"/>
      <c r="F1472" s="1953"/>
      <c r="G1472" s="1953"/>
      <c r="H1472" s="1953"/>
      <c r="I1472"/>
      <c r="J1472"/>
      <c r="K1472"/>
    </row>
    <row r="1473" spans="2:11" x14ac:dyDescent="0.35">
      <c r="B1473" s="1953"/>
      <c r="C1473" s="1953"/>
      <c r="D1473" s="1953"/>
      <c r="E1473" s="1953"/>
      <c r="F1473" s="1953"/>
      <c r="G1473" s="1953"/>
      <c r="H1473" s="1953"/>
      <c r="I1473"/>
      <c r="J1473"/>
      <c r="K1473"/>
    </row>
    <row r="1474" spans="2:11" x14ac:dyDescent="0.35">
      <c r="B1474" s="1953"/>
      <c r="C1474" s="1953"/>
      <c r="D1474" s="1953"/>
      <c r="E1474" s="1953"/>
      <c r="F1474" s="1953"/>
      <c r="G1474" s="1953"/>
      <c r="H1474" s="1953"/>
      <c r="I1474"/>
      <c r="J1474"/>
      <c r="K1474"/>
    </row>
    <row r="1475" spans="2:11" x14ac:dyDescent="0.35">
      <c r="B1475" s="1953"/>
      <c r="C1475" s="1953"/>
      <c r="D1475" s="1953"/>
      <c r="E1475" s="1953"/>
      <c r="F1475" s="1953"/>
      <c r="G1475" s="1953"/>
      <c r="H1475" s="1953"/>
      <c r="I1475"/>
      <c r="J1475"/>
      <c r="K1475"/>
    </row>
    <row r="1476" spans="2:11" x14ac:dyDescent="0.35">
      <c r="B1476" s="1953"/>
      <c r="C1476" s="1953"/>
      <c r="D1476" s="1953"/>
      <c r="E1476" s="1953"/>
      <c r="F1476" s="1953"/>
      <c r="G1476" s="1953"/>
      <c r="H1476" s="1953"/>
      <c r="I1476"/>
      <c r="J1476"/>
      <c r="K1476"/>
    </row>
    <row r="1477" spans="2:11" x14ac:dyDescent="0.35">
      <c r="B1477" s="1953"/>
      <c r="C1477" s="1953"/>
      <c r="D1477" s="1953"/>
      <c r="E1477" s="1953"/>
      <c r="F1477" s="1953"/>
      <c r="G1477" s="1953"/>
      <c r="H1477" s="1953"/>
      <c r="I1477"/>
      <c r="J1477"/>
      <c r="K1477"/>
    </row>
    <row r="1478" spans="2:11" x14ac:dyDescent="0.35">
      <c r="B1478" s="1953"/>
      <c r="C1478" s="1953"/>
      <c r="D1478" s="1953"/>
      <c r="E1478" s="1953"/>
      <c r="F1478" s="1953"/>
      <c r="G1478" s="1953"/>
      <c r="H1478" s="1953"/>
      <c r="I1478"/>
      <c r="J1478"/>
      <c r="K1478"/>
    </row>
    <row r="1479" spans="2:11" x14ac:dyDescent="0.35">
      <c r="B1479" s="1953"/>
      <c r="C1479" s="1953"/>
      <c r="D1479" s="1953"/>
      <c r="E1479" s="1953"/>
      <c r="F1479" s="1953"/>
      <c r="G1479" s="1953"/>
      <c r="H1479" s="1953"/>
      <c r="I1479"/>
      <c r="J1479"/>
      <c r="K1479"/>
    </row>
    <row r="1480" spans="2:11" x14ac:dyDescent="0.35">
      <c r="B1480" s="1953"/>
      <c r="C1480" s="1953"/>
      <c r="D1480" s="1953"/>
      <c r="E1480" s="1953"/>
      <c r="F1480" s="1953"/>
      <c r="G1480" s="1953"/>
      <c r="H1480" s="1953"/>
      <c r="I1480"/>
      <c r="J1480"/>
      <c r="K1480"/>
    </row>
    <row r="1481" spans="2:11" x14ac:dyDescent="0.35">
      <c r="B1481" s="1953"/>
      <c r="C1481" s="1953"/>
      <c r="D1481" s="1953"/>
      <c r="E1481" s="1953"/>
      <c r="F1481" s="1953"/>
      <c r="G1481" s="1953"/>
      <c r="H1481" s="1953"/>
      <c r="I1481"/>
      <c r="J1481"/>
      <c r="K1481"/>
    </row>
    <row r="1482" spans="2:11" x14ac:dyDescent="0.35">
      <c r="B1482" s="1953"/>
      <c r="C1482" s="1953"/>
      <c r="D1482" s="1953"/>
      <c r="E1482" s="1953"/>
      <c r="F1482" s="1953"/>
      <c r="G1482" s="1953"/>
      <c r="H1482" s="1953"/>
      <c r="I1482"/>
      <c r="J1482"/>
      <c r="K1482"/>
    </row>
    <row r="1483" spans="2:11" x14ac:dyDescent="0.35">
      <c r="B1483" s="1953"/>
      <c r="C1483" s="1953"/>
      <c r="D1483" s="1953"/>
      <c r="E1483" s="1953"/>
      <c r="F1483" s="1953"/>
      <c r="G1483" s="1953"/>
      <c r="H1483" s="1953"/>
      <c r="I1483"/>
      <c r="J1483"/>
      <c r="K1483"/>
    </row>
    <row r="1484" spans="2:11" x14ac:dyDescent="0.35">
      <c r="B1484" s="1953"/>
      <c r="C1484" s="1953"/>
      <c r="D1484" s="1953"/>
      <c r="E1484" s="1953"/>
      <c r="F1484" s="1953"/>
      <c r="G1484" s="1953"/>
      <c r="H1484" s="1953"/>
      <c r="I1484"/>
      <c r="J1484"/>
      <c r="K1484"/>
    </row>
    <row r="1485" spans="2:11" x14ac:dyDescent="0.35">
      <c r="B1485" s="1953"/>
      <c r="C1485" s="1953"/>
      <c r="D1485" s="1953"/>
      <c r="E1485" s="1953"/>
      <c r="F1485" s="1953"/>
      <c r="G1485" s="1953"/>
      <c r="H1485" s="1953"/>
      <c r="I1485"/>
      <c r="J1485"/>
      <c r="K1485"/>
    </row>
    <row r="1486" spans="2:11" x14ac:dyDescent="0.35">
      <c r="B1486" s="1953"/>
      <c r="C1486" s="1953"/>
      <c r="D1486" s="1953"/>
      <c r="E1486" s="1953"/>
      <c r="F1486" s="1953"/>
      <c r="G1486" s="1953"/>
      <c r="H1486" s="1953"/>
      <c r="I1486"/>
      <c r="J1486"/>
      <c r="K1486"/>
    </row>
    <row r="1487" spans="2:11" x14ac:dyDescent="0.35">
      <c r="B1487" s="1953"/>
      <c r="C1487" s="1953"/>
      <c r="D1487" s="1953"/>
      <c r="E1487" s="1953"/>
      <c r="F1487" s="1953"/>
      <c r="G1487" s="1953"/>
      <c r="H1487" s="1953"/>
      <c r="I1487"/>
      <c r="J1487"/>
      <c r="K1487"/>
    </row>
    <row r="1488" spans="2:11" x14ac:dyDescent="0.35">
      <c r="B1488" s="1953"/>
      <c r="C1488" s="1953"/>
      <c r="D1488" s="1953"/>
      <c r="E1488" s="1953"/>
      <c r="F1488" s="1953"/>
      <c r="G1488" s="1953"/>
      <c r="H1488" s="1953"/>
      <c r="I1488"/>
      <c r="J1488"/>
      <c r="K1488"/>
    </row>
    <row r="1489" spans="2:11" x14ac:dyDescent="0.35">
      <c r="B1489" s="1953"/>
      <c r="C1489" s="1953"/>
      <c r="D1489" s="1953"/>
      <c r="E1489" s="1953"/>
      <c r="F1489" s="1953"/>
      <c r="G1489" s="1953"/>
      <c r="H1489" s="1953"/>
      <c r="I1489"/>
      <c r="J1489"/>
      <c r="K1489"/>
    </row>
    <row r="1490" spans="2:11" x14ac:dyDescent="0.35">
      <c r="B1490" s="1953"/>
      <c r="C1490" s="1953"/>
      <c r="D1490" s="1953"/>
      <c r="E1490" s="1953"/>
      <c r="F1490" s="1953"/>
      <c r="G1490" s="1953"/>
      <c r="H1490" s="1953"/>
      <c r="I1490"/>
      <c r="J1490"/>
      <c r="K1490"/>
    </row>
    <row r="1491" spans="2:11" x14ac:dyDescent="0.35">
      <c r="B1491" s="1953"/>
      <c r="C1491" s="1953"/>
      <c r="D1491" s="1953"/>
      <c r="E1491" s="1953"/>
      <c r="F1491" s="1953"/>
      <c r="G1491" s="1953"/>
      <c r="H1491" s="1953"/>
      <c r="I1491"/>
      <c r="J1491"/>
      <c r="K1491"/>
    </row>
    <row r="1492" spans="2:11" x14ac:dyDescent="0.35">
      <c r="B1492" s="1953"/>
      <c r="C1492" s="1953"/>
      <c r="D1492" s="1953"/>
      <c r="E1492" s="1953"/>
      <c r="F1492" s="1953"/>
      <c r="G1492" s="1953"/>
      <c r="H1492" s="1953"/>
      <c r="I1492"/>
      <c r="J1492"/>
      <c r="K1492"/>
    </row>
    <row r="1493" spans="2:11" x14ac:dyDescent="0.35">
      <c r="B1493" s="1953"/>
      <c r="C1493" s="1953"/>
      <c r="D1493" s="1953"/>
      <c r="E1493" s="1953"/>
      <c r="F1493" s="1953"/>
      <c r="G1493" s="1953"/>
      <c r="H1493" s="1953"/>
      <c r="I1493"/>
      <c r="J1493"/>
      <c r="K1493"/>
    </row>
    <row r="1494" spans="2:11" x14ac:dyDescent="0.35">
      <c r="B1494" s="1953"/>
      <c r="C1494" s="1953"/>
      <c r="D1494" s="1953"/>
      <c r="E1494" s="1953"/>
      <c r="F1494" s="1953"/>
      <c r="G1494" s="1953"/>
      <c r="H1494" s="1953"/>
      <c r="I1494"/>
      <c r="J1494"/>
      <c r="K1494"/>
    </row>
    <row r="1495" spans="2:11" x14ac:dyDescent="0.35">
      <c r="B1495" s="1953"/>
      <c r="C1495" s="1953"/>
      <c r="D1495" s="1953"/>
      <c r="E1495" s="1953"/>
      <c r="F1495" s="1953"/>
      <c r="G1495" s="1953"/>
      <c r="H1495" s="1953"/>
      <c r="I1495"/>
      <c r="J1495"/>
      <c r="K1495"/>
    </row>
    <row r="1496" spans="2:11" x14ac:dyDescent="0.35">
      <c r="B1496" s="1953"/>
      <c r="C1496" s="1953"/>
      <c r="D1496" s="1953"/>
      <c r="E1496" s="1953"/>
      <c r="F1496" s="1953"/>
      <c r="G1496" s="1953"/>
      <c r="H1496" s="1953"/>
      <c r="I1496"/>
      <c r="J1496"/>
      <c r="K1496"/>
    </row>
    <row r="1497" spans="2:11" x14ac:dyDescent="0.35">
      <c r="B1497" s="1953"/>
      <c r="C1497" s="1953"/>
      <c r="D1497" s="1953"/>
      <c r="E1497" s="1953"/>
      <c r="F1497" s="1953"/>
      <c r="G1497" s="1953"/>
      <c r="H1497" s="1953"/>
      <c r="I1497"/>
      <c r="J1497"/>
      <c r="K1497"/>
    </row>
    <row r="1498" spans="2:11" x14ac:dyDescent="0.35">
      <c r="B1498" s="1953"/>
      <c r="C1498" s="1953"/>
      <c r="D1498" s="1953"/>
      <c r="E1498" s="1953"/>
      <c r="F1498" s="1953"/>
      <c r="G1498" s="1953"/>
      <c r="H1498" s="1953"/>
      <c r="I1498"/>
      <c r="J1498"/>
      <c r="K1498"/>
    </row>
    <row r="1499" spans="2:11" x14ac:dyDescent="0.35">
      <c r="B1499" s="1953"/>
      <c r="C1499" s="1953"/>
      <c r="D1499" s="1953"/>
      <c r="E1499" s="1953"/>
      <c r="F1499" s="1953"/>
      <c r="G1499" s="1953"/>
      <c r="H1499" s="1953"/>
      <c r="I1499"/>
      <c r="J1499"/>
      <c r="K1499"/>
    </row>
    <row r="1500" spans="2:11" x14ac:dyDescent="0.35">
      <c r="B1500" s="1953"/>
      <c r="C1500" s="1953"/>
      <c r="D1500" s="1953"/>
      <c r="E1500" s="1953"/>
      <c r="F1500" s="1953"/>
      <c r="G1500" s="1953"/>
      <c r="H1500" s="1953"/>
      <c r="I1500"/>
      <c r="J1500"/>
      <c r="K1500"/>
    </row>
    <row r="1501" spans="2:11" x14ac:dyDescent="0.35">
      <c r="B1501" s="1953"/>
      <c r="C1501" s="1953"/>
      <c r="D1501" s="1953"/>
      <c r="E1501" s="1953"/>
      <c r="F1501" s="1953"/>
      <c r="G1501" s="1953"/>
      <c r="H1501" s="1953"/>
      <c r="I1501"/>
      <c r="J1501"/>
      <c r="K1501"/>
    </row>
    <row r="1502" spans="2:11" x14ac:dyDescent="0.35">
      <c r="B1502" s="1953"/>
      <c r="C1502" s="1953"/>
      <c r="D1502" s="1953"/>
      <c r="E1502" s="1953"/>
      <c r="F1502" s="1953"/>
      <c r="G1502" s="1953"/>
      <c r="H1502" s="1953"/>
      <c r="I1502"/>
      <c r="J1502"/>
      <c r="K1502"/>
    </row>
    <row r="1503" spans="2:11" x14ac:dyDescent="0.35">
      <c r="B1503" s="1953"/>
      <c r="C1503" s="1953"/>
      <c r="D1503" s="1953"/>
      <c r="E1503" s="1953"/>
      <c r="F1503" s="1953"/>
      <c r="G1503" s="1953"/>
      <c r="H1503" s="1953"/>
      <c r="I1503"/>
      <c r="J1503"/>
      <c r="K1503"/>
    </row>
    <row r="1504" spans="2:11" x14ac:dyDescent="0.35">
      <c r="B1504" s="1953"/>
      <c r="C1504" s="1953"/>
      <c r="D1504" s="1953"/>
      <c r="E1504" s="1953"/>
      <c r="F1504" s="1953"/>
      <c r="G1504" s="1953"/>
      <c r="H1504" s="1953"/>
      <c r="I1504"/>
      <c r="J1504"/>
      <c r="K1504"/>
    </row>
    <row r="1505" spans="2:11" x14ac:dyDescent="0.35">
      <c r="B1505" s="1953"/>
      <c r="C1505" s="1953"/>
      <c r="D1505" s="1953"/>
      <c r="E1505" s="1953"/>
      <c r="F1505" s="1953"/>
      <c r="G1505" s="1953"/>
      <c r="H1505" s="1953"/>
      <c r="I1505"/>
      <c r="J1505"/>
      <c r="K1505"/>
    </row>
    <row r="1506" spans="2:11" x14ac:dyDescent="0.35">
      <c r="B1506" s="1953"/>
      <c r="C1506" s="1953"/>
      <c r="D1506" s="1953"/>
      <c r="E1506" s="1953"/>
      <c r="F1506" s="1953"/>
      <c r="G1506" s="1953"/>
      <c r="H1506" s="1953"/>
      <c r="I1506"/>
      <c r="J1506"/>
      <c r="K1506"/>
    </row>
    <row r="1507" spans="2:11" x14ac:dyDescent="0.35">
      <c r="B1507" s="1953"/>
      <c r="C1507" s="1953"/>
      <c r="D1507" s="1953"/>
      <c r="E1507" s="1953"/>
      <c r="F1507" s="1953"/>
      <c r="G1507" s="1953"/>
      <c r="H1507" s="1953"/>
      <c r="I1507"/>
      <c r="J1507"/>
      <c r="K1507"/>
    </row>
    <row r="1508" spans="2:11" x14ac:dyDescent="0.35">
      <c r="B1508" s="1953"/>
      <c r="C1508" s="1953"/>
      <c r="D1508" s="1953"/>
      <c r="E1508" s="1953"/>
      <c r="F1508" s="1953"/>
      <c r="G1508" s="1953"/>
      <c r="H1508" s="1953"/>
      <c r="I1508"/>
      <c r="J1508"/>
      <c r="K1508"/>
    </row>
    <row r="1509" spans="2:11" x14ac:dyDescent="0.35">
      <c r="B1509" s="1953"/>
      <c r="C1509" s="1953"/>
      <c r="D1509" s="1953"/>
      <c r="E1509" s="1953"/>
      <c r="F1509" s="1953"/>
      <c r="G1509" s="1953"/>
      <c r="H1509" s="1953"/>
      <c r="I1509"/>
      <c r="J1509"/>
      <c r="K1509"/>
    </row>
    <row r="1510" spans="2:11" x14ac:dyDescent="0.35">
      <c r="B1510" s="1953"/>
      <c r="C1510" s="1953"/>
      <c r="D1510" s="1953"/>
      <c r="E1510" s="1953"/>
      <c r="F1510" s="1953"/>
      <c r="G1510" s="1953"/>
      <c r="H1510" s="1953"/>
      <c r="I1510"/>
      <c r="J1510"/>
      <c r="K1510"/>
    </row>
    <row r="1511" spans="2:11" x14ac:dyDescent="0.35">
      <c r="B1511" s="1953"/>
      <c r="C1511" s="1953"/>
      <c r="D1511" s="1953"/>
      <c r="E1511" s="1953"/>
      <c r="F1511" s="1953"/>
      <c r="G1511" s="1953"/>
      <c r="H1511" s="1953"/>
      <c r="I1511"/>
      <c r="J1511"/>
      <c r="K1511"/>
    </row>
    <row r="1512" spans="2:11" x14ac:dyDescent="0.35">
      <c r="B1512" s="1953"/>
      <c r="C1512" s="1953"/>
      <c r="D1512" s="1953"/>
      <c r="E1512" s="1953"/>
      <c r="F1512" s="1953"/>
      <c r="G1512" s="1953"/>
      <c r="H1512" s="1953"/>
      <c r="I1512"/>
      <c r="J1512"/>
      <c r="K1512"/>
    </row>
    <row r="1513" spans="2:11" x14ac:dyDescent="0.35">
      <c r="B1513" s="1953"/>
      <c r="C1513" s="1953"/>
      <c r="D1513" s="1953"/>
      <c r="E1513" s="1953"/>
      <c r="F1513" s="1953"/>
      <c r="G1513" s="1953"/>
      <c r="H1513" s="1953"/>
      <c r="I1513"/>
      <c r="J1513"/>
      <c r="K1513"/>
    </row>
    <row r="1514" spans="2:11" x14ac:dyDescent="0.35">
      <c r="B1514" s="1953"/>
      <c r="C1514" s="1953"/>
      <c r="D1514" s="1953"/>
      <c r="E1514" s="1953"/>
      <c r="F1514" s="1953"/>
      <c r="G1514" s="1953"/>
      <c r="H1514" s="1953"/>
      <c r="I1514"/>
      <c r="J1514"/>
      <c r="K1514"/>
    </row>
    <row r="1515" spans="2:11" x14ac:dyDescent="0.35">
      <c r="B1515" s="1953"/>
      <c r="C1515" s="1953"/>
      <c r="D1515" s="1953"/>
      <c r="E1515" s="1953"/>
      <c r="F1515" s="1953"/>
      <c r="G1515" s="1953"/>
      <c r="H1515" s="1953"/>
      <c r="I1515"/>
      <c r="J1515"/>
      <c r="K1515"/>
    </row>
    <row r="1516" spans="2:11" x14ac:dyDescent="0.35">
      <c r="B1516" s="1953"/>
      <c r="C1516" s="1953"/>
      <c r="D1516" s="1953"/>
      <c r="E1516" s="1953"/>
      <c r="F1516" s="1953"/>
      <c r="G1516" s="1953"/>
      <c r="H1516" s="1953"/>
      <c r="I1516"/>
      <c r="J1516"/>
      <c r="K1516"/>
    </row>
    <row r="1517" spans="2:11" x14ac:dyDescent="0.35">
      <c r="B1517" s="1953"/>
      <c r="C1517" s="1953"/>
      <c r="D1517" s="1953"/>
      <c r="E1517" s="1953"/>
      <c r="F1517" s="1953"/>
      <c r="G1517" s="1953"/>
      <c r="H1517" s="1953"/>
      <c r="I1517"/>
      <c r="J1517"/>
      <c r="K1517"/>
    </row>
    <row r="1518" spans="2:11" x14ac:dyDescent="0.35">
      <c r="B1518" s="1953"/>
      <c r="C1518" s="1953"/>
      <c r="D1518" s="1953"/>
      <c r="E1518" s="1953"/>
      <c r="F1518" s="1953"/>
      <c r="G1518" s="1953"/>
      <c r="H1518" s="1953"/>
      <c r="I1518"/>
      <c r="J1518"/>
      <c r="K1518"/>
    </row>
    <row r="1519" spans="2:11" x14ac:dyDescent="0.35">
      <c r="B1519" s="1953"/>
      <c r="C1519" s="1953"/>
      <c r="D1519" s="1953"/>
      <c r="E1519" s="1953"/>
      <c r="F1519" s="1953"/>
      <c r="G1519" s="1953"/>
      <c r="H1519" s="1953"/>
      <c r="I1519"/>
      <c r="J1519"/>
      <c r="K1519"/>
    </row>
    <row r="1520" spans="2:11" x14ac:dyDescent="0.35">
      <c r="B1520" s="1953"/>
      <c r="C1520" s="1953"/>
      <c r="D1520" s="1953"/>
      <c r="E1520" s="1953"/>
      <c r="F1520" s="1953"/>
      <c r="G1520" s="1953"/>
      <c r="H1520" s="1953"/>
      <c r="I1520"/>
      <c r="J1520"/>
      <c r="K1520"/>
    </row>
    <row r="1521" spans="2:11" x14ac:dyDescent="0.35">
      <c r="B1521" s="1953"/>
      <c r="C1521" s="1953"/>
      <c r="D1521" s="1953"/>
      <c r="E1521" s="1953"/>
      <c r="F1521" s="1953"/>
      <c r="G1521" s="1953"/>
      <c r="H1521" s="1953"/>
      <c r="I1521"/>
      <c r="J1521"/>
      <c r="K1521"/>
    </row>
    <row r="1522" spans="2:11" x14ac:dyDescent="0.35">
      <c r="B1522" s="1953"/>
      <c r="C1522" s="1953"/>
      <c r="D1522" s="1953"/>
      <c r="E1522" s="1953"/>
      <c r="F1522" s="1953"/>
      <c r="G1522" s="1953"/>
      <c r="H1522" s="1953"/>
      <c r="I1522"/>
      <c r="J1522"/>
      <c r="K1522"/>
    </row>
    <row r="1523" spans="2:11" x14ac:dyDescent="0.35">
      <c r="B1523" s="1953"/>
      <c r="C1523" s="1953"/>
      <c r="D1523" s="1953"/>
      <c r="E1523" s="1953"/>
      <c r="F1523" s="1953"/>
      <c r="G1523" s="1953"/>
      <c r="H1523" s="1953"/>
      <c r="I1523"/>
      <c r="J1523"/>
      <c r="K1523"/>
    </row>
    <row r="1524" spans="2:11" x14ac:dyDescent="0.35">
      <c r="B1524" s="1953"/>
      <c r="C1524" s="1953"/>
      <c r="D1524" s="1953"/>
      <c r="E1524" s="1953"/>
      <c r="F1524" s="1953"/>
      <c r="G1524" s="1953"/>
      <c r="H1524" s="1953"/>
      <c r="I1524"/>
      <c r="J1524"/>
      <c r="K1524"/>
    </row>
    <row r="1525" spans="2:11" x14ac:dyDescent="0.35">
      <c r="B1525" s="1953"/>
      <c r="C1525" s="1953"/>
      <c r="D1525" s="1953"/>
      <c r="E1525" s="1953"/>
      <c r="F1525" s="1953"/>
      <c r="G1525" s="1953"/>
      <c r="H1525" s="1953"/>
      <c r="I1525"/>
      <c r="J1525"/>
      <c r="K1525"/>
    </row>
    <row r="1526" spans="2:11" x14ac:dyDescent="0.35">
      <c r="B1526" s="1953"/>
      <c r="C1526" s="1953"/>
      <c r="D1526" s="1953"/>
      <c r="E1526" s="1953"/>
      <c r="F1526" s="1953"/>
      <c r="G1526" s="1953"/>
      <c r="H1526" s="1953"/>
      <c r="I1526"/>
      <c r="J1526"/>
      <c r="K1526"/>
    </row>
    <row r="1527" spans="2:11" x14ac:dyDescent="0.35">
      <c r="B1527" s="1953"/>
      <c r="C1527" s="1953"/>
      <c r="D1527" s="1953"/>
      <c r="E1527" s="1953"/>
      <c r="F1527" s="1953"/>
      <c r="G1527" s="1953"/>
      <c r="H1527" s="1953"/>
      <c r="I1527"/>
      <c r="J1527"/>
      <c r="K1527"/>
    </row>
    <row r="1528" spans="2:11" x14ac:dyDescent="0.35">
      <c r="B1528" s="1953"/>
      <c r="C1528" s="1953"/>
      <c r="D1528" s="1953"/>
      <c r="E1528" s="1953"/>
      <c r="F1528" s="1953"/>
      <c r="G1528" s="1953"/>
      <c r="H1528" s="1953"/>
      <c r="I1528"/>
      <c r="J1528"/>
      <c r="K1528"/>
    </row>
    <row r="1529" spans="2:11" x14ac:dyDescent="0.35">
      <c r="B1529" s="1953"/>
      <c r="C1529" s="1953"/>
      <c r="D1529" s="1953"/>
      <c r="E1529" s="1953"/>
      <c r="F1529" s="1953"/>
      <c r="G1529" s="1953"/>
      <c r="H1529" s="1953"/>
      <c r="I1529"/>
      <c r="J1529"/>
      <c r="K1529"/>
    </row>
    <row r="1530" spans="2:11" x14ac:dyDescent="0.35">
      <c r="B1530" s="1953"/>
      <c r="C1530" s="1953"/>
      <c r="D1530" s="1953"/>
      <c r="E1530" s="1953"/>
      <c r="F1530" s="1953"/>
      <c r="G1530" s="1953"/>
      <c r="H1530" s="1953"/>
      <c r="I1530"/>
      <c r="J1530"/>
      <c r="K1530"/>
    </row>
    <row r="1531" spans="2:11" x14ac:dyDescent="0.35">
      <c r="B1531" s="1953"/>
      <c r="C1531" s="1953"/>
      <c r="D1531" s="1953"/>
      <c r="E1531" s="1953"/>
      <c r="F1531" s="1953"/>
      <c r="G1531" s="1953"/>
      <c r="H1531" s="1953"/>
      <c r="I1531"/>
      <c r="J1531"/>
      <c r="K1531"/>
    </row>
    <row r="1532" spans="2:11" x14ac:dyDescent="0.35">
      <c r="B1532" s="1953"/>
      <c r="C1532" s="1953"/>
      <c r="D1532" s="1953"/>
      <c r="E1532" s="1953"/>
      <c r="F1532" s="1953"/>
      <c r="G1532" s="1953"/>
      <c r="H1532" s="1953"/>
      <c r="I1532"/>
      <c r="J1532"/>
      <c r="K1532"/>
    </row>
    <row r="1533" spans="2:11" x14ac:dyDescent="0.35">
      <c r="B1533" s="1953"/>
      <c r="C1533" s="1953"/>
      <c r="D1533" s="1953"/>
      <c r="E1533" s="1953"/>
      <c r="F1533" s="1953"/>
      <c r="G1533" s="1953"/>
      <c r="H1533" s="1953"/>
      <c r="I1533"/>
      <c r="J1533"/>
      <c r="K1533"/>
    </row>
    <row r="1534" spans="2:11" x14ac:dyDescent="0.35">
      <c r="B1534" s="1953"/>
      <c r="C1534" s="1953"/>
      <c r="D1534" s="1953"/>
      <c r="E1534" s="1953"/>
      <c r="F1534" s="1953"/>
      <c r="G1534" s="1953"/>
      <c r="H1534" s="1953"/>
      <c r="I1534"/>
      <c r="J1534"/>
      <c r="K1534"/>
    </row>
    <row r="1535" spans="2:11" x14ac:dyDescent="0.35">
      <c r="B1535" s="1953"/>
      <c r="C1535" s="1953"/>
      <c r="D1535" s="1953"/>
      <c r="E1535" s="1953"/>
      <c r="F1535" s="1953"/>
      <c r="G1535" s="1953"/>
      <c r="H1535" s="1953"/>
      <c r="I1535"/>
      <c r="J1535"/>
      <c r="K1535"/>
    </row>
    <row r="1536" spans="2:11" x14ac:dyDescent="0.35">
      <c r="B1536" s="1953"/>
      <c r="C1536" s="1953"/>
      <c r="D1536" s="1953"/>
      <c r="E1536" s="1953"/>
      <c r="F1536" s="1953"/>
      <c r="G1536" s="1953"/>
      <c r="H1536" s="1953"/>
      <c r="I1536"/>
      <c r="J1536"/>
      <c r="K1536"/>
    </row>
    <row r="1537" spans="2:11" x14ac:dyDescent="0.35">
      <c r="B1537" s="1953"/>
      <c r="C1537" s="1953"/>
      <c r="D1537" s="1953"/>
      <c r="E1537" s="1953"/>
      <c r="F1537" s="1953"/>
      <c r="G1537" s="1953"/>
      <c r="H1537" s="1953"/>
      <c r="I1537"/>
      <c r="J1537"/>
      <c r="K1537"/>
    </row>
    <row r="1538" spans="2:11" x14ac:dyDescent="0.35">
      <c r="B1538" s="1953"/>
      <c r="C1538" s="1953"/>
      <c r="D1538" s="1953"/>
      <c r="E1538" s="1953"/>
      <c r="F1538" s="1953"/>
      <c r="G1538" s="1953"/>
      <c r="H1538" s="1953"/>
      <c r="I1538"/>
      <c r="J1538"/>
      <c r="K1538"/>
    </row>
    <row r="1539" spans="2:11" x14ac:dyDescent="0.35">
      <c r="B1539" s="1953"/>
      <c r="C1539" s="1953"/>
      <c r="D1539" s="1953"/>
      <c r="E1539" s="1953"/>
      <c r="F1539" s="1953"/>
      <c r="G1539" s="1953"/>
      <c r="H1539" s="1953"/>
      <c r="I1539"/>
      <c r="J1539"/>
      <c r="K1539"/>
    </row>
    <row r="1540" spans="2:11" x14ac:dyDescent="0.35">
      <c r="B1540" s="1953"/>
      <c r="C1540" s="1953"/>
      <c r="D1540" s="1953"/>
      <c r="E1540" s="1953"/>
      <c r="F1540" s="1953"/>
      <c r="G1540" s="1953"/>
      <c r="H1540" s="1953"/>
      <c r="I1540"/>
      <c r="J1540"/>
      <c r="K1540"/>
    </row>
    <row r="1541" spans="2:11" x14ac:dyDescent="0.35">
      <c r="B1541" s="1953"/>
      <c r="C1541" s="1953"/>
      <c r="D1541" s="1953"/>
      <c r="E1541" s="1953"/>
      <c r="F1541" s="1953"/>
      <c r="G1541" s="1953"/>
      <c r="H1541" s="1953"/>
      <c r="I1541"/>
      <c r="J1541"/>
      <c r="K1541"/>
    </row>
    <row r="1542" spans="2:11" x14ac:dyDescent="0.35">
      <c r="B1542" s="1953"/>
      <c r="C1542" s="1953"/>
      <c r="D1542" s="1953"/>
      <c r="E1542" s="1953"/>
      <c r="F1542" s="1953"/>
      <c r="G1542" s="1953"/>
      <c r="H1542" s="1953"/>
      <c r="I1542"/>
      <c r="J1542"/>
      <c r="K1542"/>
    </row>
    <row r="1543" spans="2:11" x14ac:dyDescent="0.35">
      <c r="B1543" s="1953"/>
      <c r="C1543" s="1953"/>
      <c r="D1543" s="1953"/>
      <c r="E1543" s="1953"/>
      <c r="F1543" s="1953"/>
      <c r="G1543" s="1953"/>
      <c r="H1543" s="1953"/>
      <c r="I1543"/>
      <c r="J1543"/>
      <c r="K1543"/>
    </row>
    <row r="1544" spans="2:11" x14ac:dyDescent="0.35">
      <c r="B1544" s="1953"/>
      <c r="C1544" s="1953"/>
      <c r="D1544" s="1953"/>
      <c r="E1544" s="1953"/>
      <c r="F1544" s="1953"/>
      <c r="G1544" s="1953"/>
      <c r="H1544" s="1953"/>
      <c r="I1544"/>
      <c r="J1544"/>
      <c r="K1544"/>
    </row>
    <row r="1545" spans="2:11" x14ac:dyDescent="0.35">
      <c r="B1545" s="1953"/>
      <c r="C1545" s="1953"/>
      <c r="D1545" s="1953"/>
      <c r="E1545" s="1953"/>
      <c r="F1545" s="1953"/>
      <c r="G1545" s="1953"/>
      <c r="H1545" s="1953"/>
      <c r="I1545"/>
      <c r="J1545"/>
      <c r="K1545"/>
    </row>
    <row r="1546" spans="2:11" x14ac:dyDescent="0.35">
      <c r="B1546" s="1953"/>
      <c r="C1546" s="1953"/>
      <c r="D1546" s="1953"/>
      <c r="E1546" s="1953"/>
      <c r="F1546" s="1953"/>
      <c r="G1546" s="1953"/>
      <c r="H1546" s="1953"/>
      <c r="I1546"/>
      <c r="J1546"/>
      <c r="K1546"/>
    </row>
    <row r="1547" spans="2:11" x14ac:dyDescent="0.35">
      <c r="B1547" s="1953"/>
      <c r="C1547" s="1953"/>
      <c r="D1547" s="1953"/>
      <c r="E1547" s="1953"/>
      <c r="F1547" s="1953"/>
      <c r="G1547" s="1953"/>
      <c r="H1547" s="1953"/>
      <c r="I1547"/>
      <c r="J1547"/>
      <c r="K1547"/>
    </row>
    <row r="1548" spans="2:11" x14ac:dyDescent="0.35">
      <c r="B1548" s="1953"/>
      <c r="C1548" s="1953"/>
      <c r="D1548" s="1953"/>
      <c r="E1548" s="1953"/>
      <c r="F1548" s="1953"/>
      <c r="G1548" s="1953"/>
      <c r="H1548" s="1953"/>
      <c r="I1548"/>
      <c r="J1548"/>
      <c r="K1548"/>
    </row>
    <row r="1549" spans="2:11" x14ac:dyDescent="0.35">
      <c r="B1549" s="1953"/>
      <c r="C1549" s="1953"/>
      <c r="D1549" s="1953"/>
      <c r="E1549" s="1953"/>
      <c r="F1549" s="1953"/>
      <c r="G1549" s="1953"/>
      <c r="H1549" s="1953"/>
      <c r="I1549"/>
      <c r="J1549"/>
      <c r="K1549"/>
    </row>
    <row r="1550" spans="2:11" x14ac:dyDescent="0.35">
      <c r="B1550" s="1953"/>
      <c r="C1550" s="1953"/>
      <c r="D1550" s="1953"/>
      <c r="E1550" s="1953"/>
      <c r="F1550" s="1953"/>
      <c r="G1550" s="1953"/>
      <c r="H1550" s="1953"/>
      <c r="I1550"/>
      <c r="J1550"/>
      <c r="K1550"/>
    </row>
    <row r="1551" spans="2:11" x14ac:dyDescent="0.35">
      <c r="B1551" s="1953"/>
      <c r="C1551" s="1953"/>
      <c r="D1551" s="1953"/>
      <c r="E1551" s="1953"/>
      <c r="F1551" s="1953"/>
      <c r="G1551" s="1953"/>
      <c r="H1551" s="1953"/>
      <c r="I1551"/>
      <c r="J1551"/>
      <c r="K1551"/>
    </row>
    <row r="1552" spans="2:11" x14ac:dyDescent="0.35">
      <c r="B1552" s="1953"/>
      <c r="C1552" s="1953"/>
      <c r="D1552" s="1953"/>
      <c r="E1552" s="1953"/>
      <c r="F1552" s="1953"/>
      <c r="G1552" s="1953"/>
      <c r="H1552" s="1953"/>
      <c r="I1552"/>
      <c r="J1552"/>
      <c r="K1552"/>
    </row>
    <row r="1553" spans="2:11" x14ac:dyDescent="0.35">
      <c r="B1553" s="1953"/>
      <c r="C1553" s="1953"/>
      <c r="D1553" s="1953"/>
      <c r="E1553" s="1953"/>
      <c r="F1553" s="1953"/>
      <c r="G1553" s="1953"/>
      <c r="H1553" s="1953"/>
      <c r="I1553"/>
      <c r="J1553"/>
      <c r="K1553"/>
    </row>
    <row r="1554" spans="2:11" x14ac:dyDescent="0.35">
      <c r="B1554" s="1953"/>
      <c r="C1554" s="1953"/>
      <c r="D1554" s="1953"/>
      <c r="E1554" s="1953"/>
      <c r="F1554" s="1953"/>
      <c r="G1554" s="1953"/>
      <c r="H1554" s="1953"/>
      <c r="I1554"/>
      <c r="J1554"/>
      <c r="K1554"/>
    </row>
    <row r="1555" spans="2:11" x14ac:dyDescent="0.35">
      <c r="B1555" s="1953"/>
      <c r="C1555" s="1953"/>
      <c r="D1555" s="1953"/>
      <c r="E1555" s="1953"/>
      <c r="F1555" s="1953"/>
      <c r="G1555" s="1953"/>
      <c r="H1555" s="1953"/>
      <c r="I1555"/>
      <c r="J1555"/>
      <c r="K1555"/>
    </row>
    <row r="1556" spans="2:11" x14ac:dyDescent="0.35">
      <c r="B1556" s="1953"/>
      <c r="C1556" s="1953"/>
      <c r="D1556" s="1953"/>
      <c r="E1556" s="1953"/>
      <c r="F1556" s="1953"/>
      <c r="G1556" s="1953"/>
      <c r="H1556" s="1953"/>
      <c r="I1556"/>
      <c r="J1556"/>
      <c r="K1556"/>
    </row>
    <row r="1557" spans="2:11" x14ac:dyDescent="0.35">
      <c r="B1557" s="1953"/>
      <c r="C1557" s="1953"/>
      <c r="D1557" s="1953"/>
      <c r="E1557" s="1953"/>
      <c r="F1557" s="1953"/>
      <c r="G1557" s="1953"/>
      <c r="H1557" s="1953"/>
      <c r="I1557"/>
      <c r="J1557"/>
      <c r="K1557"/>
    </row>
    <row r="1558" spans="2:11" x14ac:dyDescent="0.35">
      <c r="B1558" s="1953"/>
      <c r="C1558" s="1953"/>
      <c r="D1558" s="1953"/>
      <c r="E1558" s="1953"/>
      <c r="F1558" s="1953"/>
      <c r="G1558" s="1953"/>
      <c r="H1558" s="1953"/>
      <c r="I1558"/>
      <c r="J1558"/>
      <c r="K1558"/>
    </row>
    <row r="1559" spans="2:11" x14ac:dyDescent="0.35">
      <c r="B1559" s="1953"/>
      <c r="C1559" s="1953"/>
      <c r="D1559" s="1953"/>
      <c r="E1559" s="1953"/>
      <c r="F1559" s="1953"/>
      <c r="G1559" s="1953"/>
      <c r="H1559" s="1953"/>
      <c r="I1559"/>
      <c r="J1559"/>
      <c r="K1559"/>
    </row>
    <row r="1560" spans="2:11" x14ac:dyDescent="0.35">
      <c r="B1560" s="1953"/>
      <c r="C1560" s="1953"/>
      <c r="D1560" s="1953"/>
      <c r="E1560" s="1953"/>
      <c r="F1560" s="1953"/>
      <c r="G1560" s="1953"/>
      <c r="H1560" s="1953"/>
      <c r="I1560"/>
      <c r="J1560"/>
      <c r="K1560"/>
    </row>
    <row r="1561" spans="2:11" x14ac:dyDescent="0.35">
      <c r="B1561" s="1953"/>
      <c r="C1561" s="1953"/>
      <c r="D1561" s="1953"/>
      <c r="E1561" s="1953"/>
      <c r="F1561" s="1953"/>
      <c r="G1561" s="1953"/>
      <c r="H1561" s="1953"/>
      <c r="I1561"/>
      <c r="J1561"/>
      <c r="K1561"/>
    </row>
    <row r="1562" spans="2:11" x14ac:dyDescent="0.35">
      <c r="B1562" s="1953"/>
      <c r="C1562" s="1953"/>
      <c r="D1562" s="1953"/>
      <c r="E1562" s="1953"/>
      <c r="F1562" s="1953"/>
      <c r="G1562" s="1953"/>
      <c r="H1562" s="1953"/>
      <c r="I1562"/>
      <c r="J1562"/>
      <c r="K1562"/>
    </row>
    <row r="1563" spans="2:11" x14ac:dyDescent="0.35">
      <c r="B1563" s="1953"/>
      <c r="C1563" s="1953"/>
      <c r="D1563" s="1953"/>
      <c r="E1563" s="1953"/>
      <c r="F1563" s="1953"/>
      <c r="G1563" s="1953"/>
      <c r="H1563" s="1953"/>
      <c r="I1563"/>
      <c r="J1563"/>
      <c r="K1563"/>
    </row>
    <row r="1564" spans="2:11" x14ac:dyDescent="0.35">
      <c r="B1564" s="1953"/>
      <c r="C1564" s="1953"/>
      <c r="D1564" s="1953"/>
      <c r="E1564" s="1953"/>
      <c r="F1564" s="1953"/>
      <c r="G1564" s="1953"/>
      <c r="H1564" s="1953"/>
      <c r="I1564"/>
      <c r="J1564"/>
      <c r="K1564"/>
    </row>
    <row r="1565" spans="2:11" x14ac:dyDescent="0.35">
      <c r="B1565" s="1953"/>
      <c r="C1565" s="1953"/>
      <c r="D1565" s="1953"/>
      <c r="E1565" s="1953"/>
      <c r="F1565" s="1953"/>
      <c r="G1565" s="1953"/>
      <c r="H1565" s="1953"/>
      <c r="I1565"/>
      <c r="J1565"/>
      <c r="K1565"/>
    </row>
    <row r="1566" spans="2:11" x14ac:dyDescent="0.35">
      <c r="B1566" s="1953"/>
      <c r="C1566" s="1953"/>
      <c r="D1566" s="1953"/>
      <c r="E1566" s="1953"/>
      <c r="F1566" s="1953"/>
      <c r="G1566" s="1953"/>
      <c r="H1566" s="1953"/>
      <c r="I1566"/>
      <c r="J1566"/>
      <c r="K1566"/>
    </row>
    <row r="1567" spans="2:11" x14ac:dyDescent="0.35">
      <c r="B1567" s="1953"/>
      <c r="C1567" s="1953"/>
      <c r="D1567" s="1953"/>
      <c r="E1567" s="1953"/>
      <c r="F1567" s="1953"/>
      <c r="G1567" s="1953"/>
      <c r="H1567" s="1953"/>
      <c r="I1567"/>
      <c r="J1567"/>
      <c r="K1567"/>
    </row>
    <row r="1568" spans="2:11" x14ac:dyDescent="0.35">
      <c r="B1568" s="1953"/>
      <c r="C1568" s="1953"/>
      <c r="D1568" s="1953"/>
      <c r="E1568" s="1953"/>
      <c r="F1568" s="1953"/>
      <c r="G1568" s="1953"/>
      <c r="H1568" s="1953"/>
      <c r="I1568"/>
      <c r="J1568"/>
      <c r="K1568"/>
    </row>
    <row r="1569" spans="2:11" x14ac:dyDescent="0.35">
      <c r="B1569" s="1953"/>
      <c r="C1569" s="1953"/>
      <c r="D1569" s="1953"/>
      <c r="E1569" s="1953"/>
      <c r="F1569" s="1953"/>
      <c r="G1569" s="1953"/>
      <c r="H1569" s="1953"/>
      <c r="I1569"/>
      <c r="J1569"/>
      <c r="K1569"/>
    </row>
    <row r="1570" spans="2:11" x14ac:dyDescent="0.35">
      <c r="B1570" s="1953"/>
      <c r="C1570" s="1953"/>
      <c r="D1570" s="1953"/>
      <c r="E1570" s="1953"/>
      <c r="F1570" s="1953"/>
      <c r="G1570" s="1953"/>
      <c r="H1570" s="1953"/>
      <c r="I1570"/>
      <c r="J1570"/>
      <c r="K1570"/>
    </row>
    <row r="1571" spans="2:11" x14ac:dyDescent="0.35">
      <c r="B1571" s="1953"/>
      <c r="C1571" s="1953"/>
      <c r="D1571" s="1953"/>
      <c r="E1571" s="1953"/>
      <c r="F1571" s="1953"/>
      <c r="G1571" s="1953"/>
      <c r="H1571" s="1953"/>
      <c r="I1571"/>
      <c r="J1571"/>
      <c r="K1571"/>
    </row>
    <row r="1572" spans="2:11" x14ac:dyDescent="0.35">
      <c r="B1572" s="1953"/>
      <c r="C1572" s="1953"/>
      <c r="D1572" s="1953"/>
      <c r="E1572" s="1953"/>
      <c r="F1572" s="1953"/>
      <c r="G1572" s="1953"/>
      <c r="H1572" s="1953"/>
      <c r="I1572"/>
      <c r="J1572"/>
      <c r="K1572"/>
    </row>
    <row r="1573" spans="2:11" x14ac:dyDescent="0.35">
      <c r="B1573" s="1953"/>
      <c r="C1573" s="1953"/>
      <c r="D1573" s="1953"/>
      <c r="E1573" s="1953"/>
      <c r="F1573" s="1953"/>
      <c r="G1573" s="1953"/>
      <c r="H1573" s="1953"/>
      <c r="I1573"/>
      <c r="J1573"/>
      <c r="K1573"/>
    </row>
    <row r="1574" spans="2:11" x14ac:dyDescent="0.35">
      <c r="B1574" s="1953"/>
      <c r="C1574" s="1953"/>
      <c r="D1574" s="1953"/>
      <c r="E1574" s="1953"/>
      <c r="F1574" s="1953"/>
      <c r="G1574" s="1953"/>
      <c r="H1574" s="1953"/>
      <c r="I1574"/>
      <c r="J1574"/>
      <c r="K1574"/>
    </row>
    <row r="1575" spans="2:11" x14ac:dyDescent="0.35">
      <c r="B1575" s="1953"/>
      <c r="C1575" s="1953"/>
      <c r="D1575" s="1953"/>
      <c r="E1575" s="1953"/>
      <c r="F1575" s="1953"/>
      <c r="G1575" s="1953"/>
      <c r="H1575" s="1953"/>
      <c r="I1575"/>
      <c r="J1575"/>
      <c r="K1575"/>
    </row>
    <row r="1576" spans="2:11" x14ac:dyDescent="0.35">
      <c r="B1576" s="1953"/>
      <c r="C1576" s="1953"/>
      <c r="D1576" s="1953"/>
      <c r="E1576" s="1953"/>
      <c r="F1576" s="1953"/>
      <c r="G1576" s="1953"/>
      <c r="H1576" s="1953"/>
      <c r="I1576"/>
      <c r="J1576"/>
      <c r="K1576"/>
    </row>
    <row r="1577" spans="2:11" x14ac:dyDescent="0.35">
      <c r="B1577" s="1953"/>
      <c r="C1577" s="1953"/>
      <c r="D1577" s="1953"/>
      <c r="E1577" s="1953"/>
      <c r="F1577" s="1953"/>
      <c r="G1577" s="1953"/>
      <c r="H1577" s="1953"/>
      <c r="I1577"/>
      <c r="J1577"/>
      <c r="K1577"/>
    </row>
    <row r="1578" spans="2:11" x14ac:dyDescent="0.35">
      <c r="B1578" s="1953"/>
      <c r="C1578" s="1953"/>
      <c r="D1578" s="1953"/>
      <c r="E1578" s="1953"/>
      <c r="F1578" s="1953"/>
      <c r="G1578" s="1953"/>
      <c r="H1578" s="1953"/>
      <c r="I1578"/>
      <c r="J1578"/>
      <c r="K1578"/>
    </row>
    <row r="1579" spans="2:11" x14ac:dyDescent="0.35">
      <c r="B1579" s="1953"/>
      <c r="C1579" s="1953"/>
      <c r="D1579" s="1953"/>
      <c r="E1579" s="1953"/>
      <c r="F1579" s="1953"/>
      <c r="G1579" s="1953"/>
      <c r="H1579" s="1953"/>
      <c r="I1579"/>
      <c r="J1579"/>
      <c r="K1579"/>
    </row>
    <row r="1580" spans="2:11" x14ac:dyDescent="0.35">
      <c r="B1580" s="1953"/>
      <c r="C1580" s="1953"/>
      <c r="D1580" s="1953"/>
      <c r="E1580" s="1953"/>
      <c r="F1580" s="1953"/>
      <c r="G1580" s="1953"/>
      <c r="H1580" s="1953"/>
      <c r="I1580"/>
      <c r="J1580"/>
      <c r="K1580"/>
    </row>
    <row r="1581" spans="2:11" x14ac:dyDescent="0.35">
      <c r="B1581" s="1953"/>
      <c r="C1581" s="1953"/>
      <c r="D1581" s="1953"/>
      <c r="E1581" s="1953"/>
      <c r="F1581" s="1953"/>
      <c r="G1581" s="1953"/>
      <c r="H1581" s="1953"/>
      <c r="I1581"/>
      <c r="J1581"/>
      <c r="K1581"/>
    </row>
    <row r="1582" spans="2:11" x14ac:dyDescent="0.35">
      <c r="B1582" s="1953"/>
      <c r="C1582" s="1953"/>
      <c r="D1582" s="1953"/>
      <c r="E1582" s="1953"/>
      <c r="F1582" s="1953"/>
      <c r="G1582" s="1953"/>
      <c r="H1582" s="1953"/>
      <c r="I1582"/>
      <c r="J1582"/>
      <c r="K1582"/>
    </row>
    <row r="1583" spans="2:11" x14ac:dyDescent="0.35">
      <c r="B1583" s="1953"/>
      <c r="C1583" s="1953"/>
      <c r="D1583" s="1953"/>
      <c r="E1583" s="1953"/>
      <c r="F1583" s="1953"/>
      <c r="G1583" s="1953"/>
      <c r="H1583" s="1953"/>
      <c r="I1583"/>
      <c r="J1583"/>
      <c r="K1583"/>
    </row>
    <row r="1584" spans="2:11" x14ac:dyDescent="0.35">
      <c r="B1584" s="1953"/>
      <c r="C1584" s="1953"/>
      <c r="D1584" s="1953"/>
      <c r="E1584" s="1953"/>
      <c r="F1584" s="1953"/>
      <c r="G1584" s="1953"/>
      <c r="H1584" s="1953"/>
      <c r="I1584"/>
      <c r="J1584"/>
      <c r="K1584"/>
    </row>
    <row r="1585" spans="2:11" x14ac:dyDescent="0.35">
      <c r="B1585" s="1953"/>
      <c r="C1585" s="1953"/>
      <c r="D1585" s="1953"/>
      <c r="E1585" s="1953"/>
      <c r="F1585" s="1953"/>
      <c r="G1585" s="1953"/>
      <c r="H1585" s="1953"/>
      <c r="I1585"/>
      <c r="J1585"/>
      <c r="K1585"/>
    </row>
    <row r="1586" spans="2:11" x14ac:dyDescent="0.35">
      <c r="B1586" s="1953"/>
      <c r="C1586" s="1953"/>
      <c r="D1586" s="1953"/>
      <c r="E1586" s="1953"/>
      <c r="F1586" s="1953"/>
      <c r="G1586" s="1953"/>
      <c r="H1586" s="1953"/>
      <c r="I1586"/>
      <c r="J1586"/>
      <c r="K1586"/>
    </row>
    <row r="1587" spans="2:11" x14ac:dyDescent="0.35">
      <c r="B1587" s="1953"/>
      <c r="C1587" s="1953"/>
      <c r="D1587" s="1953"/>
      <c r="E1587" s="1953"/>
      <c r="F1587" s="1953"/>
      <c r="G1587" s="1953"/>
      <c r="H1587" s="1953"/>
      <c r="I1587"/>
      <c r="J1587"/>
      <c r="K1587"/>
    </row>
    <row r="1588" spans="2:11" x14ac:dyDescent="0.35">
      <c r="B1588" s="1953"/>
      <c r="C1588" s="1953"/>
      <c r="D1588" s="1953"/>
      <c r="E1588" s="1953"/>
      <c r="F1588" s="1953"/>
      <c r="G1588" s="1953"/>
      <c r="H1588" s="1953"/>
      <c r="I1588"/>
      <c r="J1588"/>
      <c r="K1588"/>
    </row>
    <row r="1589" spans="2:11" x14ac:dyDescent="0.35">
      <c r="B1589" s="1953"/>
      <c r="C1589" s="1953"/>
      <c r="D1589" s="1953"/>
      <c r="E1589" s="1953"/>
      <c r="F1589" s="1953"/>
      <c r="G1589" s="1953"/>
      <c r="H1589" s="1953"/>
      <c r="I1589"/>
      <c r="J1589"/>
      <c r="K1589"/>
    </row>
    <row r="1590" spans="2:11" x14ac:dyDescent="0.35">
      <c r="B1590" s="1953"/>
      <c r="C1590" s="1953"/>
      <c r="D1590" s="1953"/>
      <c r="E1590" s="1953"/>
      <c r="F1590" s="1953"/>
      <c r="G1590" s="1953"/>
      <c r="H1590" s="1953"/>
      <c r="I1590"/>
      <c r="J1590"/>
      <c r="K1590"/>
    </row>
    <row r="1591" spans="2:11" x14ac:dyDescent="0.35">
      <c r="B1591" s="1953"/>
      <c r="C1591" s="1953"/>
      <c r="D1591" s="1953"/>
      <c r="E1591" s="1953"/>
      <c r="F1591" s="1953"/>
      <c r="G1591" s="1953"/>
      <c r="H1591" s="1953"/>
      <c r="I1591"/>
      <c r="J1591"/>
      <c r="K1591"/>
    </row>
    <row r="1592" spans="2:11" x14ac:dyDescent="0.35">
      <c r="B1592" s="1953"/>
      <c r="C1592" s="1953"/>
      <c r="D1592" s="1953"/>
      <c r="E1592" s="1953"/>
      <c r="F1592" s="1953"/>
      <c r="G1592" s="1953"/>
      <c r="H1592" s="1953"/>
      <c r="I1592"/>
      <c r="J1592"/>
      <c r="K1592"/>
    </row>
    <row r="1593" spans="2:11" x14ac:dyDescent="0.35">
      <c r="B1593" s="1953"/>
      <c r="C1593" s="1953"/>
      <c r="D1593" s="1953"/>
      <c r="E1593" s="1953"/>
      <c r="F1593" s="1953"/>
      <c r="G1593" s="1953"/>
      <c r="H1593" s="1953"/>
      <c r="I1593"/>
      <c r="J1593"/>
      <c r="K1593"/>
    </row>
    <row r="1594" spans="2:11" x14ac:dyDescent="0.35">
      <c r="B1594" s="1953"/>
      <c r="C1594" s="1953"/>
      <c r="D1594" s="1953"/>
      <c r="E1594" s="1953"/>
      <c r="F1594" s="1953"/>
      <c r="G1594" s="1953"/>
      <c r="H1594" s="1953"/>
      <c r="I1594"/>
      <c r="J1594"/>
      <c r="K1594"/>
    </row>
    <row r="1595" spans="2:11" x14ac:dyDescent="0.35">
      <c r="B1595" s="1953"/>
      <c r="C1595" s="1953"/>
      <c r="D1595" s="1953"/>
      <c r="E1595" s="1953"/>
      <c r="F1595" s="1953"/>
      <c r="G1595" s="1953"/>
      <c r="H1595" s="1953"/>
      <c r="I1595"/>
      <c r="J1595"/>
      <c r="K1595"/>
    </row>
    <row r="1596" spans="2:11" x14ac:dyDescent="0.35">
      <c r="B1596" s="1953"/>
      <c r="C1596" s="1953"/>
      <c r="D1596" s="1953"/>
      <c r="E1596" s="1953"/>
      <c r="F1596" s="1953"/>
      <c r="G1596" s="1953"/>
      <c r="H1596" s="1953"/>
      <c r="I1596"/>
      <c r="J1596"/>
      <c r="K1596"/>
    </row>
    <row r="1597" spans="2:11" x14ac:dyDescent="0.35">
      <c r="B1597" s="1953"/>
      <c r="C1597" s="1953"/>
      <c r="D1597" s="1953"/>
      <c r="E1597" s="1953"/>
      <c r="F1597" s="1953"/>
      <c r="G1597" s="1953"/>
      <c r="H1597" s="1953"/>
      <c r="I1597"/>
      <c r="J1597"/>
      <c r="K1597"/>
    </row>
    <row r="1598" spans="2:11" x14ac:dyDescent="0.35">
      <c r="B1598" s="1953"/>
      <c r="C1598" s="1953"/>
      <c r="D1598" s="1953"/>
      <c r="E1598" s="1953"/>
      <c r="F1598" s="1953"/>
      <c r="G1598" s="1953"/>
      <c r="H1598" s="1953"/>
      <c r="I1598"/>
      <c r="J1598"/>
      <c r="K1598"/>
    </row>
    <row r="1599" spans="2:11" x14ac:dyDescent="0.35">
      <c r="B1599" s="1953"/>
      <c r="C1599" s="1953"/>
      <c r="D1599" s="1953"/>
      <c r="E1599" s="1953"/>
      <c r="F1599" s="1953"/>
      <c r="G1599" s="1953"/>
      <c r="H1599" s="1953"/>
      <c r="I1599"/>
      <c r="J1599"/>
      <c r="K1599"/>
    </row>
    <row r="1600" spans="2:11" x14ac:dyDescent="0.35">
      <c r="B1600" s="1953"/>
      <c r="C1600" s="1953"/>
      <c r="D1600" s="1953"/>
      <c r="E1600" s="1953"/>
      <c r="F1600" s="1953"/>
      <c r="G1600" s="1953"/>
      <c r="H1600" s="1953"/>
      <c r="I1600"/>
      <c r="J1600"/>
      <c r="K1600"/>
    </row>
    <row r="1601" spans="2:11" x14ac:dyDescent="0.35">
      <c r="B1601" s="1953"/>
      <c r="C1601" s="1953"/>
      <c r="D1601" s="1953"/>
      <c r="E1601" s="1953"/>
      <c r="F1601" s="1953"/>
      <c r="G1601" s="1953"/>
      <c r="H1601" s="1953"/>
      <c r="I1601"/>
      <c r="J1601"/>
      <c r="K1601"/>
    </row>
    <row r="1602" spans="2:11" x14ac:dyDescent="0.35">
      <c r="B1602" s="1953"/>
      <c r="C1602" s="1953"/>
      <c r="D1602" s="1953"/>
      <c r="E1602" s="1953"/>
      <c r="F1602" s="1953"/>
      <c r="G1602" s="1953"/>
      <c r="H1602" s="1953"/>
      <c r="I1602"/>
      <c r="J1602"/>
      <c r="K1602"/>
    </row>
    <row r="1603" spans="2:11" x14ac:dyDescent="0.35">
      <c r="B1603" s="1953"/>
      <c r="C1603" s="1953"/>
      <c r="D1603" s="1953"/>
      <c r="E1603" s="1953"/>
      <c r="F1603" s="1953"/>
      <c r="G1603" s="1953"/>
      <c r="H1603" s="1953"/>
      <c r="I1603"/>
      <c r="J1603"/>
      <c r="K1603"/>
    </row>
    <row r="1604" spans="2:11" x14ac:dyDescent="0.35">
      <c r="B1604" s="1953"/>
      <c r="C1604" s="1953"/>
      <c r="D1604" s="1953"/>
      <c r="E1604" s="1953"/>
      <c r="F1604" s="1953"/>
      <c r="G1604" s="1953"/>
      <c r="H1604" s="1953"/>
      <c r="I1604"/>
      <c r="J1604"/>
      <c r="K1604"/>
    </row>
    <row r="1605" spans="2:11" x14ac:dyDescent="0.35">
      <c r="B1605" s="1953"/>
      <c r="C1605" s="1953"/>
      <c r="D1605" s="1953"/>
      <c r="E1605" s="1953"/>
      <c r="F1605" s="1953"/>
      <c r="G1605" s="1953"/>
      <c r="H1605" s="1953"/>
      <c r="I1605"/>
      <c r="J1605"/>
      <c r="K1605"/>
    </row>
    <row r="1606" spans="2:11" x14ac:dyDescent="0.35">
      <c r="B1606" s="1953"/>
      <c r="C1606" s="1953"/>
      <c r="D1606" s="1953"/>
      <c r="E1606" s="1953"/>
      <c r="F1606" s="1953"/>
      <c r="G1606" s="1953"/>
      <c r="H1606" s="1953"/>
      <c r="I1606"/>
      <c r="J1606"/>
      <c r="K1606"/>
    </row>
    <row r="1607" spans="2:11" x14ac:dyDescent="0.35">
      <c r="B1607" s="1953"/>
      <c r="C1607" s="1953"/>
      <c r="D1607" s="1953"/>
      <c r="E1607" s="1953"/>
      <c r="F1607" s="1953"/>
      <c r="G1607" s="1953"/>
      <c r="H1607" s="1953"/>
      <c r="I1607"/>
      <c r="J1607"/>
      <c r="K1607"/>
    </row>
    <row r="1608" spans="2:11" x14ac:dyDescent="0.35">
      <c r="B1608" s="1953"/>
      <c r="C1608" s="1953"/>
      <c r="D1608" s="1953"/>
      <c r="E1608" s="1953"/>
      <c r="F1608" s="1953"/>
      <c r="G1608" s="1953"/>
      <c r="H1608" s="1953"/>
      <c r="I1608"/>
      <c r="J1608"/>
      <c r="K1608"/>
    </row>
    <row r="1609" spans="2:11" x14ac:dyDescent="0.35">
      <c r="B1609" s="1953"/>
      <c r="C1609" s="1953"/>
      <c r="D1609" s="1953"/>
      <c r="E1609" s="1953"/>
      <c r="F1609" s="1953"/>
      <c r="G1609" s="1953"/>
      <c r="H1609" s="1953"/>
      <c r="I1609"/>
      <c r="J1609"/>
      <c r="K1609"/>
    </row>
    <row r="1610" spans="2:11" x14ac:dyDescent="0.35">
      <c r="B1610" s="1953"/>
      <c r="C1610" s="1953"/>
      <c r="D1610" s="1953"/>
      <c r="E1610" s="1953"/>
      <c r="F1610" s="1953"/>
      <c r="G1610" s="1953"/>
      <c r="H1610" s="1953"/>
      <c r="I1610"/>
      <c r="J1610"/>
      <c r="K1610"/>
    </row>
    <row r="1611" spans="2:11" x14ac:dyDescent="0.35">
      <c r="B1611" s="1953"/>
      <c r="C1611" s="1953"/>
      <c r="D1611" s="1953"/>
      <c r="E1611" s="1953"/>
      <c r="F1611" s="1953"/>
      <c r="G1611" s="1953"/>
      <c r="H1611" s="1953"/>
      <c r="I1611"/>
      <c r="J1611"/>
      <c r="K1611"/>
    </row>
    <row r="1612" spans="2:11" x14ac:dyDescent="0.35">
      <c r="B1612" s="1953"/>
      <c r="C1612" s="1953"/>
      <c r="D1612" s="1953"/>
      <c r="E1612" s="1953"/>
      <c r="F1612" s="1953"/>
      <c r="G1612" s="1953"/>
      <c r="H1612" s="1953"/>
      <c r="I1612"/>
      <c r="J1612"/>
      <c r="K1612"/>
    </row>
    <row r="1613" spans="2:11" x14ac:dyDescent="0.35">
      <c r="B1613" s="1953"/>
      <c r="C1613" s="1953"/>
      <c r="D1613" s="1953"/>
      <c r="E1613" s="1953"/>
      <c r="F1613" s="1953"/>
      <c r="G1613" s="1953"/>
      <c r="H1613" s="1953"/>
      <c r="I1613"/>
      <c r="J1613"/>
      <c r="K1613"/>
    </row>
    <row r="1614" spans="2:11" x14ac:dyDescent="0.35">
      <c r="B1614" s="1953"/>
      <c r="C1614" s="1953"/>
      <c r="D1614" s="1953"/>
      <c r="E1614" s="1953"/>
      <c r="F1614" s="1953"/>
      <c r="G1614" s="1953"/>
      <c r="H1614" s="1953"/>
      <c r="I1614"/>
      <c r="J1614"/>
      <c r="K1614"/>
    </row>
    <row r="1615" spans="2:11" x14ac:dyDescent="0.35">
      <c r="B1615" s="1953"/>
      <c r="C1615" s="1953"/>
      <c r="D1615" s="1953"/>
      <c r="E1615" s="1953"/>
      <c r="F1615" s="1953"/>
      <c r="G1615" s="1953"/>
      <c r="H1615" s="1953"/>
      <c r="I1615"/>
      <c r="J1615"/>
      <c r="K1615"/>
    </row>
    <row r="1616" spans="2:11" x14ac:dyDescent="0.35">
      <c r="B1616" s="1953"/>
      <c r="C1616" s="1953"/>
      <c r="D1616" s="1953"/>
      <c r="E1616" s="1953"/>
      <c r="F1616" s="1953"/>
      <c r="G1616" s="1953"/>
      <c r="H1616" s="1953"/>
      <c r="I1616"/>
      <c r="J1616"/>
      <c r="K1616"/>
    </row>
    <row r="1617" spans="2:11" x14ac:dyDescent="0.35">
      <c r="B1617" s="1953"/>
      <c r="C1617" s="1953"/>
      <c r="D1617" s="1953"/>
      <c r="E1617" s="1953"/>
      <c r="F1617" s="1953"/>
      <c r="G1617" s="1953"/>
      <c r="H1617" s="1953"/>
      <c r="I1617"/>
      <c r="J1617"/>
      <c r="K1617"/>
    </row>
    <row r="1618" spans="2:11" x14ac:dyDescent="0.35">
      <c r="B1618" s="1953"/>
      <c r="C1618" s="1953"/>
      <c r="D1618" s="1953"/>
      <c r="E1618" s="1953"/>
      <c r="F1618" s="1953"/>
      <c r="G1618" s="1953"/>
      <c r="H1618" s="1953"/>
      <c r="I1618"/>
      <c r="J1618"/>
      <c r="K1618"/>
    </row>
    <row r="1619" spans="2:11" x14ac:dyDescent="0.35">
      <c r="B1619" s="1953"/>
      <c r="C1619" s="1953"/>
      <c r="D1619" s="1953"/>
      <c r="E1619" s="1953"/>
      <c r="F1619" s="1953"/>
      <c r="G1619" s="1953"/>
      <c r="H1619" s="1953"/>
      <c r="I1619"/>
      <c r="J1619"/>
      <c r="K1619"/>
    </row>
    <row r="1620" spans="2:11" x14ac:dyDescent="0.35">
      <c r="B1620" s="1953"/>
      <c r="C1620" s="1953"/>
      <c r="D1620" s="1953"/>
      <c r="E1620" s="1953"/>
      <c r="F1620" s="1953"/>
      <c r="G1620" s="1953"/>
      <c r="H1620" s="1953"/>
      <c r="I1620"/>
      <c r="J1620"/>
      <c r="K1620"/>
    </row>
    <row r="1621" spans="2:11" x14ac:dyDescent="0.35">
      <c r="B1621" s="1953"/>
      <c r="C1621" s="1953"/>
      <c r="D1621" s="1953"/>
      <c r="E1621" s="1953"/>
      <c r="F1621" s="1953"/>
      <c r="G1621" s="1953"/>
      <c r="H1621" s="1953"/>
      <c r="I1621"/>
      <c r="J1621"/>
      <c r="K1621"/>
    </row>
    <row r="1622" spans="2:11" x14ac:dyDescent="0.35">
      <c r="B1622" s="1953"/>
      <c r="C1622" s="1953"/>
      <c r="D1622" s="1953"/>
      <c r="E1622" s="1953"/>
      <c r="F1622" s="1953"/>
      <c r="G1622" s="1953"/>
      <c r="H1622" s="1953"/>
      <c r="I1622"/>
      <c r="J1622"/>
      <c r="K1622"/>
    </row>
    <row r="1623" spans="2:11" x14ac:dyDescent="0.35">
      <c r="B1623" s="1953"/>
      <c r="C1623" s="1953"/>
      <c r="D1623" s="1953"/>
      <c r="E1623" s="1953"/>
      <c r="F1623" s="1953"/>
      <c r="G1623" s="1953"/>
      <c r="H1623" s="1953"/>
      <c r="I1623"/>
      <c r="J1623"/>
      <c r="K1623"/>
    </row>
    <row r="1624" spans="2:11" x14ac:dyDescent="0.35">
      <c r="B1624" s="1953"/>
      <c r="C1624" s="1953"/>
      <c r="D1624" s="1953"/>
      <c r="E1624" s="1953"/>
      <c r="F1624" s="1953"/>
      <c r="G1624" s="1953"/>
      <c r="H1624" s="1953"/>
      <c r="I1624"/>
      <c r="J1624"/>
      <c r="K1624"/>
    </row>
    <row r="1625" spans="2:11" x14ac:dyDescent="0.35">
      <c r="B1625" s="1953"/>
      <c r="C1625" s="1953"/>
      <c r="D1625" s="1953"/>
      <c r="E1625" s="1953"/>
      <c r="F1625" s="1953"/>
      <c r="G1625" s="1953"/>
      <c r="H1625" s="1953"/>
      <c r="I1625"/>
      <c r="J1625"/>
      <c r="K1625"/>
    </row>
    <row r="1626" spans="2:11" x14ac:dyDescent="0.35">
      <c r="B1626" s="1953"/>
      <c r="C1626" s="1953"/>
      <c r="D1626" s="1953"/>
      <c r="E1626" s="1953"/>
      <c r="F1626" s="1953"/>
      <c r="G1626" s="1953"/>
      <c r="H1626" s="1953"/>
      <c r="I1626"/>
      <c r="J1626"/>
      <c r="K1626"/>
    </row>
    <row r="1627" spans="2:11" x14ac:dyDescent="0.35">
      <c r="B1627" s="1953"/>
      <c r="C1627" s="1953"/>
      <c r="D1627" s="1953"/>
      <c r="E1627" s="1953"/>
      <c r="F1627" s="1953"/>
      <c r="G1627" s="1953"/>
      <c r="H1627" s="1953"/>
      <c r="I1627"/>
      <c r="J1627"/>
      <c r="K1627"/>
    </row>
    <row r="1628" spans="2:11" x14ac:dyDescent="0.35">
      <c r="B1628" s="1953"/>
      <c r="C1628" s="1953"/>
      <c r="D1628" s="1953"/>
      <c r="E1628" s="1953"/>
      <c r="F1628" s="1953"/>
      <c r="G1628" s="1953"/>
      <c r="H1628" s="1953"/>
      <c r="I1628"/>
      <c r="J1628"/>
      <c r="K1628"/>
    </row>
    <row r="1629" spans="2:11" x14ac:dyDescent="0.35">
      <c r="B1629" s="1953"/>
      <c r="C1629" s="1953"/>
      <c r="D1629" s="1953"/>
      <c r="E1629" s="1953"/>
      <c r="F1629" s="1953"/>
      <c r="G1629" s="1953"/>
      <c r="H1629" s="1953"/>
      <c r="I1629"/>
      <c r="J1629"/>
      <c r="K1629"/>
    </row>
    <row r="1630" spans="2:11" x14ac:dyDescent="0.35">
      <c r="B1630" s="1953"/>
      <c r="C1630" s="1953"/>
      <c r="D1630" s="1953"/>
      <c r="E1630" s="1953"/>
      <c r="F1630" s="1953"/>
      <c r="G1630" s="1953"/>
      <c r="H1630" s="1953"/>
      <c r="I1630"/>
      <c r="J1630"/>
      <c r="K1630"/>
    </row>
    <row r="1631" spans="2:11" x14ac:dyDescent="0.35">
      <c r="B1631" s="1953"/>
      <c r="C1631" s="1953"/>
      <c r="D1631" s="1953"/>
      <c r="E1631" s="1953"/>
      <c r="F1631" s="1953"/>
      <c r="G1631" s="1953"/>
      <c r="H1631" s="1953"/>
      <c r="I1631"/>
      <c r="J1631"/>
      <c r="K1631"/>
    </row>
    <row r="1632" spans="2:11" x14ac:dyDescent="0.35">
      <c r="B1632" s="1953"/>
      <c r="C1632" s="1953"/>
      <c r="D1632" s="1953"/>
      <c r="E1632" s="1953"/>
      <c r="F1632" s="1953"/>
      <c r="G1632" s="1953"/>
      <c r="H1632" s="1953"/>
      <c r="I1632"/>
      <c r="J1632"/>
      <c r="K1632"/>
    </row>
    <row r="1633" spans="2:11" x14ac:dyDescent="0.35">
      <c r="B1633" s="1953"/>
      <c r="C1633" s="1953"/>
      <c r="D1633" s="1953"/>
      <c r="E1633" s="1953"/>
      <c r="F1633" s="1953"/>
      <c r="G1633" s="1953"/>
      <c r="H1633" s="1953"/>
      <c r="I1633"/>
      <c r="J1633"/>
      <c r="K1633"/>
    </row>
    <row r="1634" spans="2:11" x14ac:dyDescent="0.35">
      <c r="B1634" s="1953"/>
      <c r="C1634" s="1953"/>
      <c r="D1634" s="1953"/>
      <c r="E1634" s="1953"/>
      <c r="F1634" s="1953"/>
      <c r="G1634" s="1953"/>
      <c r="H1634" s="1953"/>
      <c r="I1634"/>
      <c r="J1634"/>
      <c r="K1634"/>
    </row>
    <row r="1635" spans="2:11" x14ac:dyDescent="0.35">
      <c r="B1635" s="1953"/>
      <c r="C1635" s="1953"/>
      <c r="D1635" s="1953"/>
      <c r="E1635" s="1953"/>
      <c r="F1635" s="1953"/>
      <c r="G1635" s="1953"/>
      <c r="H1635" s="1953"/>
      <c r="I1635"/>
      <c r="J1635"/>
      <c r="K1635"/>
    </row>
    <row r="1636" spans="2:11" x14ac:dyDescent="0.35">
      <c r="B1636" s="1953"/>
      <c r="C1636" s="1953"/>
      <c r="D1636" s="1953"/>
      <c r="E1636" s="1953"/>
      <c r="F1636" s="1953"/>
      <c r="G1636" s="1953"/>
      <c r="H1636" s="1953"/>
      <c r="I1636"/>
      <c r="J1636"/>
      <c r="K1636"/>
    </row>
    <row r="1637" spans="2:11" x14ac:dyDescent="0.35">
      <c r="B1637" s="1953"/>
      <c r="C1637" s="1953"/>
      <c r="D1637" s="1953"/>
      <c r="E1637" s="1953"/>
      <c r="F1637" s="1953"/>
      <c r="G1637" s="1953"/>
      <c r="H1637" s="1953"/>
      <c r="I1637"/>
      <c r="J1637"/>
      <c r="K1637"/>
    </row>
    <row r="1638" spans="2:11" x14ac:dyDescent="0.35">
      <c r="B1638" s="1953"/>
      <c r="C1638" s="1953"/>
      <c r="D1638" s="1953"/>
      <c r="E1638" s="1953"/>
      <c r="F1638" s="1953"/>
      <c r="G1638" s="1953"/>
      <c r="H1638" s="1953"/>
      <c r="I1638"/>
      <c r="J1638"/>
      <c r="K1638"/>
    </row>
    <row r="1639" spans="2:11" x14ac:dyDescent="0.35">
      <c r="B1639" s="1953"/>
      <c r="C1639" s="1953"/>
      <c r="D1639" s="1953"/>
      <c r="E1639" s="1953"/>
      <c r="F1639" s="1953"/>
      <c r="G1639" s="1953"/>
      <c r="H1639" s="1953"/>
      <c r="I1639"/>
      <c r="J1639"/>
      <c r="K1639"/>
    </row>
    <row r="1640" spans="2:11" x14ac:dyDescent="0.35">
      <c r="B1640" s="1953"/>
      <c r="C1640" s="1953"/>
      <c r="D1640" s="1953"/>
      <c r="E1640" s="1953"/>
      <c r="F1640" s="1953"/>
      <c r="G1640" s="1953"/>
      <c r="H1640" s="1953"/>
      <c r="I1640"/>
      <c r="J1640"/>
      <c r="K1640"/>
    </row>
    <row r="1641" spans="2:11" x14ac:dyDescent="0.35">
      <c r="B1641" s="1953"/>
      <c r="C1641" s="1953"/>
      <c r="D1641" s="1953"/>
      <c r="E1641" s="1953"/>
      <c r="F1641" s="1953"/>
      <c r="G1641" s="1953"/>
      <c r="H1641" s="1953"/>
      <c r="I1641"/>
      <c r="J1641"/>
      <c r="K1641"/>
    </row>
    <row r="1642" spans="2:11" x14ac:dyDescent="0.35">
      <c r="B1642" s="1953"/>
      <c r="C1642" s="1953"/>
      <c r="D1642" s="1953"/>
      <c r="E1642" s="1953"/>
      <c r="F1642" s="1953"/>
      <c r="G1642" s="1953"/>
      <c r="H1642" s="1953"/>
      <c r="I1642"/>
      <c r="J1642"/>
      <c r="K1642"/>
    </row>
    <row r="1643" spans="2:11" x14ac:dyDescent="0.35">
      <c r="B1643" s="1953"/>
      <c r="C1643" s="1953"/>
      <c r="D1643" s="1953"/>
      <c r="E1643" s="1953"/>
      <c r="F1643" s="1953"/>
      <c r="G1643" s="1953"/>
      <c r="H1643" s="1953"/>
      <c r="I1643"/>
      <c r="J1643"/>
      <c r="K1643"/>
    </row>
    <row r="1644" spans="2:11" x14ac:dyDescent="0.35">
      <c r="B1644" s="1953"/>
      <c r="C1644" s="1953"/>
      <c r="D1644" s="1953"/>
      <c r="E1644" s="1953"/>
      <c r="F1644" s="1953"/>
      <c r="G1644" s="1953"/>
      <c r="H1644" s="1953"/>
      <c r="I1644"/>
      <c r="J1644"/>
      <c r="K1644"/>
    </row>
    <row r="1645" spans="2:11" x14ac:dyDescent="0.35">
      <c r="B1645" s="1953"/>
      <c r="C1645" s="1953"/>
      <c r="D1645" s="1953"/>
      <c r="E1645" s="1953"/>
      <c r="F1645" s="1953"/>
      <c r="G1645" s="1953"/>
      <c r="H1645" s="1953"/>
      <c r="I1645"/>
      <c r="J1645"/>
      <c r="K1645"/>
    </row>
    <row r="1646" spans="2:11" x14ac:dyDescent="0.35">
      <c r="B1646" s="1953"/>
      <c r="C1646" s="1953"/>
      <c r="D1646" s="1953"/>
      <c r="E1646" s="1953"/>
      <c r="F1646" s="1953"/>
      <c r="G1646" s="1953"/>
      <c r="H1646" s="1953"/>
      <c r="I1646"/>
      <c r="J1646"/>
      <c r="K1646"/>
    </row>
    <row r="1647" spans="2:11" x14ac:dyDescent="0.35">
      <c r="B1647" s="1953"/>
      <c r="C1647" s="1953"/>
      <c r="D1647" s="1953"/>
      <c r="E1647" s="1953"/>
      <c r="F1647" s="1953"/>
      <c r="G1647" s="1953"/>
      <c r="H1647" s="1953"/>
      <c r="I1647"/>
      <c r="J1647"/>
      <c r="K1647"/>
    </row>
    <row r="1648" spans="2:11" x14ac:dyDescent="0.35">
      <c r="B1648" s="1953"/>
      <c r="C1648" s="1953"/>
      <c r="D1648" s="1953"/>
      <c r="E1648" s="1953"/>
      <c r="F1648" s="1953"/>
      <c r="G1648" s="1953"/>
      <c r="H1648" s="1953"/>
      <c r="I1648"/>
      <c r="J1648"/>
      <c r="K1648"/>
    </row>
    <row r="1649" spans="2:11" x14ac:dyDescent="0.35">
      <c r="B1649" s="1953"/>
      <c r="C1649" s="1953"/>
      <c r="D1649" s="1953"/>
      <c r="E1649" s="1953"/>
      <c r="F1649" s="1953"/>
      <c r="G1649" s="1953"/>
      <c r="H1649" s="1953"/>
      <c r="I1649"/>
      <c r="J1649"/>
      <c r="K1649"/>
    </row>
    <row r="1650" spans="2:11" x14ac:dyDescent="0.35">
      <c r="B1650" s="1953"/>
      <c r="C1650" s="1953"/>
      <c r="D1650" s="1953"/>
      <c r="E1650" s="1953"/>
      <c r="F1650" s="1953"/>
      <c r="G1650" s="1953"/>
      <c r="H1650" s="1953"/>
      <c r="I1650"/>
      <c r="J1650"/>
      <c r="K1650"/>
    </row>
    <row r="1651" spans="2:11" x14ac:dyDescent="0.35">
      <c r="B1651" s="1953"/>
      <c r="C1651" s="1953"/>
      <c r="D1651" s="1953"/>
      <c r="E1651" s="1953"/>
      <c r="F1651" s="1953"/>
      <c r="G1651" s="1953"/>
      <c r="H1651" s="1953"/>
      <c r="I1651"/>
      <c r="J1651"/>
      <c r="K1651"/>
    </row>
    <row r="1652" spans="2:11" x14ac:dyDescent="0.35">
      <c r="B1652" s="1953"/>
      <c r="C1652" s="1953"/>
      <c r="D1652" s="1953"/>
      <c r="E1652" s="1953"/>
      <c r="F1652" s="1953"/>
      <c r="G1652" s="1953"/>
      <c r="H1652" s="1953"/>
      <c r="I1652"/>
      <c r="J1652"/>
      <c r="K1652"/>
    </row>
    <row r="1653" spans="2:11" x14ac:dyDescent="0.35">
      <c r="B1653" s="1953"/>
      <c r="C1653" s="1953"/>
      <c r="D1653" s="1953"/>
      <c r="E1653" s="1953"/>
      <c r="F1653" s="1953"/>
      <c r="G1653" s="1953"/>
      <c r="H1653" s="1953"/>
      <c r="I1653"/>
      <c r="J1653"/>
      <c r="K1653"/>
    </row>
    <row r="1654" spans="2:11" x14ac:dyDescent="0.35">
      <c r="B1654" s="1953"/>
      <c r="C1654" s="1953"/>
      <c r="D1654" s="1953"/>
      <c r="E1654" s="1953"/>
      <c r="F1654" s="1953"/>
      <c r="G1654" s="1953"/>
      <c r="H1654" s="1953"/>
      <c r="I1654"/>
      <c r="J1654"/>
      <c r="K1654"/>
    </row>
    <row r="1655" spans="2:11" x14ac:dyDescent="0.35">
      <c r="B1655" s="1953"/>
      <c r="C1655" s="1953"/>
      <c r="D1655" s="1953"/>
      <c r="E1655" s="1953"/>
      <c r="F1655" s="1953"/>
      <c r="G1655" s="1953"/>
      <c r="H1655" s="1953"/>
      <c r="I1655"/>
      <c r="J1655"/>
      <c r="K1655"/>
    </row>
    <row r="1656" spans="2:11" x14ac:dyDescent="0.35">
      <c r="B1656" s="1953"/>
      <c r="C1656" s="1953"/>
      <c r="D1656" s="1953"/>
      <c r="E1656" s="1953"/>
      <c r="F1656" s="1953"/>
      <c r="G1656" s="1953"/>
      <c r="H1656" s="1953"/>
      <c r="I1656"/>
      <c r="J1656"/>
      <c r="K1656"/>
    </row>
    <row r="1657" spans="2:11" x14ac:dyDescent="0.35">
      <c r="B1657" s="1953"/>
      <c r="C1657" s="1953"/>
      <c r="D1657" s="1953"/>
      <c r="E1657" s="1953"/>
      <c r="F1657" s="1953"/>
      <c r="G1657" s="1953"/>
      <c r="H1657" s="1953"/>
      <c r="I1657"/>
      <c r="J1657"/>
      <c r="K1657"/>
    </row>
    <row r="1658" spans="2:11" x14ac:dyDescent="0.35">
      <c r="B1658" s="1953"/>
      <c r="C1658" s="1953"/>
      <c r="D1658" s="1953"/>
      <c r="E1658" s="1953"/>
      <c r="F1658" s="1953"/>
      <c r="G1658" s="1953"/>
      <c r="H1658" s="1953"/>
      <c r="I1658"/>
      <c r="J1658"/>
      <c r="K1658"/>
    </row>
    <row r="1659" spans="2:11" x14ac:dyDescent="0.35">
      <c r="B1659" s="1953"/>
      <c r="C1659" s="1953"/>
      <c r="D1659" s="1953"/>
      <c r="E1659" s="1953"/>
      <c r="F1659" s="1953"/>
      <c r="G1659" s="1953"/>
      <c r="H1659" s="1953"/>
      <c r="I1659"/>
      <c r="J1659"/>
      <c r="K1659"/>
    </row>
    <row r="1660" spans="2:11" x14ac:dyDescent="0.35">
      <c r="B1660" s="1953"/>
      <c r="C1660" s="1953"/>
      <c r="D1660" s="1953"/>
      <c r="E1660" s="1953"/>
      <c r="F1660" s="1953"/>
      <c r="G1660" s="1953"/>
      <c r="H1660" s="1953"/>
      <c r="I1660"/>
      <c r="J1660"/>
      <c r="K1660"/>
    </row>
    <row r="1661" spans="2:11" x14ac:dyDescent="0.35">
      <c r="B1661" s="1953"/>
      <c r="C1661" s="1953"/>
      <c r="D1661" s="1953"/>
      <c r="E1661" s="1953"/>
      <c r="F1661" s="1953"/>
      <c r="G1661" s="1953"/>
      <c r="H1661" s="1953"/>
      <c r="I1661"/>
      <c r="J1661"/>
      <c r="K1661"/>
    </row>
    <row r="1662" spans="2:11" x14ac:dyDescent="0.35">
      <c r="B1662" s="1953"/>
      <c r="C1662" s="1953"/>
      <c r="D1662" s="1953"/>
      <c r="E1662" s="1953"/>
      <c r="F1662" s="1953"/>
      <c r="G1662" s="1953"/>
      <c r="H1662" s="1953"/>
      <c r="I1662"/>
      <c r="J1662"/>
      <c r="K1662"/>
    </row>
    <row r="1663" spans="2:11" x14ac:dyDescent="0.35">
      <c r="B1663" s="1953"/>
      <c r="C1663" s="1953"/>
      <c r="D1663" s="1953"/>
      <c r="E1663" s="1953"/>
      <c r="F1663" s="1953"/>
      <c r="G1663" s="1953"/>
      <c r="H1663" s="1953"/>
      <c r="I1663"/>
      <c r="J1663"/>
      <c r="K1663"/>
    </row>
    <row r="1664" spans="2:11" x14ac:dyDescent="0.35">
      <c r="B1664" s="1953"/>
      <c r="C1664" s="1953"/>
      <c r="D1664" s="1953"/>
      <c r="E1664" s="1953"/>
      <c r="F1664" s="1953"/>
      <c r="G1664" s="1953"/>
      <c r="H1664" s="1953"/>
      <c r="I1664"/>
      <c r="J1664"/>
      <c r="K1664"/>
    </row>
    <row r="1665" spans="2:11" x14ac:dyDescent="0.35">
      <c r="B1665" s="1953"/>
      <c r="C1665" s="1953"/>
      <c r="D1665" s="1953"/>
      <c r="E1665" s="1953"/>
      <c r="F1665" s="1953"/>
      <c r="G1665" s="1953"/>
      <c r="H1665" s="1953"/>
      <c r="I1665"/>
      <c r="J1665"/>
      <c r="K1665"/>
    </row>
    <row r="1666" spans="2:11" x14ac:dyDescent="0.35">
      <c r="B1666" s="1953"/>
      <c r="C1666" s="1953"/>
      <c r="D1666" s="1953"/>
      <c r="E1666" s="1953"/>
      <c r="F1666" s="1953"/>
      <c r="G1666" s="1953"/>
      <c r="H1666" s="1953"/>
      <c r="I1666"/>
      <c r="J1666"/>
      <c r="K1666"/>
    </row>
    <row r="1667" spans="2:11" x14ac:dyDescent="0.35">
      <c r="B1667" s="1953"/>
      <c r="C1667" s="1953"/>
      <c r="D1667" s="1953"/>
      <c r="E1667" s="1953"/>
      <c r="F1667" s="1953"/>
      <c r="G1667" s="1953"/>
      <c r="H1667" s="1953"/>
      <c r="I1667"/>
      <c r="J1667"/>
      <c r="K1667"/>
    </row>
    <row r="1668" spans="2:11" x14ac:dyDescent="0.35">
      <c r="B1668" s="1953"/>
      <c r="C1668" s="1953"/>
      <c r="D1668" s="1953"/>
      <c r="E1668" s="1953"/>
      <c r="F1668" s="1953"/>
      <c r="G1668" s="1953"/>
      <c r="H1668" s="1953"/>
      <c r="I1668"/>
      <c r="J1668"/>
      <c r="K1668"/>
    </row>
    <row r="1669" spans="2:11" x14ac:dyDescent="0.35">
      <c r="B1669" s="1953"/>
      <c r="C1669" s="1953"/>
      <c r="D1669" s="1953"/>
      <c r="E1669" s="1953"/>
      <c r="F1669" s="1953"/>
      <c r="G1669" s="1953"/>
      <c r="H1669" s="1953"/>
      <c r="I1669"/>
      <c r="J1669"/>
      <c r="K1669"/>
    </row>
    <row r="1670" spans="2:11" x14ac:dyDescent="0.35">
      <c r="B1670" s="1953"/>
      <c r="C1670" s="1953"/>
      <c r="D1670" s="1953"/>
      <c r="E1670" s="1953"/>
      <c r="F1670" s="1953"/>
      <c r="G1670" s="1953"/>
      <c r="H1670" s="1953"/>
      <c r="I1670"/>
      <c r="J1670"/>
      <c r="K1670"/>
    </row>
    <row r="1671" spans="2:11" x14ac:dyDescent="0.35">
      <c r="B1671" s="1953"/>
      <c r="C1671" s="1953"/>
      <c r="D1671" s="1953"/>
      <c r="E1671" s="1953"/>
      <c r="F1671" s="1953"/>
      <c r="G1671" s="1953"/>
      <c r="H1671" s="1953"/>
      <c r="I1671"/>
      <c r="J1671"/>
      <c r="K1671"/>
    </row>
    <row r="1672" spans="2:11" x14ac:dyDescent="0.35">
      <c r="B1672" s="1953"/>
      <c r="C1672" s="1953"/>
      <c r="D1672" s="1953"/>
      <c r="E1672" s="1953"/>
      <c r="F1672" s="1953"/>
      <c r="G1672" s="1953"/>
      <c r="H1672" s="1953"/>
      <c r="I1672"/>
      <c r="J1672"/>
      <c r="K1672"/>
    </row>
    <row r="1673" spans="2:11" x14ac:dyDescent="0.35">
      <c r="B1673" s="1953"/>
      <c r="C1673" s="1953"/>
      <c r="D1673" s="1953"/>
      <c r="E1673" s="1953"/>
      <c r="F1673" s="1953"/>
      <c r="G1673" s="1953"/>
      <c r="H1673" s="1953"/>
      <c r="I1673"/>
      <c r="J1673"/>
      <c r="K1673"/>
    </row>
    <row r="1674" spans="2:11" x14ac:dyDescent="0.35">
      <c r="B1674" s="1953"/>
      <c r="C1674" s="1953"/>
      <c r="D1674" s="1953"/>
      <c r="E1674" s="1953"/>
      <c r="F1674" s="1953"/>
      <c r="G1674" s="1953"/>
      <c r="H1674" s="1953"/>
      <c r="I1674"/>
      <c r="J1674"/>
      <c r="K1674"/>
    </row>
    <row r="1675" spans="2:11" x14ac:dyDescent="0.35">
      <c r="B1675" s="1953"/>
      <c r="C1675" s="1953"/>
      <c r="D1675" s="1953"/>
      <c r="E1675" s="1953"/>
      <c r="F1675" s="1953"/>
      <c r="G1675" s="1953"/>
      <c r="H1675" s="1953"/>
      <c r="I1675"/>
      <c r="J1675"/>
      <c r="K1675"/>
    </row>
    <row r="1676" spans="2:11" x14ac:dyDescent="0.35">
      <c r="B1676" s="1953"/>
      <c r="C1676" s="1953"/>
      <c r="D1676" s="1953"/>
      <c r="E1676" s="1953"/>
      <c r="F1676" s="1953"/>
      <c r="G1676" s="1953"/>
      <c r="H1676" s="1953"/>
      <c r="I1676"/>
      <c r="J1676"/>
      <c r="K1676"/>
    </row>
    <row r="1677" spans="2:11" x14ac:dyDescent="0.35">
      <c r="B1677" s="1953"/>
      <c r="C1677" s="1953"/>
      <c r="D1677" s="1953"/>
      <c r="E1677" s="1953"/>
      <c r="F1677" s="1953"/>
      <c r="G1677" s="1953"/>
      <c r="H1677" s="1953"/>
      <c r="I1677"/>
      <c r="J1677"/>
      <c r="K1677"/>
    </row>
    <row r="1678" spans="2:11" x14ac:dyDescent="0.35">
      <c r="B1678" s="1953"/>
      <c r="C1678" s="1953"/>
      <c r="D1678" s="1953"/>
      <c r="E1678" s="1953"/>
      <c r="F1678" s="1953"/>
      <c r="G1678" s="1953"/>
      <c r="H1678" s="1953"/>
      <c r="I1678"/>
      <c r="J1678"/>
      <c r="K1678"/>
    </row>
    <row r="1679" spans="2:11" x14ac:dyDescent="0.35">
      <c r="B1679" s="1953"/>
      <c r="C1679" s="1953"/>
      <c r="D1679" s="1953"/>
      <c r="E1679" s="1953"/>
      <c r="F1679" s="1953"/>
      <c r="G1679" s="1953"/>
      <c r="H1679" s="1953"/>
      <c r="I1679"/>
      <c r="J1679"/>
      <c r="K1679"/>
    </row>
    <row r="1680" spans="2:11" x14ac:dyDescent="0.35">
      <c r="B1680" s="1953"/>
      <c r="C1680" s="1953"/>
      <c r="D1680" s="1953"/>
      <c r="E1680" s="1953"/>
      <c r="F1680" s="1953"/>
      <c r="G1680" s="1953"/>
      <c r="H1680" s="1953"/>
      <c r="I1680"/>
      <c r="J1680"/>
      <c r="K1680"/>
    </row>
    <row r="1681" spans="2:11" x14ac:dyDescent="0.35">
      <c r="B1681" s="1953"/>
      <c r="C1681" s="1953"/>
      <c r="D1681" s="1953"/>
      <c r="E1681" s="1953"/>
      <c r="F1681" s="1953"/>
      <c r="G1681" s="1953"/>
      <c r="H1681" s="1953"/>
      <c r="I1681"/>
      <c r="J1681"/>
      <c r="K1681"/>
    </row>
    <row r="1682" spans="2:11" x14ac:dyDescent="0.35">
      <c r="B1682" s="1953"/>
      <c r="C1682" s="1953"/>
      <c r="D1682" s="1953"/>
      <c r="E1682" s="1953"/>
      <c r="F1682" s="1953"/>
      <c r="G1682" s="1953"/>
      <c r="H1682" s="1953"/>
      <c r="I1682"/>
      <c r="J1682"/>
      <c r="K1682"/>
    </row>
    <row r="1683" spans="2:11" x14ac:dyDescent="0.35">
      <c r="B1683" s="1953"/>
      <c r="C1683" s="1953"/>
      <c r="D1683" s="1953"/>
      <c r="E1683" s="1953"/>
      <c r="F1683" s="1953"/>
      <c r="G1683" s="1953"/>
      <c r="H1683" s="1953"/>
      <c r="I1683"/>
      <c r="J1683"/>
      <c r="K1683"/>
    </row>
    <row r="1684" spans="2:11" x14ac:dyDescent="0.35">
      <c r="B1684" s="1953"/>
      <c r="C1684" s="1953"/>
      <c r="D1684" s="1953"/>
      <c r="E1684" s="1953"/>
      <c r="F1684" s="1953"/>
      <c r="G1684" s="1953"/>
      <c r="H1684" s="1953"/>
      <c r="I1684"/>
      <c r="J1684"/>
      <c r="K1684"/>
    </row>
    <row r="1685" spans="2:11" x14ac:dyDescent="0.35">
      <c r="B1685" s="1953"/>
      <c r="C1685" s="1953"/>
      <c r="D1685" s="1953"/>
      <c r="E1685" s="1953"/>
      <c r="F1685" s="1953"/>
      <c r="G1685" s="1953"/>
      <c r="H1685" s="1953"/>
      <c r="I1685"/>
      <c r="J1685"/>
      <c r="K1685"/>
    </row>
    <row r="1686" spans="2:11" x14ac:dyDescent="0.35">
      <c r="B1686" s="1953"/>
      <c r="C1686" s="1953"/>
      <c r="D1686" s="1953"/>
      <c r="E1686" s="1953"/>
      <c r="F1686" s="1953"/>
      <c r="G1686" s="1953"/>
      <c r="H1686" s="1953"/>
      <c r="I1686"/>
      <c r="J1686"/>
      <c r="K1686"/>
    </row>
    <row r="1687" spans="2:11" x14ac:dyDescent="0.35">
      <c r="B1687" s="1953"/>
      <c r="C1687" s="1953"/>
      <c r="D1687" s="1953"/>
      <c r="E1687" s="1953"/>
      <c r="F1687" s="1953"/>
      <c r="G1687" s="1953"/>
      <c r="H1687" s="1953"/>
      <c r="I1687"/>
      <c r="J1687"/>
      <c r="K1687"/>
    </row>
    <row r="1688" spans="2:11" x14ac:dyDescent="0.35">
      <c r="B1688" s="1953"/>
      <c r="C1688" s="1953"/>
      <c r="D1688" s="1953"/>
      <c r="E1688" s="1953"/>
      <c r="F1688" s="1953"/>
      <c r="G1688" s="1953"/>
      <c r="H1688" s="1953"/>
      <c r="I1688"/>
      <c r="J1688"/>
      <c r="K1688"/>
    </row>
    <row r="1689" spans="2:11" x14ac:dyDescent="0.35">
      <c r="B1689" s="1953"/>
      <c r="C1689" s="1953"/>
      <c r="D1689" s="1953"/>
      <c r="E1689" s="1953"/>
      <c r="F1689" s="1953"/>
      <c r="G1689" s="1953"/>
      <c r="H1689" s="1953"/>
      <c r="I1689"/>
      <c r="J1689"/>
      <c r="K1689"/>
    </row>
    <row r="1690" spans="2:11" x14ac:dyDescent="0.35">
      <c r="B1690" s="1953"/>
      <c r="C1690" s="1953"/>
      <c r="D1690" s="1953"/>
      <c r="E1690" s="1953"/>
      <c r="F1690" s="1953"/>
      <c r="G1690" s="1953"/>
      <c r="H1690" s="1953"/>
      <c r="I1690"/>
      <c r="J1690"/>
      <c r="K1690"/>
    </row>
    <row r="1691" spans="2:11" x14ac:dyDescent="0.35">
      <c r="B1691" s="1953"/>
      <c r="C1691" s="1953"/>
      <c r="D1691" s="1953"/>
      <c r="E1691" s="1953"/>
      <c r="F1691" s="1953"/>
      <c r="G1691" s="1953"/>
      <c r="H1691" s="1953"/>
      <c r="I1691"/>
      <c r="J1691"/>
      <c r="K1691"/>
    </row>
    <row r="1692" spans="2:11" x14ac:dyDescent="0.35">
      <c r="B1692" s="1953"/>
      <c r="C1692" s="1953"/>
      <c r="D1692" s="1953"/>
      <c r="E1692" s="1953"/>
      <c r="F1692" s="1953"/>
      <c r="G1692" s="1953"/>
      <c r="H1692" s="1953"/>
      <c r="I1692"/>
      <c r="J1692"/>
      <c r="K1692"/>
    </row>
    <row r="1693" spans="2:11" x14ac:dyDescent="0.35">
      <c r="B1693" s="1953"/>
      <c r="C1693" s="1953"/>
      <c r="D1693" s="1953"/>
      <c r="E1693" s="1953"/>
      <c r="F1693" s="1953"/>
      <c r="G1693" s="1953"/>
      <c r="H1693" s="1953"/>
      <c r="I1693"/>
      <c r="J1693"/>
      <c r="K1693"/>
    </row>
    <row r="1694" spans="2:11" x14ac:dyDescent="0.35">
      <c r="B1694" s="1953"/>
      <c r="C1694" s="1953"/>
      <c r="D1694" s="1953"/>
      <c r="E1694" s="1953"/>
      <c r="F1694" s="1953"/>
      <c r="G1694" s="1953"/>
      <c r="H1694" s="1953"/>
      <c r="I1694"/>
      <c r="J1694"/>
      <c r="K1694"/>
    </row>
    <row r="1695" spans="2:11" x14ac:dyDescent="0.35">
      <c r="B1695" s="1953"/>
      <c r="C1695" s="1953"/>
      <c r="D1695" s="1953"/>
      <c r="E1695" s="1953"/>
      <c r="F1695" s="1953"/>
      <c r="G1695" s="1953"/>
      <c r="H1695" s="1953"/>
      <c r="I1695"/>
      <c r="J1695"/>
      <c r="K1695"/>
    </row>
    <row r="1696" spans="2:11" x14ac:dyDescent="0.35">
      <c r="B1696" s="1953"/>
      <c r="C1696" s="1953"/>
      <c r="D1696" s="1953"/>
      <c r="E1696" s="1953"/>
      <c r="F1696" s="1953"/>
      <c r="G1696" s="1953"/>
      <c r="H1696" s="1953"/>
      <c r="I1696"/>
      <c r="J1696"/>
      <c r="K1696"/>
    </row>
    <row r="1697" spans="2:11" x14ac:dyDescent="0.35">
      <c r="B1697" s="1953"/>
      <c r="C1697" s="1953"/>
      <c r="D1697" s="1953"/>
      <c r="E1697" s="1953"/>
      <c r="F1697" s="1953"/>
      <c r="G1697" s="1953"/>
      <c r="H1697" s="1953"/>
      <c r="I1697"/>
      <c r="J1697"/>
      <c r="K1697"/>
    </row>
    <row r="1698" spans="2:11" x14ac:dyDescent="0.35">
      <c r="B1698" s="1953"/>
      <c r="C1698" s="1953"/>
      <c r="D1698" s="1953"/>
      <c r="E1698" s="1953"/>
      <c r="F1698" s="1953"/>
      <c r="G1698" s="1953"/>
      <c r="H1698" s="1953"/>
      <c r="I1698"/>
      <c r="J1698"/>
      <c r="K1698"/>
    </row>
    <row r="1699" spans="2:11" x14ac:dyDescent="0.35">
      <c r="B1699" s="1953"/>
      <c r="C1699" s="1953"/>
      <c r="D1699" s="1953"/>
      <c r="E1699" s="1953"/>
      <c r="F1699" s="1953"/>
      <c r="G1699" s="1953"/>
      <c r="H1699" s="1953"/>
      <c r="I1699"/>
      <c r="J1699"/>
      <c r="K1699"/>
    </row>
    <row r="1700" spans="2:11" x14ac:dyDescent="0.35">
      <c r="B1700" s="1953"/>
      <c r="C1700" s="1953"/>
      <c r="D1700" s="1953"/>
      <c r="E1700" s="1953"/>
      <c r="F1700" s="1953"/>
      <c r="G1700" s="1953"/>
      <c r="H1700" s="1953"/>
      <c r="I1700"/>
      <c r="J1700"/>
      <c r="K1700"/>
    </row>
    <row r="1701" spans="2:11" x14ac:dyDescent="0.35">
      <c r="B1701" s="1953"/>
      <c r="C1701" s="1953"/>
      <c r="D1701" s="1953"/>
      <c r="E1701" s="1953"/>
      <c r="F1701" s="1953"/>
      <c r="G1701" s="1953"/>
      <c r="H1701" s="1953"/>
      <c r="I1701"/>
      <c r="J1701"/>
      <c r="K1701"/>
    </row>
    <row r="1702" spans="2:11" x14ac:dyDescent="0.35">
      <c r="B1702" s="1953"/>
      <c r="C1702" s="1953"/>
      <c r="D1702" s="1953"/>
      <c r="E1702" s="1953"/>
      <c r="F1702" s="1953"/>
      <c r="G1702" s="1953"/>
      <c r="H1702" s="1953"/>
      <c r="I1702"/>
      <c r="J1702"/>
      <c r="K1702"/>
    </row>
    <row r="1703" spans="2:11" x14ac:dyDescent="0.35">
      <c r="B1703" s="1953"/>
      <c r="C1703" s="1953"/>
      <c r="D1703" s="1953"/>
      <c r="E1703" s="1953"/>
      <c r="F1703" s="1953"/>
      <c r="G1703" s="1953"/>
      <c r="H1703" s="1953"/>
      <c r="I1703"/>
      <c r="J1703"/>
      <c r="K1703"/>
    </row>
    <row r="1704" spans="2:11" x14ac:dyDescent="0.35">
      <c r="B1704" s="1953"/>
      <c r="C1704" s="1953"/>
      <c r="D1704" s="1953"/>
      <c r="E1704" s="1953"/>
      <c r="F1704" s="1953"/>
      <c r="G1704" s="1953"/>
      <c r="H1704" s="1953"/>
      <c r="I1704"/>
      <c r="J1704"/>
      <c r="K1704"/>
    </row>
    <row r="1705" spans="2:11" x14ac:dyDescent="0.35">
      <c r="B1705" s="1953"/>
      <c r="C1705" s="1953"/>
      <c r="D1705" s="1953"/>
      <c r="E1705" s="1953"/>
      <c r="F1705" s="1953"/>
      <c r="G1705" s="1953"/>
      <c r="H1705" s="1953"/>
      <c r="I1705"/>
      <c r="J1705"/>
      <c r="K1705"/>
    </row>
    <row r="1706" spans="2:11" x14ac:dyDescent="0.35">
      <c r="B1706" s="1953"/>
      <c r="C1706" s="1953"/>
      <c r="D1706" s="1953"/>
      <c r="E1706" s="1953"/>
      <c r="F1706" s="1953"/>
      <c r="G1706" s="1953"/>
      <c r="H1706" s="1953"/>
      <c r="I1706"/>
      <c r="J1706"/>
      <c r="K1706"/>
    </row>
    <row r="1707" spans="2:11" x14ac:dyDescent="0.35">
      <c r="B1707" s="1953"/>
      <c r="C1707" s="1953"/>
      <c r="D1707" s="1953"/>
      <c r="E1707" s="1953"/>
      <c r="F1707" s="1953"/>
      <c r="G1707" s="1953"/>
      <c r="H1707" s="1953"/>
      <c r="I1707"/>
      <c r="J1707"/>
      <c r="K1707"/>
    </row>
    <row r="1708" spans="2:11" x14ac:dyDescent="0.35">
      <c r="B1708" s="1953"/>
      <c r="C1708" s="1953"/>
      <c r="D1708" s="1953"/>
      <c r="E1708" s="1953"/>
      <c r="F1708" s="1953"/>
      <c r="G1708" s="1953"/>
      <c r="H1708" s="1953"/>
      <c r="I1708"/>
      <c r="J1708"/>
      <c r="K1708"/>
    </row>
    <row r="1709" spans="2:11" x14ac:dyDescent="0.35">
      <c r="B1709" s="1953"/>
      <c r="C1709" s="1953"/>
      <c r="D1709" s="1953"/>
      <c r="E1709" s="1953"/>
      <c r="F1709" s="1953"/>
      <c r="G1709" s="1953"/>
      <c r="H1709" s="1953"/>
      <c r="I1709"/>
      <c r="J1709"/>
      <c r="K1709"/>
    </row>
    <row r="1710" spans="2:11" x14ac:dyDescent="0.35">
      <c r="B1710" s="1953"/>
      <c r="C1710" s="1953"/>
      <c r="D1710" s="1953"/>
      <c r="E1710" s="1953"/>
      <c r="F1710" s="1953"/>
      <c r="G1710" s="1953"/>
      <c r="H1710" s="1953"/>
      <c r="I1710"/>
      <c r="J1710"/>
      <c r="K1710"/>
    </row>
    <row r="1711" spans="2:11" x14ac:dyDescent="0.35">
      <c r="B1711" s="1953"/>
      <c r="C1711" s="1953"/>
      <c r="D1711" s="1953"/>
      <c r="E1711" s="1953"/>
      <c r="F1711" s="1953"/>
      <c r="G1711" s="1953"/>
      <c r="H1711" s="1953"/>
      <c r="I1711"/>
      <c r="J1711"/>
      <c r="K1711"/>
    </row>
    <row r="1712" spans="2:11" x14ac:dyDescent="0.35">
      <c r="B1712" s="1953"/>
      <c r="C1712" s="1953"/>
      <c r="D1712" s="1953"/>
      <c r="E1712" s="1953"/>
      <c r="F1712" s="1953"/>
      <c r="G1712" s="1953"/>
      <c r="H1712" s="1953"/>
      <c r="I1712"/>
      <c r="J1712"/>
      <c r="K1712"/>
    </row>
    <row r="1713" spans="2:11" x14ac:dyDescent="0.35">
      <c r="B1713" s="1953"/>
      <c r="C1713" s="1953"/>
      <c r="D1713" s="1953"/>
      <c r="E1713" s="1953"/>
      <c r="F1713" s="1953"/>
      <c r="G1713" s="1953"/>
      <c r="H1713" s="1953"/>
      <c r="I1713"/>
      <c r="J1713"/>
      <c r="K1713"/>
    </row>
    <row r="1714" spans="2:11" x14ac:dyDescent="0.35">
      <c r="B1714" s="1953"/>
      <c r="C1714" s="1953"/>
      <c r="D1714" s="1953"/>
      <c r="E1714" s="1953"/>
      <c r="F1714" s="1953"/>
      <c r="G1714" s="1953"/>
      <c r="H1714" s="1953"/>
      <c r="I1714"/>
      <c r="J1714"/>
      <c r="K1714"/>
    </row>
    <row r="1715" spans="2:11" x14ac:dyDescent="0.35">
      <c r="B1715" s="1953"/>
      <c r="C1715" s="1953"/>
      <c r="D1715" s="1953"/>
      <c r="E1715" s="1953"/>
      <c r="F1715" s="1953"/>
      <c r="G1715" s="1953"/>
      <c r="H1715" s="1953"/>
      <c r="I1715"/>
      <c r="J1715"/>
      <c r="K1715"/>
    </row>
    <row r="1716" spans="2:11" x14ac:dyDescent="0.35">
      <c r="B1716" s="1953"/>
      <c r="C1716" s="1953"/>
      <c r="D1716" s="1953"/>
      <c r="E1716" s="1953"/>
      <c r="F1716" s="1953"/>
      <c r="G1716" s="1953"/>
      <c r="H1716" s="1953"/>
      <c r="I1716"/>
      <c r="J1716"/>
      <c r="K1716"/>
    </row>
    <row r="1717" spans="2:11" x14ac:dyDescent="0.35">
      <c r="B1717" s="1953"/>
      <c r="C1717" s="1953"/>
      <c r="D1717" s="1953"/>
      <c r="E1717" s="1953"/>
      <c r="F1717" s="1953"/>
      <c r="G1717" s="1953"/>
      <c r="H1717" s="1953"/>
      <c r="I1717"/>
      <c r="J1717"/>
      <c r="K1717"/>
    </row>
    <row r="1718" spans="2:11" x14ac:dyDescent="0.35">
      <c r="B1718" s="1953"/>
      <c r="C1718" s="1953"/>
      <c r="D1718" s="1953"/>
      <c r="E1718" s="1953"/>
      <c r="F1718" s="1953"/>
      <c r="G1718" s="1953"/>
      <c r="H1718" s="1953"/>
      <c r="I1718"/>
      <c r="J1718"/>
      <c r="K1718"/>
    </row>
    <row r="1719" spans="2:11" x14ac:dyDescent="0.35">
      <c r="B1719" s="1953"/>
      <c r="C1719" s="1953"/>
      <c r="D1719" s="1953"/>
      <c r="E1719" s="1953"/>
      <c r="F1719" s="1953"/>
      <c r="G1719" s="1953"/>
      <c r="H1719" s="1953"/>
      <c r="I1719"/>
      <c r="J1719"/>
      <c r="K1719"/>
    </row>
    <row r="1720" spans="2:11" x14ac:dyDescent="0.35">
      <c r="B1720" s="1953"/>
      <c r="C1720" s="1953"/>
      <c r="D1720" s="1953"/>
      <c r="E1720" s="1953"/>
      <c r="F1720" s="1953"/>
      <c r="G1720" s="1953"/>
      <c r="H1720" s="1953"/>
      <c r="I1720"/>
      <c r="J1720"/>
      <c r="K1720"/>
    </row>
    <row r="1721" spans="2:11" x14ac:dyDescent="0.35">
      <c r="B1721" s="1953"/>
      <c r="C1721" s="1953"/>
      <c r="D1721" s="1953"/>
      <c r="E1721" s="1953"/>
      <c r="F1721" s="1953"/>
      <c r="G1721" s="1953"/>
      <c r="H1721" s="1953"/>
      <c r="I1721"/>
      <c r="J1721"/>
      <c r="K1721"/>
    </row>
    <row r="1722" spans="2:11" x14ac:dyDescent="0.35">
      <c r="B1722" s="1953"/>
      <c r="C1722" s="1953"/>
      <c r="D1722" s="1953"/>
      <c r="E1722" s="1953"/>
      <c r="F1722" s="1953"/>
      <c r="G1722" s="1953"/>
      <c r="H1722" s="1953"/>
      <c r="I1722"/>
      <c r="J1722"/>
      <c r="K1722"/>
    </row>
    <row r="1723" spans="2:11" x14ac:dyDescent="0.35">
      <c r="B1723" s="1953"/>
      <c r="C1723" s="1953"/>
      <c r="D1723" s="1953"/>
      <c r="E1723" s="1953"/>
      <c r="F1723" s="1953"/>
      <c r="G1723" s="1953"/>
      <c r="H1723" s="1953"/>
      <c r="I1723"/>
      <c r="J1723"/>
      <c r="K1723"/>
    </row>
    <row r="1724" spans="2:11" x14ac:dyDescent="0.35">
      <c r="B1724" s="1953"/>
      <c r="C1724" s="1953"/>
      <c r="D1724" s="1953"/>
      <c r="E1724" s="1953"/>
      <c r="F1724" s="1953"/>
      <c r="G1724" s="1953"/>
      <c r="H1724" s="1953"/>
      <c r="I1724"/>
      <c r="J1724"/>
      <c r="K1724"/>
    </row>
    <row r="1725" spans="2:11" x14ac:dyDescent="0.35">
      <c r="B1725" s="1953"/>
      <c r="C1725" s="1953"/>
      <c r="D1725" s="1953"/>
      <c r="E1725" s="1953"/>
      <c r="F1725" s="1953"/>
      <c r="G1725" s="1953"/>
      <c r="H1725" s="1953"/>
      <c r="I1725"/>
      <c r="J1725"/>
      <c r="K1725"/>
    </row>
    <row r="1726" spans="2:11" x14ac:dyDescent="0.35">
      <c r="B1726" s="1953"/>
      <c r="C1726" s="1953"/>
      <c r="D1726" s="1953"/>
      <c r="E1726" s="1953"/>
      <c r="F1726" s="1953"/>
      <c r="G1726" s="1953"/>
      <c r="H1726" s="1953"/>
      <c r="I1726"/>
      <c r="J1726"/>
      <c r="K1726"/>
    </row>
    <row r="1727" spans="2:11" x14ac:dyDescent="0.35">
      <c r="B1727" s="1953"/>
      <c r="C1727" s="1953"/>
      <c r="D1727" s="1953"/>
      <c r="E1727" s="1953"/>
      <c r="F1727" s="1953"/>
      <c r="G1727" s="1953"/>
      <c r="H1727" s="1953"/>
      <c r="I1727"/>
      <c r="J1727"/>
      <c r="K1727"/>
    </row>
    <row r="1728" spans="2:11" x14ac:dyDescent="0.35">
      <c r="B1728" s="1953"/>
      <c r="C1728" s="1953"/>
      <c r="D1728" s="1953"/>
      <c r="E1728" s="1953"/>
      <c r="F1728" s="1953"/>
      <c r="G1728" s="1953"/>
      <c r="H1728" s="1953"/>
      <c r="I1728"/>
      <c r="J1728"/>
      <c r="K1728"/>
    </row>
    <row r="1729" spans="2:11" x14ac:dyDescent="0.35">
      <c r="B1729" s="1953"/>
      <c r="C1729" s="1953"/>
      <c r="D1729" s="1953"/>
      <c r="E1729" s="1953"/>
      <c r="F1729" s="1953"/>
      <c r="G1729" s="1953"/>
      <c r="H1729" s="1953"/>
      <c r="I1729"/>
      <c r="J1729"/>
      <c r="K1729"/>
    </row>
    <row r="1730" spans="2:11" x14ac:dyDescent="0.35">
      <c r="B1730" s="1953"/>
      <c r="C1730" s="1953"/>
      <c r="D1730" s="1953"/>
      <c r="E1730" s="1953"/>
      <c r="F1730" s="1953"/>
      <c r="G1730" s="1953"/>
      <c r="H1730" s="1953"/>
      <c r="I1730"/>
      <c r="J1730"/>
      <c r="K1730"/>
    </row>
    <row r="1731" spans="2:11" x14ac:dyDescent="0.35">
      <c r="B1731" s="1953"/>
      <c r="C1731" s="1953"/>
      <c r="D1731" s="1953"/>
      <c r="E1731" s="1953"/>
      <c r="F1731" s="1953"/>
      <c r="G1731" s="1953"/>
      <c r="H1731" s="1953"/>
      <c r="I1731"/>
      <c r="J1731"/>
      <c r="K1731"/>
    </row>
    <row r="1732" spans="2:11" x14ac:dyDescent="0.35">
      <c r="B1732" s="1953"/>
      <c r="C1732" s="1953"/>
      <c r="D1732" s="1953"/>
      <c r="E1732" s="1953"/>
      <c r="F1732" s="1953"/>
      <c r="G1732" s="1953"/>
      <c r="H1732" s="1953"/>
      <c r="I1732"/>
      <c r="J1732"/>
      <c r="K1732"/>
    </row>
    <row r="1733" spans="2:11" x14ac:dyDescent="0.35">
      <c r="B1733" s="1953"/>
      <c r="C1733" s="1953"/>
      <c r="D1733" s="1953"/>
      <c r="E1733" s="1953"/>
      <c r="F1733" s="1953"/>
      <c r="G1733" s="1953"/>
      <c r="H1733" s="1953"/>
      <c r="I1733"/>
      <c r="J1733"/>
      <c r="K1733"/>
    </row>
    <row r="1734" spans="2:11" x14ac:dyDescent="0.35">
      <c r="B1734" s="1953"/>
      <c r="C1734" s="1953"/>
      <c r="D1734" s="1953"/>
      <c r="E1734" s="1953"/>
      <c r="F1734" s="1953"/>
      <c r="G1734" s="1953"/>
      <c r="H1734" s="1953"/>
      <c r="I1734"/>
      <c r="J1734"/>
      <c r="K1734"/>
    </row>
    <row r="1735" spans="2:11" x14ac:dyDescent="0.35">
      <c r="B1735" s="1953"/>
      <c r="C1735" s="1953"/>
      <c r="D1735" s="1953"/>
      <c r="E1735" s="1953"/>
      <c r="F1735" s="1953"/>
      <c r="G1735" s="1953"/>
      <c r="H1735" s="1953"/>
      <c r="I1735"/>
      <c r="J1735"/>
      <c r="K1735"/>
    </row>
    <row r="1736" spans="2:11" x14ac:dyDescent="0.35">
      <c r="B1736" s="1953"/>
      <c r="C1736" s="1953"/>
      <c r="D1736" s="1953"/>
      <c r="E1736" s="1953"/>
      <c r="F1736" s="1953"/>
      <c r="G1736" s="1953"/>
      <c r="H1736" s="1953"/>
      <c r="I1736"/>
      <c r="J1736"/>
      <c r="K1736"/>
    </row>
    <row r="1737" spans="2:11" x14ac:dyDescent="0.35">
      <c r="B1737" s="1953"/>
      <c r="C1737" s="1953"/>
      <c r="D1737" s="1953"/>
      <c r="E1737" s="1953"/>
      <c r="F1737" s="1953"/>
      <c r="G1737" s="1953"/>
      <c r="H1737" s="1953"/>
      <c r="I1737"/>
      <c r="J1737"/>
      <c r="K1737"/>
    </row>
    <row r="1738" spans="2:11" x14ac:dyDescent="0.35">
      <c r="B1738" s="1953"/>
      <c r="C1738" s="1953"/>
      <c r="D1738" s="1953"/>
      <c r="E1738" s="1953"/>
      <c r="F1738" s="1953"/>
      <c r="G1738" s="1953"/>
      <c r="H1738" s="1953"/>
      <c r="I1738"/>
      <c r="J1738"/>
      <c r="K1738"/>
    </row>
    <row r="1739" spans="2:11" x14ac:dyDescent="0.35">
      <c r="B1739" s="1953"/>
      <c r="C1739" s="1953"/>
      <c r="D1739" s="1953"/>
      <c r="E1739" s="1953"/>
      <c r="F1739" s="1953"/>
      <c r="G1739" s="1953"/>
      <c r="H1739" s="1953"/>
      <c r="I1739"/>
      <c r="J1739"/>
      <c r="K1739"/>
    </row>
    <row r="1740" spans="2:11" x14ac:dyDescent="0.35">
      <c r="B1740" s="1953"/>
      <c r="C1740" s="1953"/>
      <c r="D1740" s="1953"/>
      <c r="E1740" s="1953"/>
      <c r="F1740" s="1953"/>
      <c r="G1740" s="1953"/>
      <c r="H1740" s="1953"/>
      <c r="I1740"/>
      <c r="J1740"/>
      <c r="K1740"/>
    </row>
    <row r="1741" spans="2:11" x14ac:dyDescent="0.35">
      <c r="B1741" s="1953"/>
      <c r="C1741" s="1953"/>
      <c r="D1741" s="1953"/>
      <c r="E1741" s="1953"/>
      <c r="F1741" s="1953"/>
      <c r="G1741" s="1953"/>
      <c r="H1741" s="1953"/>
      <c r="I1741"/>
      <c r="J1741"/>
      <c r="K1741"/>
    </row>
    <row r="1742" spans="2:11" x14ac:dyDescent="0.35">
      <c r="B1742" s="1953"/>
      <c r="C1742" s="1953"/>
      <c r="D1742" s="1953"/>
      <c r="E1742" s="1953"/>
      <c r="F1742" s="1953"/>
      <c r="G1742" s="1953"/>
      <c r="H1742" s="1953"/>
      <c r="I1742"/>
      <c r="J1742"/>
      <c r="K1742"/>
    </row>
    <row r="1743" spans="2:11" x14ac:dyDescent="0.35">
      <c r="B1743" s="1953"/>
      <c r="C1743" s="1953"/>
      <c r="D1743" s="1953"/>
      <c r="E1743" s="1953"/>
      <c r="F1743" s="1953"/>
      <c r="G1743" s="1953"/>
      <c r="H1743" s="1953"/>
      <c r="I1743"/>
      <c r="J1743"/>
      <c r="K1743"/>
    </row>
    <row r="1744" spans="2:11" x14ac:dyDescent="0.35">
      <c r="B1744" s="1953"/>
      <c r="C1744" s="1953"/>
      <c r="D1744" s="1953"/>
      <c r="E1744" s="1953"/>
      <c r="F1744" s="1953"/>
      <c r="G1744" s="1953"/>
      <c r="H1744" s="1953"/>
      <c r="I1744"/>
      <c r="J1744"/>
      <c r="K1744"/>
    </row>
    <row r="1745" spans="2:11" x14ac:dyDescent="0.35">
      <c r="B1745" s="1953"/>
      <c r="C1745" s="1953"/>
      <c r="D1745" s="1953"/>
      <c r="E1745" s="1953"/>
      <c r="F1745" s="1953"/>
      <c r="G1745" s="1953"/>
      <c r="H1745" s="1953"/>
      <c r="I1745"/>
      <c r="J1745"/>
      <c r="K1745"/>
    </row>
    <row r="1746" spans="2:11" x14ac:dyDescent="0.35">
      <c r="B1746" s="1953"/>
      <c r="C1746" s="1953"/>
      <c r="D1746" s="1953"/>
      <c r="E1746" s="1953"/>
      <c r="F1746" s="1953"/>
      <c r="G1746" s="1953"/>
      <c r="H1746" s="1953"/>
      <c r="I1746"/>
      <c r="J1746"/>
      <c r="K1746"/>
    </row>
    <row r="1747" spans="2:11" x14ac:dyDescent="0.35">
      <c r="B1747" s="1953"/>
      <c r="C1747" s="1953"/>
      <c r="D1747" s="1953"/>
      <c r="E1747" s="1953"/>
      <c r="F1747" s="1953"/>
      <c r="G1747" s="1953"/>
      <c r="H1747" s="1953"/>
      <c r="I1747"/>
      <c r="J1747"/>
      <c r="K1747"/>
    </row>
    <row r="1748" spans="2:11" x14ac:dyDescent="0.35">
      <c r="B1748" s="1953"/>
      <c r="C1748" s="1953"/>
      <c r="D1748" s="1953"/>
      <c r="E1748" s="1953"/>
      <c r="F1748" s="1953"/>
      <c r="G1748" s="1953"/>
      <c r="H1748" s="1953"/>
      <c r="I1748"/>
      <c r="J1748"/>
      <c r="K1748"/>
    </row>
    <row r="1749" spans="2:11" x14ac:dyDescent="0.35">
      <c r="B1749" s="1953"/>
      <c r="C1749" s="1953"/>
      <c r="D1749" s="1953"/>
      <c r="E1749" s="1953"/>
      <c r="F1749" s="1953"/>
      <c r="G1749" s="1953"/>
      <c r="H1749" s="1953"/>
      <c r="I1749"/>
      <c r="J1749"/>
      <c r="K1749"/>
    </row>
    <row r="1750" spans="2:11" x14ac:dyDescent="0.35">
      <c r="B1750" s="1953"/>
      <c r="C1750" s="1953"/>
      <c r="D1750" s="1953"/>
      <c r="E1750" s="1953"/>
      <c r="F1750" s="1953"/>
      <c r="G1750" s="1953"/>
      <c r="H1750" s="1953"/>
      <c r="I1750"/>
      <c r="J1750"/>
      <c r="K1750"/>
    </row>
    <row r="1751" spans="2:11" x14ac:dyDescent="0.35">
      <c r="B1751" s="1953"/>
      <c r="C1751" s="1953"/>
      <c r="D1751" s="1953"/>
      <c r="E1751" s="1953"/>
      <c r="F1751" s="1953"/>
      <c r="G1751" s="1953"/>
      <c r="H1751" s="1953"/>
      <c r="I1751"/>
      <c r="J1751"/>
      <c r="K1751"/>
    </row>
    <row r="1752" spans="2:11" x14ac:dyDescent="0.35">
      <c r="B1752" s="1953"/>
      <c r="C1752" s="1953"/>
      <c r="D1752" s="1953"/>
      <c r="E1752" s="1953"/>
      <c r="F1752" s="1953"/>
      <c r="G1752" s="1953"/>
      <c r="H1752" s="1953"/>
      <c r="I1752"/>
      <c r="J1752"/>
      <c r="K1752"/>
    </row>
    <row r="1753" spans="2:11" x14ac:dyDescent="0.35">
      <c r="B1753" s="1953"/>
      <c r="C1753" s="1953"/>
      <c r="D1753" s="1953"/>
      <c r="E1753" s="1953"/>
      <c r="F1753" s="1953"/>
      <c r="G1753" s="1953"/>
      <c r="H1753" s="1953"/>
      <c r="I1753"/>
      <c r="J1753"/>
      <c r="K1753"/>
    </row>
    <row r="1754" spans="2:11" x14ac:dyDescent="0.35">
      <c r="B1754" s="1953"/>
      <c r="C1754" s="1953"/>
      <c r="D1754" s="1953"/>
      <c r="E1754" s="1953"/>
      <c r="F1754" s="1953"/>
      <c r="G1754" s="1953"/>
      <c r="H1754" s="1953"/>
      <c r="I1754"/>
      <c r="J1754"/>
      <c r="K1754"/>
    </row>
    <row r="1755" spans="2:11" x14ac:dyDescent="0.35">
      <c r="B1755" s="1953"/>
      <c r="C1755" s="1953"/>
      <c r="D1755" s="1953"/>
      <c r="E1755" s="1953"/>
      <c r="F1755" s="1953"/>
      <c r="G1755" s="1953"/>
      <c r="H1755" s="1953"/>
      <c r="I1755"/>
      <c r="J1755"/>
      <c r="K1755"/>
    </row>
    <row r="1756" spans="2:11" x14ac:dyDescent="0.35">
      <c r="B1756" s="1953"/>
      <c r="C1756" s="1953"/>
      <c r="D1756" s="1953"/>
      <c r="E1756" s="1953"/>
      <c r="F1756" s="1953"/>
      <c r="G1756" s="1953"/>
      <c r="H1756" s="1953"/>
      <c r="I1756"/>
      <c r="J1756"/>
      <c r="K1756"/>
    </row>
    <row r="1757" spans="2:11" x14ac:dyDescent="0.35">
      <c r="B1757" s="1953"/>
      <c r="C1757" s="1953"/>
      <c r="D1757" s="1953"/>
      <c r="E1757" s="1953"/>
      <c r="F1757" s="1953"/>
      <c r="G1757" s="1953"/>
      <c r="H1757" s="1953"/>
      <c r="I1757"/>
      <c r="J1757"/>
      <c r="K1757"/>
    </row>
    <row r="1758" spans="2:11" x14ac:dyDescent="0.35">
      <c r="B1758" s="1953"/>
      <c r="C1758" s="1953"/>
      <c r="D1758" s="1953"/>
      <c r="E1758" s="1953"/>
      <c r="F1758" s="1953"/>
      <c r="G1758" s="1953"/>
      <c r="H1758" s="1953"/>
      <c r="I1758"/>
      <c r="J1758"/>
      <c r="K1758"/>
    </row>
    <row r="1759" spans="2:11" x14ac:dyDescent="0.35">
      <c r="B1759" s="1953"/>
      <c r="C1759" s="1953"/>
      <c r="D1759" s="1953"/>
      <c r="E1759" s="1953"/>
      <c r="F1759" s="1953"/>
      <c r="G1759" s="1953"/>
      <c r="H1759" s="1953"/>
      <c r="I1759"/>
      <c r="J1759"/>
      <c r="K1759"/>
    </row>
    <row r="1760" spans="2:11" x14ac:dyDescent="0.35">
      <c r="B1760" s="1953"/>
      <c r="C1760" s="1953"/>
      <c r="D1760" s="1953"/>
      <c r="E1760" s="1953"/>
      <c r="F1760" s="1953"/>
      <c r="G1760" s="1953"/>
      <c r="H1760" s="1953"/>
      <c r="I1760"/>
      <c r="J1760"/>
      <c r="K1760"/>
    </row>
    <row r="1761" spans="2:11" x14ac:dyDescent="0.35">
      <c r="B1761" s="1953"/>
      <c r="C1761" s="1953"/>
      <c r="D1761" s="1953"/>
      <c r="E1761" s="1953"/>
      <c r="F1761" s="1953"/>
      <c r="G1761" s="1953"/>
      <c r="H1761" s="1953"/>
      <c r="I1761"/>
      <c r="J1761"/>
      <c r="K1761"/>
    </row>
    <row r="1762" spans="2:11" x14ac:dyDescent="0.35">
      <c r="B1762" s="1953"/>
      <c r="C1762" s="1953"/>
      <c r="D1762" s="1953"/>
      <c r="E1762" s="1953"/>
      <c r="F1762" s="1953"/>
      <c r="G1762" s="1953"/>
      <c r="H1762" s="1953"/>
      <c r="I1762"/>
      <c r="J1762"/>
      <c r="K1762"/>
    </row>
    <row r="1763" spans="2:11" x14ac:dyDescent="0.35">
      <c r="B1763" s="1953"/>
      <c r="C1763" s="1953"/>
      <c r="D1763" s="1953"/>
      <c r="E1763" s="1953"/>
      <c r="F1763" s="1953"/>
      <c r="G1763" s="1953"/>
      <c r="H1763" s="1953"/>
      <c r="I1763"/>
      <c r="J1763"/>
      <c r="K1763"/>
    </row>
    <row r="1764" spans="2:11" x14ac:dyDescent="0.35">
      <c r="B1764" s="1953"/>
      <c r="C1764" s="1953"/>
      <c r="D1764" s="1953"/>
      <c r="E1764" s="1953"/>
      <c r="F1764" s="1953"/>
      <c r="G1764" s="1953"/>
      <c r="H1764" s="1953"/>
      <c r="I1764"/>
      <c r="J1764"/>
      <c r="K1764"/>
    </row>
    <row r="1765" spans="2:11" x14ac:dyDescent="0.35">
      <c r="B1765" s="1953"/>
      <c r="C1765" s="1953"/>
      <c r="D1765" s="1953"/>
      <c r="E1765" s="1953"/>
      <c r="F1765" s="1953"/>
      <c r="G1765" s="1953"/>
      <c r="H1765" s="1953"/>
      <c r="I1765"/>
      <c r="J1765"/>
      <c r="K1765"/>
    </row>
    <row r="1766" spans="2:11" x14ac:dyDescent="0.35">
      <c r="B1766" s="1953"/>
      <c r="C1766" s="1953"/>
      <c r="D1766" s="1953"/>
      <c r="E1766" s="1953"/>
      <c r="F1766" s="1953"/>
      <c r="G1766" s="1953"/>
      <c r="H1766" s="1953"/>
      <c r="I1766"/>
      <c r="J1766"/>
      <c r="K1766"/>
    </row>
    <row r="1767" spans="2:11" x14ac:dyDescent="0.35">
      <c r="B1767" s="1953"/>
      <c r="C1767" s="1953"/>
      <c r="D1767" s="1953"/>
      <c r="E1767" s="1953"/>
      <c r="F1767" s="1953"/>
      <c r="G1767" s="1953"/>
      <c r="H1767" s="1953"/>
      <c r="I1767"/>
      <c r="J1767"/>
      <c r="K1767"/>
    </row>
    <row r="1768" spans="2:11" x14ac:dyDescent="0.35">
      <c r="B1768" s="1953"/>
      <c r="C1768" s="1953"/>
      <c r="D1768" s="1953"/>
      <c r="E1768" s="1953"/>
      <c r="F1768" s="1953"/>
      <c r="G1768" s="1953"/>
      <c r="H1768" s="1953"/>
      <c r="I1768"/>
      <c r="J1768"/>
      <c r="K1768"/>
    </row>
    <row r="1769" spans="2:11" x14ac:dyDescent="0.35">
      <c r="B1769" s="1953"/>
      <c r="C1769" s="1953"/>
      <c r="D1769" s="1953"/>
      <c r="E1769" s="1953"/>
      <c r="F1769" s="1953"/>
      <c r="G1769" s="1953"/>
      <c r="H1769" s="1953"/>
      <c r="I1769"/>
      <c r="J1769"/>
      <c r="K1769"/>
    </row>
    <row r="1770" spans="2:11" x14ac:dyDescent="0.35">
      <c r="B1770" s="1953"/>
      <c r="C1770" s="1953"/>
      <c r="D1770" s="1953"/>
      <c r="E1770" s="1953"/>
      <c r="F1770" s="1953"/>
      <c r="G1770" s="1953"/>
      <c r="H1770" s="1953"/>
      <c r="I1770"/>
      <c r="J1770"/>
      <c r="K1770"/>
    </row>
    <row r="1771" spans="2:11" x14ac:dyDescent="0.35">
      <c r="B1771" s="1953"/>
      <c r="C1771" s="1953"/>
      <c r="D1771" s="1953"/>
      <c r="E1771" s="1953"/>
      <c r="F1771" s="1953"/>
      <c r="G1771" s="1953"/>
      <c r="H1771" s="1953"/>
      <c r="I1771"/>
      <c r="J1771"/>
      <c r="K1771"/>
    </row>
    <row r="1772" spans="2:11" x14ac:dyDescent="0.35">
      <c r="B1772" s="1953"/>
      <c r="C1772" s="1953"/>
      <c r="D1772" s="1953"/>
      <c r="E1772" s="1953"/>
      <c r="F1772" s="1953"/>
      <c r="G1772" s="1953"/>
      <c r="H1772" s="1953"/>
      <c r="I1772"/>
      <c r="J1772"/>
      <c r="K1772"/>
    </row>
    <row r="1773" spans="2:11" x14ac:dyDescent="0.35">
      <c r="B1773" s="1953"/>
      <c r="C1773" s="1953"/>
      <c r="D1773" s="1953"/>
      <c r="E1773" s="1953"/>
      <c r="F1773" s="1953"/>
      <c r="G1773" s="1953"/>
      <c r="H1773" s="1953"/>
      <c r="I1773"/>
      <c r="J1773"/>
      <c r="K1773"/>
    </row>
    <row r="1774" spans="2:11" x14ac:dyDescent="0.35">
      <c r="B1774" s="1953"/>
      <c r="C1774" s="1953"/>
      <c r="D1774" s="1953"/>
      <c r="E1774" s="1953"/>
      <c r="F1774" s="1953"/>
      <c r="G1774" s="1953"/>
      <c r="H1774" s="1953"/>
      <c r="I1774"/>
      <c r="J1774"/>
      <c r="K1774"/>
    </row>
    <row r="1775" spans="2:11" x14ac:dyDescent="0.35">
      <c r="B1775" s="1953"/>
      <c r="C1775" s="1953"/>
      <c r="D1775" s="1953"/>
      <c r="E1775" s="1953"/>
      <c r="F1775" s="1953"/>
      <c r="G1775" s="1953"/>
      <c r="H1775" s="1953"/>
      <c r="I1775"/>
      <c r="J1775"/>
      <c r="K1775"/>
    </row>
    <row r="1776" spans="2:11" x14ac:dyDescent="0.35">
      <c r="B1776" s="1953"/>
      <c r="C1776" s="1953"/>
      <c r="D1776" s="1953"/>
      <c r="E1776" s="1953"/>
      <c r="F1776" s="1953"/>
      <c r="G1776" s="1953"/>
      <c r="H1776" s="1953"/>
      <c r="I1776"/>
      <c r="J1776"/>
      <c r="K1776"/>
    </row>
    <row r="1777" spans="2:11" x14ac:dyDescent="0.35">
      <c r="B1777" s="1953"/>
      <c r="C1777" s="1953"/>
      <c r="D1777" s="1953"/>
      <c r="E1777" s="1953"/>
      <c r="F1777" s="1953"/>
      <c r="G1777" s="1953"/>
      <c r="H1777" s="1953"/>
      <c r="I1777"/>
      <c r="J1777"/>
      <c r="K1777"/>
    </row>
    <row r="1778" spans="2:11" x14ac:dyDescent="0.35">
      <c r="B1778" s="1953"/>
      <c r="C1778" s="1953"/>
      <c r="D1778" s="1953"/>
      <c r="E1778" s="1953"/>
      <c r="F1778" s="1953"/>
      <c r="G1778" s="1953"/>
      <c r="H1778" s="1953"/>
      <c r="I1778"/>
      <c r="J1778"/>
      <c r="K1778"/>
    </row>
    <row r="1779" spans="2:11" x14ac:dyDescent="0.35">
      <c r="B1779" s="1953"/>
      <c r="C1779" s="1953"/>
      <c r="D1779" s="1953"/>
      <c r="E1779" s="1953"/>
      <c r="F1779" s="1953"/>
      <c r="G1779" s="1953"/>
      <c r="H1779" s="1953"/>
      <c r="I1779"/>
      <c r="J1779"/>
      <c r="K1779"/>
    </row>
    <row r="1780" spans="2:11" x14ac:dyDescent="0.35">
      <c r="B1780" s="1953"/>
      <c r="C1780" s="1953"/>
      <c r="D1780" s="1953"/>
      <c r="E1780" s="1953"/>
      <c r="F1780" s="1953"/>
      <c r="G1780" s="1953"/>
      <c r="H1780" s="1953"/>
      <c r="I1780"/>
      <c r="J1780"/>
      <c r="K1780"/>
    </row>
    <row r="1781" spans="2:11" x14ac:dyDescent="0.35">
      <c r="B1781" s="1953"/>
      <c r="C1781" s="1953"/>
      <c r="D1781" s="1953"/>
      <c r="E1781" s="1953"/>
      <c r="F1781" s="1953"/>
      <c r="G1781" s="1953"/>
      <c r="H1781" s="1953"/>
      <c r="I1781"/>
      <c r="J1781"/>
      <c r="K1781"/>
    </row>
    <row r="1782" spans="2:11" x14ac:dyDescent="0.35">
      <c r="B1782" s="1953"/>
      <c r="C1782" s="1953"/>
      <c r="D1782" s="1953"/>
      <c r="E1782" s="1953"/>
      <c r="F1782" s="1953"/>
      <c r="G1782" s="1953"/>
      <c r="H1782" s="1953"/>
      <c r="I1782"/>
      <c r="J1782"/>
      <c r="K1782"/>
    </row>
    <row r="1783" spans="2:11" x14ac:dyDescent="0.35">
      <c r="B1783" s="1953"/>
      <c r="C1783" s="1953"/>
      <c r="D1783" s="1953"/>
      <c r="E1783" s="1953"/>
      <c r="F1783" s="1953"/>
      <c r="G1783" s="1953"/>
      <c r="H1783" s="1953"/>
      <c r="I1783"/>
      <c r="J1783"/>
      <c r="K1783"/>
    </row>
    <row r="1784" spans="2:11" x14ac:dyDescent="0.35">
      <c r="B1784" s="1953"/>
      <c r="C1784" s="1953"/>
      <c r="D1784" s="1953"/>
      <c r="E1784" s="1953"/>
      <c r="F1784" s="1953"/>
      <c r="G1784" s="1953"/>
      <c r="H1784" s="1953"/>
      <c r="I1784"/>
      <c r="J1784"/>
      <c r="K1784"/>
    </row>
    <row r="1785" spans="2:11" x14ac:dyDescent="0.35">
      <c r="B1785" s="1953"/>
      <c r="C1785" s="1953"/>
      <c r="D1785" s="1953"/>
      <c r="E1785" s="1953"/>
      <c r="F1785" s="1953"/>
      <c r="G1785" s="1953"/>
      <c r="H1785" s="1953"/>
      <c r="I1785"/>
      <c r="J1785"/>
      <c r="K1785"/>
    </row>
    <row r="1786" spans="2:11" x14ac:dyDescent="0.35">
      <c r="B1786" s="1953"/>
      <c r="C1786" s="1953"/>
      <c r="D1786" s="1953"/>
      <c r="E1786" s="1953"/>
      <c r="F1786" s="1953"/>
      <c r="G1786" s="1953"/>
      <c r="H1786" s="1953"/>
      <c r="I1786"/>
      <c r="J1786"/>
      <c r="K1786"/>
    </row>
    <row r="1787" spans="2:11" x14ac:dyDescent="0.35">
      <c r="B1787" s="1953"/>
      <c r="C1787" s="1953"/>
      <c r="D1787" s="1953"/>
      <c r="E1787" s="1953"/>
      <c r="F1787" s="1953"/>
      <c r="G1787" s="1953"/>
      <c r="H1787" s="1953"/>
      <c r="I1787"/>
      <c r="J1787"/>
      <c r="K1787"/>
    </row>
    <row r="1788" spans="2:11" x14ac:dyDescent="0.35">
      <c r="B1788" s="1953"/>
      <c r="C1788" s="1953"/>
      <c r="D1788" s="1953"/>
      <c r="E1788" s="1953"/>
      <c r="F1788" s="1953"/>
      <c r="G1788" s="1953"/>
      <c r="H1788" s="1953"/>
      <c r="I1788"/>
      <c r="J1788"/>
      <c r="K1788"/>
    </row>
    <row r="1789" spans="2:11" x14ac:dyDescent="0.35">
      <c r="B1789" s="1953"/>
      <c r="C1789" s="1953"/>
      <c r="D1789" s="1953"/>
      <c r="E1789" s="1953"/>
      <c r="F1789" s="1953"/>
      <c r="G1789" s="1953"/>
      <c r="H1789" s="1953"/>
      <c r="I1789"/>
      <c r="J1789"/>
      <c r="K1789"/>
    </row>
    <row r="1790" spans="2:11" x14ac:dyDescent="0.35">
      <c r="B1790" s="1953"/>
      <c r="C1790" s="1953"/>
      <c r="D1790" s="1953"/>
      <c r="E1790" s="1953"/>
      <c r="F1790" s="1953"/>
      <c r="G1790" s="1953"/>
      <c r="H1790" s="1953"/>
      <c r="I1790"/>
      <c r="J1790"/>
      <c r="K1790"/>
    </row>
    <row r="1791" spans="2:11" x14ac:dyDescent="0.35">
      <c r="B1791" s="1953"/>
      <c r="C1791" s="1953"/>
      <c r="D1791" s="1953"/>
      <c r="E1791" s="1953"/>
      <c r="F1791" s="1953"/>
      <c r="G1791" s="1953"/>
      <c r="H1791" s="1953"/>
      <c r="I1791"/>
      <c r="J1791"/>
      <c r="K1791"/>
    </row>
    <row r="1792" spans="2:11" x14ac:dyDescent="0.35">
      <c r="B1792" s="1953"/>
      <c r="C1792" s="1953"/>
      <c r="D1792" s="1953"/>
      <c r="E1792" s="1953"/>
      <c r="F1792" s="1953"/>
      <c r="G1792" s="1953"/>
      <c r="H1792" s="1953"/>
      <c r="I1792"/>
      <c r="J1792"/>
      <c r="K1792"/>
    </row>
    <row r="1793" spans="2:11" x14ac:dyDescent="0.35">
      <c r="B1793" s="1953"/>
      <c r="C1793" s="1953"/>
      <c r="D1793" s="1953"/>
      <c r="E1793" s="1953"/>
      <c r="F1793" s="1953"/>
      <c r="G1793" s="1953"/>
      <c r="H1793" s="1953"/>
      <c r="I1793"/>
      <c r="J1793"/>
      <c r="K1793"/>
    </row>
    <row r="1794" spans="2:11" x14ac:dyDescent="0.35">
      <c r="B1794" s="1953"/>
      <c r="C1794" s="1953"/>
      <c r="D1794" s="1953"/>
      <c r="E1794" s="1953"/>
      <c r="F1794" s="1953"/>
      <c r="G1794" s="1953"/>
      <c r="H1794" s="1953"/>
      <c r="I1794"/>
      <c r="J1794"/>
      <c r="K1794"/>
    </row>
    <row r="1795" spans="2:11" x14ac:dyDescent="0.35">
      <c r="B1795" s="1953"/>
      <c r="C1795" s="1953"/>
      <c r="D1795" s="1953"/>
      <c r="E1795" s="1953"/>
      <c r="F1795" s="1953"/>
      <c r="G1795" s="1953"/>
      <c r="H1795" s="1953"/>
      <c r="I1795"/>
      <c r="J1795"/>
      <c r="K1795"/>
    </row>
    <row r="1796" spans="2:11" x14ac:dyDescent="0.35">
      <c r="B1796" s="1953"/>
      <c r="C1796" s="1953"/>
      <c r="D1796" s="1953"/>
      <c r="E1796" s="1953"/>
      <c r="F1796" s="1953"/>
      <c r="G1796" s="1953"/>
      <c r="H1796" s="1953"/>
      <c r="I1796"/>
      <c r="J1796"/>
      <c r="K1796"/>
    </row>
    <row r="1797" spans="2:11" x14ac:dyDescent="0.35">
      <c r="B1797" s="1953"/>
      <c r="C1797" s="1953"/>
      <c r="D1797" s="1953"/>
      <c r="E1797" s="1953"/>
      <c r="F1797" s="1953"/>
      <c r="G1797" s="1953"/>
      <c r="H1797" s="1953"/>
      <c r="I1797"/>
      <c r="J1797"/>
      <c r="K1797"/>
    </row>
    <row r="1798" spans="2:11" x14ac:dyDescent="0.35">
      <c r="B1798" s="1953"/>
      <c r="C1798" s="1953"/>
      <c r="D1798" s="1953"/>
      <c r="E1798" s="1953"/>
      <c r="F1798" s="1953"/>
      <c r="G1798" s="1953"/>
      <c r="H1798" s="1953"/>
      <c r="I1798"/>
      <c r="J1798"/>
      <c r="K1798"/>
    </row>
    <row r="1799" spans="2:11" x14ac:dyDescent="0.35">
      <c r="B1799" s="1953"/>
      <c r="C1799" s="1953"/>
      <c r="D1799" s="1953"/>
      <c r="E1799" s="1953"/>
      <c r="F1799" s="1953"/>
      <c r="G1799" s="1953"/>
      <c r="H1799" s="1953"/>
      <c r="I1799"/>
      <c r="J1799"/>
      <c r="K1799"/>
    </row>
    <row r="1800" spans="2:11" x14ac:dyDescent="0.35">
      <c r="B1800" s="1953"/>
      <c r="C1800" s="1953"/>
      <c r="D1800" s="1953"/>
      <c r="E1800" s="1953"/>
      <c r="F1800" s="1953"/>
      <c r="G1800" s="1953"/>
      <c r="H1800" s="1953"/>
      <c r="I1800"/>
      <c r="J1800"/>
      <c r="K1800"/>
    </row>
    <row r="1801" spans="2:11" x14ac:dyDescent="0.35">
      <c r="B1801" s="1953"/>
      <c r="C1801" s="1953"/>
      <c r="D1801" s="1953"/>
      <c r="E1801" s="1953"/>
      <c r="F1801" s="1953"/>
      <c r="G1801" s="1953"/>
      <c r="H1801" s="1953"/>
      <c r="I1801"/>
      <c r="J1801"/>
      <c r="K1801"/>
    </row>
    <row r="1802" spans="2:11" x14ac:dyDescent="0.35">
      <c r="B1802" s="1953"/>
      <c r="C1802" s="1953"/>
      <c r="D1802" s="1953"/>
      <c r="E1802" s="1953"/>
      <c r="F1802" s="1953"/>
      <c r="G1802" s="1953"/>
      <c r="H1802" s="1953"/>
      <c r="I1802"/>
      <c r="J1802"/>
      <c r="K1802"/>
    </row>
    <row r="1803" spans="2:11" x14ac:dyDescent="0.35">
      <c r="B1803" s="1953"/>
      <c r="C1803" s="1953"/>
      <c r="D1803" s="1953"/>
      <c r="E1803" s="1953"/>
      <c r="F1803" s="1953"/>
      <c r="G1803" s="1953"/>
      <c r="H1803" s="1953"/>
      <c r="I1803"/>
      <c r="J1803"/>
      <c r="K1803"/>
    </row>
    <row r="1804" spans="2:11" x14ac:dyDescent="0.35">
      <c r="B1804" s="1953"/>
      <c r="C1804" s="1953"/>
      <c r="D1804" s="1953"/>
      <c r="E1804" s="1953"/>
      <c r="F1804" s="1953"/>
      <c r="G1804" s="1953"/>
      <c r="H1804" s="1953"/>
      <c r="I1804"/>
      <c r="J1804"/>
      <c r="K1804"/>
    </row>
    <row r="1805" spans="2:11" x14ac:dyDescent="0.35">
      <c r="B1805" s="1953"/>
      <c r="C1805" s="1953"/>
      <c r="D1805" s="1953"/>
      <c r="E1805" s="1953"/>
      <c r="F1805" s="1953"/>
      <c r="G1805" s="1953"/>
      <c r="H1805" s="1953"/>
      <c r="I1805"/>
      <c r="J1805"/>
      <c r="K1805"/>
    </row>
    <row r="1806" spans="2:11" x14ac:dyDescent="0.35">
      <c r="B1806" s="1953"/>
      <c r="C1806" s="1953"/>
      <c r="D1806" s="1953"/>
      <c r="E1806" s="1953"/>
      <c r="F1806" s="1953"/>
      <c r="G1806" s="1953"/>
      <c r="H1806" s="1953"/>
      <c r="I1806"/>
      <c r="J1806"/>
      <c r="K1806"/>
    </row>
    <row r="1807" spans="2:11" x14ac:dyDescent="0.35">
      <c r="B1807" s="1953"/>
      <c r="C1807" s="1953"/>
      <c r="D1807" s="1953"/>
      <c r="E1807" s="1953"/>
      <c r="F1807" s="1953"/>
      <c r="G1807" s="1953"/>
      <c r="H1807" s="1953"/>
      <c r="I1807"/>
      <c r="J1807"/>
      <c r="K1807"/>
    </row>
    <row r="1808" spans="2:11" x14ac:dyDescent="0.35">
      <c r="B1808" s="1953"/>
      <c r="C1808" s="1953"/>
      <c r="D1808" s="1953"/>
      <c r="E1808" s="1953"/>
      <c r="F1808" s="1953"/>
      <c r="G1808" s="1953"/>
      <c r="H1808" s="1953"/>
      <c r="I1808"/>
      <c r="J1808"/>
      <c r="K1808"/>
    </row>
    <row r="1809" spans="2:11" x14ac:dyDescent="0.35">
      <c r="B1809" s="1953"/>
      <c r="C1809" s="1953"/>
      <c r="D1809" s="1953"/>
      <c r="E1809" s="1953"/>
      <c r="F1809" s="1953"/>
      <c r="G1809" s="1953"/>
      <c r="H1809" s="1953"/>
      <c r="I1809"/>
      <c r="J1809"/>
      <c r="K1809"/>
    </row>
    <row r="1810" spans="2:11" x14ac:dyDescent="0.35">
      <c r="B1810" s="1953"/>
      <c r="C1810" s="1953"/>
      <c r="D1810" s="1953"/>
      <c r="E1810" s="1953"/>
      <c r="F1810" s="1953"/>
      <c r="G1810" s="1953"/>
      <c r="H1810" s="1953"/>
      <c r="I1810"/>
      <c r="J1810"/>
      <c r="K1810"/>
    </row>
    <row r="1811" spans="2:11" x14ac:dyDescent="0.35">
      <c r="B1811" s="1953"/>
      <c r="C1811" s="1953"/>
      <c r="D1811" s="1953"/>
      <c r="E1811" s="1953"/>
      <c r="F1811" s="1953"/>
      <c r="G1811" s="1953"/>
      <c r="H1811" s="1953"/>
      <c r="I1811"/>
      <c r="J1811"/>
      <c r="K1811"/>
    </row>
    <row r="1812" spans="2:11" x14ac:dyDescent="0.35">
      <c r="B1812" s="1953"/>
      <c r="C1812" s="1953"/>
      <c r="D1812" s="1953"/>
      <c r="E1812" s="1953"/>
      <c r="F1812" s="1953"/>
      <c r="G1812" s="1953"/>
      <c r="H1812" s="1953"/>
      <c r="I1812"/>
      <c r="J1812"/>
      <c r="K1812"/>
    </row>
    <row r="1813" spans="2:11" x14ac:dyDescent="0.35">
      <c r="B1813" s="1953"/>
      <c r="C1813" s="1953"/>
      <c r="D1813" s="1953"/>
      <c r="E1813" s="1953"/>
      <c r="F1813" s="1953"/>
      <c r="G1813" s="1953"/>
      <c r="H1813" s="1953"/>
      <c r="I1813"/>
      <c r="J1813"/>
      <c r="K1813"/>
    </row>
    <row r="1814" spans="2:11" x14ac:dyDescent="0.35">
      <c r="B1814" s="1953"/>
      <c r="C1814" s="1953"/>
      <c r="D1814" s="1953"/>
      <c r="E1814" s="1953"/>
      <c r="F1814" s="1953"/>
      <c r="G1814" s="1953"/>
      <c r="H1814" s="1953"/>
      <c r="I1814"/>
      <c r="J1814"/>
      <c r="K1814"/>
    </row>
    <row r="1815" spans="2:11" x14ac:dyDescent="0.35">
      <c r="B1815" s="1953"/>
      <c r="C1815" s="1953"/>
      <c r="D1815" s="1953"/>
      <c r="E1815" s="1953"/>
      <c r="F1815" s="1953"/>
      <c r="G1815" s="1953"/>
      <c r="H1815" s="1953"/>
      <c r="I1815"/>
      <c r="J1815"/>
      <c r="K1815"/>
    </row>
    <row r="1816" spans="2:11" x14ac:dyDescent="0.35">
      <c r="B1816" s="1953"/>
      <c r="C1816" s="1953"/>
      <c r="D1816" s="1953"/>
      <c r="E1816" s="1953"/>
      <c r="F1816" s="1953"/>
      <c r="G1816" s="1953"/>
      <c r="H1816" s="1953"/>
      <c r="I1816"/>
      <c r="J1816"/>
      <c r="K1816"/>
    </row>
    <row r="1817" spans="2:11" x14ac:dyDescent="0.35">
      <c r="B1817" s="1953"/>
      <c r="C1817" s="1953"/>
      <c r="D1817" s="1953"/>
      <c r="E1817" s="1953"/>
      <c r="F1817" s="1953"/>
      <c r="G1817" s="1953"/>
      <c r="H1817" s="1953"/>
      <c r="I1817"/>
      <c r="J1817"/>
      <c r="K1817"/>
    </row>
    <row r="1818" spans="2:11" x14ac:dyDescent="0.35">
      <c r="B1818" s="1953"/>
      <c r="C1818" s="1953"/>
      <c r="D1818" s="1953"/>
      <c r="E1818" s="1953"/>
      <c r="F1818" s="1953"/>
      <c r="G1818" s="1953"/>
      <c r="H1818" s="1953"/>
      <c r="I1818"/>
      <c r="J1818"/>
      <c r="K1818"/>
    </row>
    <row r="1819" spans="2:11" x14ac:dyDescent="0.35">
      <c r="B1819" s="1953"/>
      <c r="C1819" s="1953"/>
      <c r="D1819" s="1953"/>
      <c r="E1819" s="1953"/>
      <c r="F1819" s="1953"/>
      <c r="G1819" s="1953"/>
      <c r="H1819" s="1953"/>
      <c r="I1819"/>
      <c r="J1819"/>
      <c r="K1819"/>
    </row>
    <row r="1820" spans="2:11" x14ac:dyDescent="0.35">
      <c r="B1820" s="1953"/>
      <c r="C1820" s="1953"/>
      <c r="D1820" s="1953"/>
      <c r="E1820" s="1953"/>
      <c r="F1820" s="1953"/>
      <c r="G1820" s="1953"/>
      <c r="H1820" s="1953"/>
      <c r="I1820"/>
      <c r="J1820"/>
      <c r="K1820"/>
    </row>
    <row r="1821" spans="2:11" x14ac:dyDescent="0.35">
      <c r="B1821" s="1953"/>
      <c r="C1821" s="1953"/>
      <c r="D1821" s="1953"/>
      <c r="E1821" s="1953"/>
      <c r="F1821" s="1953"/>
      <c r="G1821" s="1953"/>
      <c r="H1821" s="1953"/>
      <c r="I1821"/>
      <c r="J1821"/>
      <c r="K1821"/>
    </row>
    <row r="1822" spans="2:11" x14ac:dyDescent="0.35">
      <c r="B1822" s="1953"/>
      <c r="C1822" s="1953"/>
      <c r="D1822" s="1953"/>
      <c r="E1822" s="1953"/>
      <c r="F1822" s="1953"/>
      <c r="G1822" s="1953"/>
      <c r="H1822" s="1953"/>
      <c r="I1822"/>
      <c r="J1822"/>
      <c r="K1822"/>
    </row>
    <row r="1823" spans="2:11" x14ac:dyDescent="0.35">
      <c r="B1823" s="1953"/>
      <c r="C1823" s="1953"/>
      <c r="D1823" s="1953"/>
      <c r="E1823" s="1953"/>
      <c r="F1823" s="1953"/>
      <c r="G1823" s="1953"/>
      <c r="H1823" s="1953"/>
      <c r="I1823"/>
      <c r="J1823"/>
      <c r="K1823"/>
    </row>
    <row r="1824" spans="2:11" x14ac:dyDescent="0.35">
      <c r="B1824" s="1953"/>
      <c r="C1824" s="1953"/>
      <c r="D1824" s="1953"/>
      <c r="E1824" s="1953"/>
      <c r="F1824" s="1953"/>
      <c r="G1824" s="1953"/>
      <c r="H1824" s="1953"/>
      <c r="I1824"/>
      <c r="J1824"/>
      <c r="K1824"/>
    </row>
    <row r="1825" spans="2:11" x14ac:dyDescent="0.35">
      <c r="B1825" s="1953"/>
      <c r="C1825" s="1953"/>
      <c r="D1825" s="1953"/>
      <c r="E1825" s="1953"/>
      <c r="F1825" s="1953"/>
      <c r="G1825" s="1953"/>
      <c r="H1825" s="1953"/>
      <c r="I1825"/>
      <c r="J1825"/>
      <c r="K1825"/>
    </row>
    <row r="1826" spans="2:11" x14ac:dyDescent="0.35">
      <c r="B1826" s="1953"/>
      <c r="C1826" s="1953"/>
      <c r="D1826" s="1953"/>
      <c r="E1826" s="1953"/>
      <c r="F1826" s="1953"/>
      <c r="G1826" s="1953"/>
      <c r="H1826" s="1953"/>
      <c r="I1826"/>
      <c r="J1826"/>
      <c r="K1826"/>
    </row>
    <row r="1827" spans="2:11" x14ac:dyDescent="0.35">
      <c r="B1827" s="1953"/>
      <c r="C1827" s="1953"/>
      <c r="D1827" s="1953"/>
      <c r="E1827" s="1953"/>
      <c r="F1827" s="1953"/>
      <c r="G1827" s="1953"/>
      <c r="H1827" s="1953"/>
      <c r="I1827"/>
      <c r="J1827"/>
      <c r="K1827"/>
    </row>
    <row r="1828" spans="2:11" x14ac:dyDescent="0.35">
      <c r="B1828" s="1953"/>
      <c r="C1828" s="1953"/>
      <c r="D1828" s="1953"/>
      <c r="E1828" s="1953"/>
      <c r="F1828" s="1953"/>
      <c r="G1828" s="1953"/>
      <c r="H1828" s="1953"/>
      <c r="I1828"/>
      <c r="J1828"/>
      <c r="K1828"/>
    </row>
    <row r="1829" spans="2:11" x14ac:dyDescent="0.35">
      <c r="B1829" s="1953"/>
      <c r="C1829" s="1953"/>
      <c r="D1829" s="1953"/>
      <c r="E1829" s="1953"/>
      <c r="F1829" s="1953"/>
      <c r="G1829" s="1953"/>
      <c r="H1829" s="1953"/>
      <c r="I1829"/>
      <c r="J1829"/>
      <c r="K1829"/>
    </row>
    <row r="1830" spans="2:11" x14ac:dyDescent="0.35">
      <c r="B1830" s="1953"/>
      <c r="C1830" s="1953"/>
      <c r="D1830" s="1953"/>
      <c r="E1830" s="1953"/>
      <c r="F1830" s="1953"/>
      <c r="G1830" s="1953"/>
      <c r="H1830" s="1953"/>
      <c r="I1830"/>
      <c r="J1830"/>
      <c r="K1830"/>
    </row>
    <row r="1831" spans="2:11" x14ac:dyDescent="0.35">
      <c r="B1831" s="1953"/>
      <c r="C1831" s="1953"/>
      <c r="D1831" s="1953"/>
      <c r="E1831" s="1953"/>
      <c r="F1831" s="1953"/>
      <c r="G1831" s="1953"/>
      <c r="H1831" s="1953"/>
      <c r="I1831"/>
      <c r="J1831"/>
      <c r="K1831"/>
    </row>
    <row r="1832" spans="2:11" x14ac:dyDescent="0.35">
      <c r="B1832" s="1953"/>
      <c r="C1832" s="1953"/>
      <c r="D1832" s="1953"/>
      <c r="E1832" s="1953"/>
      <c r="F1832" s="1953"/>
      <c r="G1832" s="1953"/>
      <c r="H1832" s="1953"/>
      <c r="I1832"/>
      <c r="J1832"/>
      <c r="K1832"/>
    </row>
    <row r="1833" spans="2:11" x14ac:dyDescent="0.35">
      <c r="B1833" s="1953"/>
      <c r="C1833" s="1953"/>
      <c r="D1833" s="1953"/>
      <c r="E1833" s="1953"/>
      <c r="F1833" s="1953"/>
      <c r="G1833" s="1953"/>
      <c r="H1833" s="1953"/>
      <c r="I1833"/>
      <c r="J1833"/>
      <c r="K1833"/>
    </row>
    <row r="1834" spans="2:11" x14ac:dyDescent="0.35">
      <c r="B1834" s="1953"/>
      <c r="C1834" s="1953"/>
      <c r="D1834" s="1953"/>
      <c r="E1834" s="1953"/>
      <c r="F1834" s="1953"/>
      <c r="G1834" s="1953"/>
      <c r="H1834" s="1953"/>
      <c r="I1834"/>
      <c r="J1834"/>
      <c r="K1834"/>
    </row>
    <row r="1835" spans="2:11" x14ac:dyDescent="0.35">
      <c r="B1835" s="1953"/>
      <c r="C1835" s="1953"/>
      <c r="D1835" s="1953"/>
      <c r="E1835" s="1953"/>
      <c r="F1835" s="1953"/>
      <c r="G1835" s="1953"/>
      <c r="H1835" s="1953"/>
      <c r="I1835"/>
      <c r="J1835"/>
      <c r="K1835"/>
    </row>
    <row r="1836" spans="2:11" x14ac:dyDescent="0.35">
      <c r="B1836" s="1953"/>
      <c r="C1836" s="1953"/>
      <c r="D1836" s="1953"/>
      <c r="E1836" s="1953"/>
      <c r="F1836" s="1953"/>
      <c r="G1836" s="1953"/>
      <c r="H1836" s="1953"/>
      <c r="I1836"/>
      <c r="J1836"/>
      <c r="K1836"/>
    </row>
    <row r="1837" spans="2:11" x14ac:dyDescent="0.35">
      <c r="B1837" s="1953"/>
      <c r="C1837" s="1953"/>
      <c r="D1837" s="1953"/>
      <c r="E1837" s="1953"/>
      <c r="F1837" s="1953"/>
      <c r="G1837" s="1953"/>
      <c r="H1837" s="1953"/>
      <c r="I1837"/>
      <c r="J1837"/>
      <c r="K1837"/>
    </row>
    <row r="1838" spans="2:11" x14ac:dyDescent="0.35">
      <c r="B1838" s="1953"/>
      <c r="C1838" s="1953"/>
      <c r="D1838" s="1953"/>
      <c r="E1838" s="1953"/>
      <c r="F1838" s="1953"/>
      <c r="G1838" s="1953"/>
      <c r="H1838" s="1953"/>
      <c r="I1838"/>
      <c r="J1838"/>
      <c r="K1838"/>
    </row>
    <row r="1839" spans="2:11" x14ac:dyDescent="0.35">
      <c r="B1839" s="1953"/>
      <c r="C1839" s="1953"/>
      <c r="D1839" s="1953"/>
      <c r="E1839" s="1953"/>
      <c r="F1839" s="1953"/>
      <c r="G1839" s="1953"/>
      <c r="H1839" s="1953"/>
      <c r="I1839"/>
      <c r="J1839"/>
      <c r="K1839"/>
    </row>
    <row r="1840" spans="2:11" x14ac:dyDescent="0.35">
      <c r="B1840" s="1953"/>
      <c r="C1840" s="1953"/>
      <c r="D1840" s="1953"/>
      <c r="E1840" s="1953"/>
      <c r="F1840" s="1953"/>
      <c r="G1840" s="1953"/>
      <c r="H1840" s="1953"/>
      <c r="I1840"/>
      <c r="J1840"/>
      <c r="K1840"/>
    </row>
    <row r="1841" spans="2:11" x14ac:dyDescent="0.35">
      <c r="B1841" s="1953"/>
      <c r="C1841" s="1953"/>
      <c r="D1841" s="1953"/>
      <c r="E1841" s="1953"/>
      <c r="F1841" s="1953"/>
      <c r="G1841" s="1953"/>
      <c r="H1841" s="1953"/>
      <c r="I1841"/>
      <c r="J1841"/>
      <c r="K1841"/>
    </row>
    <row r="1842" spans="2:11" x14ac:dyDescent="0.35">
      <c r="B1842" s="1953"/>
      <c r="C1842" s="1953"/>
      <c r="D1842" s="1953"/>
      <c r="E1842" s="1953"/>
      <c r="F1842" s="1953"/>
      <c r="G1842" s="1953"/>
      <c r="H1842" s="1953"/>
      <c r="I1842"/>
      <c r="J1842"/>
      <c r="K1842"/>
    </row>
    <row r="1843" spans="2:11" x14ac:dyDescent="0.35">
      <c r="B1843" s="1953"/>
      <c r="C1843" s="1953"/>
      <c r="D1843" s="1953"/>
      <c r="E1843" s="1953"/>
      <c r="F1843" s="1953"/>
      <c r="G1843" s="1953"/>
      <c r="H1843" s="1953"/>
      <c r="I1843"/>
      <c r="J1843"/>
      <c r="K1843"/>
    </row>
    <row r="1844" spans="2:11" x14ac:dyDescent="0.35">
      <c r="B1844" s="1953"/>
      <c r="C1844" s="1953"/>
      <c r="D1844" s="1953"/>
      <c r="E1844" s="1953"/>
      <c r="F1844" s="1953"/>
      <c r="G1844" s="1953"/>
      <c r="H1844" s="1953"/>
      <c r="I1844"/>
      <c r="J1844"/>
      <c r="K1844"/>
    </row>
    <row r="1845" spans="2:11" x14ac:dyDescent="0.35">
      <c r="B1845" s="1953"/>
      <c r="C1845" s="1953"/>
      <c r="D1845" s="1953"/>
      <c r="E1845" s="1953"/>
      <c r="F1845" s="1953"/>
      <c r="G1845" s="1953"/>
      <c r="H1845" s="1953"/>
      <c r="I1845"/>
      <c r="J1845"/>
      <c r="K1845"/>
    </row>
    <row r="1846" spans="2:11" x14ac:dyDescent="0.35">
      <c r="B1846" s="1953"/>
      <c r="C1846" s="1953"/>
      <c r="D1846" s="1953"/>
      <c r="E1846" s="1953"/>
      <c r="F1846" s="1953"/>
      <c r="G1846" s="1953"/>
      <c r="H1846" s="1953"/>
      <c r="I1846"/>
      <c r="J1846"/>
      <c r="K1846"/>
    </row>
    <row r="1847" spans="2:11" x14ac:dyDescent="0.35">
      <c r="B1847" s="1953"/>
      <c r="C1847" s="1953"/>
      <c r="D1847" s="1953"/>
      <c r="E1847" s="1953"/>
      <c r="F1847" s="1953"/>
      <c r="G1847" s="1953"/>
      <c r="H1847" s="1953"/>
      <c r="I1847"/>
      <c r="J1847"/>
      <c r="K1847"/>
    </row>
    <row r="1848" spans="2:11" x14ac:dyDescent="0.35">
      <c r="B1848" s="1953"/>
      <c r="C1848" s="1953"/>
      <c r="D1848" s="1953"/>
      <c r="E1848" s="1953"/>
      <c r="F1848" s="1953"/>
      <c r="G1848" s="1953"/>
      <c r="H1848" s="1953"/>
      <c r="I1848"/>
      <c r="J1848"/>
      <c r="K1848"/>
    </row>
    <row r="1849" spans="2:11" x14ac:dyDescent="0.35">
      <c r="B1849" s="1953"/>
      <c r="C1849" s="1953"/>
      <c r="D1849" s="1953"/>
      <c r="E1849" s="1953"/>
      <c r="F1849" s="1953"/>
      <c r="G1849" s="1953"/>
      <c r="H1849" s="1953"/>
      <c r="I1849"/>
      <c r="J1849"/>
      <c r="K1849"/>
    </row>
    <row r="1850" spans="2:11" x14ac:dyDescent="0.35">
      <c r="B1850" s="1953"/>
      <c r="C1850" s="1953"/>
      <c r="D1850" s="1953"/>
      <c r="E1850" s="1953"/>
      <c r="F1850" s="1953"/>
      <c r="G1850" s="1953"/>
      <c r="H1850" s="1953"/>
      <c r="I1850"/>
      <c r="J1850"/>
      <c r="K1850"/>
    </row>
    <row r="1851" spans="2:11" x14ac:dyDescent="0.35">
      <c r="B1851" s="1953"/>
      <c r="C1851" s="1953"/>
      <c r="D1851" s="1953"/>
      <c r="E1851" s="1953"/>
      <c r="F1851" s="1953"/>
      <c r="G1851" s="1953"/>
      <c r="H1851" s="1953"/>
      <c r="I1851"/>
      <c r="J1851"/>
      <c r="K1851"/>
    </row>
    <row r="1852" spans="2:11" x14ac:dyDescent="0.35">
      <c r="B1852" s="1953"/>
      <c r="C1852" s="1953"/>
      <c r="D1852" s="1953"/>
      <c r="E1852" s="1953"/>
      <c r="F1852" s="1953"/>
      <c r="G1852" s="1953"/>
      <c r="H1852" s="1953"/>
      <c r="I1852"/>
      <c r="J1852"/>
      <c r="K1852"/>
    </row>
    <row r="1853" spans="2:11" x14ac:dyDescent="0.35">
      <c r="B1853" s="1953"/>
      <c r="C1853" s="1953"/>
      <c r="D1853" s="1953"/>
      <c r="E1853" s="1953"/>
      <c r="F1853" s="1953"/>
      <c r="G1853" s="1953"/>
      <c r="H1853" s="1953"/>
      <c r="I1853"/>
      <c r="J1853"/>
      <c r="K1853"/>
    </row>
    <row r="1854" spans="2:11" x14ac:dyDescent="0.35">
      <c r="B1854" s="1953"/>
      <c r="C1854" s="1953"/>
      <c r="D1854" s="1953"/>
      <c r="E1854" s="1953"/>
      <c r="F1854" s="1953"/>
      <c r="G1854" s="1953"/>
      <c r="H1854" s="1953"/>
      <c r="I1854"/>
      <c r="J1854"/>
      <c r="K1854"/>
    </row>
    <row r="1855" spans="2:11" x14ac:dyDescent="0.35">
      <c r="B1855" s="1953"/>
      <c r="C1855" s="1953"/>
      <c r="D1855" s="1953"/>
      <c r="E1855" s="1953"/>
      <c r="F1855" s="1953"/>
      <c r="G1855" s="1953"/>
      <c r="H1855" s="1953"/>
      <c r="I1855"/>
      <c r="J1855"/>
      <c r="K1855"/>
    </row>
    <row r="1856" spans="2:11" x14ac:dyDescent="0.35">
      <c r="B1856" s="1953"/>
      <c r="C1856" s="1953"/>
      <c r="D1856" s="1953"/>
      <c r="E1856" s="1953"/>
      <c r="F1856" s="1953"/>
      <c r="G1856" s="1953"/>
      <c r="H1856" s="1953"/>
      <c r="I1856"/>
      <c r="J1856"/>
      <c r="K1856"/>
    </row>
    <row r="1857" spans="2:11" x14ac:dyDescent="0.35">
      <c r="B1857" s="1953"/>
      <c r="C1857" s="1953"/>
      <c r="D1857" s="1953"/>
      <c r="E1857" s="1953"/>
      <c r="F1857" s="1953"/>
      <c r="G1857" s="1953"/>
      <c r="H1857" s="1953"/>
      <c r="I1857"/>
      <c r="J1857"/>
      <c r="K1857"/>
    </row>
    <row r="1858" spans="2:11" x14ac:dyDescent="0.35">
      <c r="B1858" s="1953"/>
      <c r="C1858" s="1953"/>
      <c r="D1858" s="1953"/>
      <c r="E1858" s="1953"/>
      <c r="F1858" s="1953"/>
      <c r="G1858" s="1953"/>
      <c r="H1858" s="1953"/>
      <c r="I1858"/>
      <c r="J1858"/>
      <c r="K1858"/>
    </row>
    <row r="1859" spans="2:11" x14ac:dyDescent="0.35">
      <c r="B1859" s="1953"/>
      <c r="C1859" s="1953"/>
      <c r="D1859" s="1953"/>
      <c r="E1859" s="1953"/>
      <c r="F1859" s="1953"/>
      <c r="G1859" s="1953"/>
      <c r="H1859" s="1953"/>
      <c r="I1859"/>
      <c r="J1859"/>
      <c r="K1859"/>
    </row>
    <row r="1860" spans="2:11" x14ac:dyDescent="0.35">
      <c r="B1860" s="1953"/>
      <c r="C1860" s="1953"/>
      <c r="D1860" s="1953"/>
      <c r="E1860" s="1953"/>
      <c r="F1860" s="1953"/>
      <c r="G1860" s="1953"/>
      <c r="H1860" s="1953"/>
      <c r="I1860"/>
      <c r="J1860"/>
      <c r="K1860"/>
    </row>
    <row r="1861" spans="2:11" x14ac:dyDescent="0.35">
      <c r="B1861" s="1953"/>
      <c r="C1861" s="1953"/>
      <c r="D1861" s="1953"/>
      <c r="E1861" s="1953"/>
      <c r="F1861" s="1953"/>
      <c r="G1861" s="1953"/>
      <c r="H1861" s="1953"/>
      <c r="I1861"/>
      <c r="J1861"/>
      <c r="K1861"/>
    </row>
    <row r="1862" spans="2:11" x14ac:dyDescent="0.35">
      <c r="B1862" s="1953"/>
      <c r="C1862" s="1953"/>
      <c r="D1862" s="1953"/>
      <c r="E1862" s="1953"/>
      <c r="F1862" s="1953"/>
      <c r="G1862" s="1953"/>
      <c r="H1862" s="1953"/>
      <c r="I1862"/>
      <c r="J1862"/>
      <c r="K1862"/>
    </row>
    <row r="1863" spans="2:11" x14ac:dyDescent="0.35">
      <c r="B1863" s="1953"/>
      <c r="C1863" s="1953"/>
      <c r="D1863" s="1953"/>
      <c r="E1863" s="1953"/>
      <c r="F1863" s="1953"/>
      <c r="G1863" s="1953"/>
      <c r="H1863" s="1953"/>
      <c r="I1863"/>
      <c r="J1863"/>
      <c r="K1863"/>
    </row>
    <row r="1864" spans="2:11" x14ac:dyDescent="0.35">
      <c r="B1864" s="1953"/>
      <c r="C1864" s="1953"/>
      <c r="D1864" s="1953"/>
      <c r="E1864" s="1953"/>
      <c r="F1864" s="1953"/>
      <c r="G1864" s="1953"/>
      <c r="H1864" s="1953"/>
      <c r="I1864"/>
      <c r="J1864"/>
      <c r="K1864"/>
    </row>
    <row r="1865" spans="2:11" x14ac:dyDescent="0.35">
      <c r="B1865" s="1953"/>
      <c r="C1865" s="1953"/>
      <c r="D1865" s="1953"/>
      <c r="E1865" s="1953"/>
      <c r="F1865" s="1953"/>
      <c r="G1865" s="1953"/>
      <c r="H1865" s="1953"/>
      <c r="I1865"/>
      <c r="J1865"/>
      <c r="K1865"/>
    </row>
    <row r="1866" spans="2:11" x14ac:dyDescent="0.35">
      <c r="B1866" s="1953"/>
      <c r="C1866" s="1953"/>
      <c r="D1866" s="1953"/>
      <c r="E1866" s="1953"/>
      <c r="F1866" s="1953"/>
      <c r="G1866" s="1953"/>
      <c r="H1866" s="1953"/>
      <c r="I1866"/>
      <c r="J1866"/>
      <c r="K1866"/>
    </row>
    <row r="1867" spans="2:11" x14ac:dyDescent="0.35">
      <c r="B1867" s="1953"/>
      <c r="C1867" s="1953"/>
      <c r="D1867" s="1953"/>
      <c r="E1867" s="1953"/>
      <c r="F1867" s="1953"/>
      <c r="G1867" s="1953"/>
      <c r="H1867" s="1953"/>
      <c r="I1867"/>
      <c r="J1867"/>
      <c r="K1867"/>
    </row>
    <row r="1868" spans="2:11" x14ac:dyDescent="0.35">
      <c r="B1868" s="1953"/>
      <c r="C1868" s="1953"/>
      <c r="D1868" s="1953"/>
      <c r="E1868" s="1953"/>
      <c r="F1868" s="1953"/>
      <c r="G1868" s="1953"/>
      <c r="H1868" s="1953"/>
      <c r="I1868"/>
      <c r="J1868"/>
      <c r="K1868"/>
    </row>
    <row r="1869" spans="2:11" x14ac:dyDescent="0.35">
      <c r="B1869" s="1953"/>
      <c r="C1869" s="1953"/>
      <c r="D1869" s="1953"/>
      <c r="E1869" s="1953"/>
      <c r="F1869" s="1953"/>
      <c r="G1869" s="1953"/>
      <c r="H1869" s="1953"/>
      <c r="I1869"/>
      <c r="J1869"/>
      <c r="K1869"/>
    </row>
    <row r="1870" spans="2:11" x14ac:dyDescent="0.35">
      <c r="B1870" s="1953"/>
      <c r="C1870" s="1953"/>
      <c r="D1870" s="1953"/>
      <c r="E1870" s="1953"/>
      <c r="F1870" s="1953"/>
      <c r="G1870" s="1953"/>
      <c r="H1870" s="1953"/>
      <c r="I1870"/>
      <c r="J1870"/>
      <c r="K1870"/>
    </row>
    <row r="1871" spans="2:11" x14ac:dyDescent="0.35">
      <c r="B1871" s="1953"/>
      <c r="C1871" s="1953"/>
      <c r="D1871" s="1953"/>
      <c r="E1871" s="1953"/>
      <c r="F1871" s="1953"/>
      <c r="G1871" s="1953"/>
      <c r="H1871" s="1953"/>
      <c r="I1871"/>
      <c r="J1871"/>
      <c r="K1871"/>
    </row>
    <row r="1872" spans="2:11" x14ac:dyDescent="0.35">
      <c r="B1872" s="1953"/>
      <c r="C1872" s="1953"/>
      <c r="D1872" s="1953"/>
      <c r="E1872" s="1953"/>
      <c r="F1872" s="1953"/>
      <c r="G1872" s="1953"/>
      <c r="H1872" s="1953"/>
      <c r="I1872"/>
      <c r="J1872"/>
      <c r="K1872"/>
    </row>
    <row r="1873" spans="2:11" x14ac:dyDescent="0.35">
      <c r="B1873" s="1953"/>
      <c r="C1873" s="1953"/>
      <c r="D1873" s="1953"/>
      <c r="E1873" s="1953"/>
      <c r="F1873" s="1953"/>
      <c r="G1873" s="1953"/>
      <c r="H1873" s="1953"/>
      <c r="I1873"/>
      <c r="J1873"/>
      <c r="K1873"/>
    </row>
    <row r="1874" spans="2:11" x14ac:dyDescent="0.35">
      <c r="B1874" s="1953"/>
      <c r="C1874" s="1953"/>
      <c r="D1874" s="1953"/>
      <c r="E1874" s="1953"/>
      <c r="F1874" s="1953"/>
      <c r="G1874" s="1953"/>
      <c r="H1874" s="1953"/>
      <c r="I1874"/>
      <c r="J1874"/>
      <c r="K1874"/>
    </row>
    <row r="1875" spans="2:11" x14ac:dyDescent="0.35">
      <c r="B1875" s="1953"/>
      <c r="C1875" s="1953"/>
      <c r="D1875" s="1953"/>
      <c r="E1875" s="1953"/>
      <c r="F1875" s="1953"/>
      <c r="G1875" s="1953"/>
      <c r="H1875" s="1953"/>
      <c r="I1875"/>
      <c r="J1875"/>
      <c r="K1875"/>
    </row>
    <row r="1876" spans="2:11" x14ac:dyDescent="0.35">
      <c r="B1876" s="1953"/>
      <c r="C1876" s="1953"/>
      <c r="D1876" s="1953"/>
      <c r="E1876" s="1953"/>
      <c r="F1876" s="1953"/>
      <c r="G1876" s="1953"/>
      <c r="H1876" s="1953"/>
      <c r="I1876"/>
      <c r="J1876"/>
      <c r="K1876"/>
    </row>
    <row r="1877" spans="2:11" x14ac:dyDescent="0.35">
      <c r="B1877" s="1953"/>
      <c r="C1877" s="1953"/>
      <c r="D1877" s="1953"/>
      <c r="E1877" s="1953"/>
      <c r="F1877" s="1953"/>
      <c r="G1877" s="1953"/>
      <c r="H1877" s="1953"/>
      <c r="I1877"/>
      <c r="J1877"/>
      <c r="K1877"/>
    </row>
    <row r="1878" spans="2:11" x14ac:dyDescent="0.35">
      <c r="B1878" s="1953"/>
      <c r="C1878" s="1953"/>
      <c r="D1878" s="1953"/>
      <c r="E1878" s="1953"/>
      <c r="F1878" s="1953"/>
      <c r="G1878" s="1953"/>
      <c r="H1878" s="1953"/>
      <c r="I1878"/>
      <c r="J1878"/>
      <c r="K1878"/>
    </row>
    <row r="1879" spans="2:11" x14ac:dyDescent="0.35">
      <c r="B1879" s="1953"/>
      <c r="C1879" s="1953"/>
      <c r="D1879" s="1953"/>
      <c r="E1879" s="1953"/>
      <c r="F1879" s="1953"/>
      <c r="G1879" s="1953"/>
      <c r="H1879" s="1953"/>
      <c r="I1879"/>
      <c r="J1879"/>
      <c r="K1879"/>
    </row>
    <row r="1880" spans="2:11" x14ac:dyDescent="0.35">
      <c r="B1880" s="1953"/>
      <c r="C1880" s="1953"/>
      <c r="D1880" s="1953"/>
      <c r="E1880" s="1953"/>
      <c r="F1880" s="1953"/>
      <c r="G1880" s="1953"/>
      <c r="H1880" s="1953"/>
      <c r="I1880"/>
      <c r="J1880"/>
      <c r="K1880"/>
    </row>
    <row r="1881" spans="2:11" x14ac:dyDescent="0.35">
      <c r="B1881" s="1953"/>
      <c r="C1881" s="1953"/>
      <c r="D1881" s="1953"/>
      <c r="E1881" s="1953"/>
      <c r="F1881" s="1953"/>
      <c r="G1881" s="1953"/>
      <c r="H1881" s="1953"/>
      <c r="I1881"/>
      <c r="J1881"/>
      <c r="K1881"/>
    </row>
    <row r="1882" spans="2:11" x14ac:dyDescent="0.35">
      <c r="B1882" s="1953"/>
      <c r="C1882" s="1953"/>
      <c r="D1882" s="1953"/>
      <c r="E1882" s="1953"/>
      <c r="F1882" s="1953"/>
      <c r="G1882" s="1953"/>
      <c r="H1882" s="1953"/>
      <c r="I1882"/>
      <c r="J1882"/>
      <c r="K1882"/>
    </row>
    <row r="1883" spans="2:11" x14ac:dyDescent="0.35">
      <c r="B1883" s="1953"/>
      <c r="C1883" s="1953"/>
      <c r="D1883" s="1953"/>
      <c r="E1883" s="1953"/>
      <c r="F1883" s="1953"/>
      <c r="G1883" s="1953"/>
      <c r="H1883" s="1953"/>
      <c r="I1883"/>
      <c r="J1883"/>
      <c r="K1883"/>
    </row>
    <row r="1884" spans="2:11" x14ac:dyDescent="0.35">
      <c r="B1884" s="1953"/>
      <c r="C1884" s="1953"/>
      <c r="D1884" s="1953"/>
      <c r="E1884" s="1953"/>
      <c r="F1884" s="1953"/>
      <c r="G1884" s="1953"/>
      <c r="H1884" s="1953"/>
      <c r="I1884"/>
      <c r="J1884"/>
      <c r="K1884"/>
    </row>
    <row r="1885" spans="2:11" x14ac:dyDescent="0.35">
      <c r="B1885" s="1953"/>
      <c r="C1885" s="1953"/>
      <c r="D1885" s="1953"/>
      <c r="E1885" s="1953"/>
      <c r="F1885" s="1953"/>
      <c r="G1885" s="1953"/>
      <c r="H1885" s="1953"/>
      <c r="I1885"/>
      <c r="J1885"/>
      <c r="K1885"/>
    </row>
    <row r="1886" spans="2:11" x14ac:dyDescent="0.35">
      <c r="B1886" s="1953"/>
      <c r="C1886" s="1953"/>
      <c r="D1886" s="1953"/>
      <c r="E1886" s="1953"/>
      <c r="F1886" s="1953"/>
      <c r="G1886" s="1953"/>
      <c r="H1886" s="1953"/>
      <c r="I1886"/>
      <c r="J1886"/>
      <c r="K1886"/>
    </row>
    <row r="1887" spans="2:11" x14ac:dyDescent="0.35">
      <c r="B1887" s="1953"/>
      <c r="C1887" s="1953"/>
      <c r="D1887" s="1953"/>
      <c r="E1887" s="1953"/>
      <c r="F1887" s="1953"/>
      <c r="G1887" s="1953"/>
      <c r="H1887" s="1953"/>
      <c r="I1887"/>
      <c r="J1887"/>
      <c r="K1887"/>
    </row>
    <row r="1888" spans="2:11" x14ac:dyDescent="0.35">
      <c r="B1888" s="1953"/>
      <c r="C1888" s="1953"/>
      <c r="D1888" s="1953"/>
      <c r="E1888" s="1953"/>
      <c r="F1888" s="1953"/>
      <c r="G1888" s="1953"/>
      <c r="H1888" s="1953"/>
      <c r="I1888"/>
      <c r="J1888"/>
      <c r="K1888"/>
    </row>
    <row r="1889" spans="2:11" x14ac:dyDescent="0.35">
      <c r="B1889" s="1953"/>
      <c r="C1889" s="1953"/>
      <c r="D1889" s="1953"/>
      <c r="E1889" s="1953"/>
      <c r="F1889" s="1953"/>
      <c r="G1889" s="1953"/>
      <c r="H1889" s="1953"/>
      <c r="I1889"/>
      <c r="J1889"/>
      <c r="K1889"/>
    </row>
    <row r="1890" spans="2:11" x14ac:dyDescent="0.35">
      <c r="B1890" s="1953"/>
      <c r="C1890" s="1953"/>
      <c r="D1890" s="1953"/>
      <c r="E1890" s="1953"/>
      <c r="F1890" s="1953"/>
      <c r="G1890" s="1953"/>
      <c r="H1890" s="1953"/>
      <c r="I1890"/>
      <c r="J1890"/>
      <c r="K1890"/>
    </row>
    <row r="1891" spans="2:11" x14ac:dyDescent="0.35">
      <c r="B1891" s="1953"/>
      <c r="C1891" s="1953"/>
      <c r="D1891" s="1953"/>
      <c r="E1891" s="1953"/>
      <c r="F1891" s="1953"/>
      <c r="G1891" s="1953"/>
      <c r="H1891" s="1953"/>
      <c r="I1891"/>
      <c r="J1891"/>
      <c r="K1891"/>
    </row>
    <row r="1892" spans="2:11" x14ac:dyDescent="0.35">
      <c r="B1892" s="1953"/>
      <c r="C1892" s="1953"/>
      <c r="D1892" s="1953"/>
      <c r="E1892" s="1953"/>
      <c r="F1892" s="1953"/>
      <c r="G1892" s="1953"/>
      <c r="H1892" s="1953"/>
      <c r="I1892"/>
      <c r="J1892"/>
      <c r="K1892"/>
    </row>
    <row r="1893" spans="2:11" x14ac:dyDescent="0.35">
      <c r="B1893" s="1953"/>
      <c r="C1893" s="1953"/>
      <c r="D1893" s="1953"/>
      <c r="E1893" s="1953"/>
      <c r="F1893" s="1953"/>
      <c r="G1893" s="1953"/>
      <c r="H1893" s="1953"/>
      <c r="I1893"/>
      <c r="J1893"/>
      <c r="K1893"/>
    </row>
    <row r="1894" spans="2:11" x14ac:dyDescent="0.35">
      <c r="B1894" s="1953"/>
      <c r="C1894" s="1953"/>
      <c r="D1894" s="1953"/>
      <c r="E1894" s="1953"/>
      <c r="F1894" s="1953"/>
      <c r="G1894" s="1953"/>
      <c r="H1894" s="1953"/>
      <c r="I1894"/>
      <c r="J1894"/>
      <c r="K1894"/>
    </row>
    <row r="1895" spans="2:11" x14ac:dyDescent="0.35">
      <c r="B1895" s="1953"/>
      <c r="C1895" s="1953"/>
      <c r="D1895" s="1953"/>
      <c r="E1895" s="1953"/>
      <c r="F1895" s="1953"/>
      <c r="G1895" s="1953"/>
      <c r="H1895" s="1953"/>
      <c r="I1895"/>
      <c r="J1895"/>
      <c r="K1895"/>
    </row>
    <row r="1896" spans="2:11" x14ac:dyDescent="0.35">
      <c r="B1896" s="1953"/>
      <c r="C1896" s="1953"/>
      <c r="D1896" s="1953"/>
      <c r="E1896" s="1953"/>
      <c r="F1896" s="1953"/>
      <c r="G1896" s="1953"/>
      <c r="H1896" s="1953"/>
      <c r="I1896"/>
      <c r="J1896"/>
      <c r="K1896"/>
    </row>
    <row r="1897" spans="2:11" x14ac:dyDescent="0.35">
      <c r="B1897" s="1953"/>
      <c r="C1897" s="1953"/>
      <c r="D1897" s="1953"/>
      <c r="E1897" s="1953"/>
      <c r="F1897" s="1953"/>
      <c r="G1897" s="1953"/>
      <c r="H1897" s="1953"/>
      <c r="I1897"/>
      <c r="J1897"/>
      <c r="K1897"/>
    </row>
    <row r="1898" spans="2:11" x14ac:dyDescent="0.35">
      <c r="B1898" s="1953"/>
      <c r="C1898" s="1953"/>
      <c r="D1898" s="1953"/>
      <c r="E1898" s="1953"/>
      <c r="F1898" s="1953"/>
      <c r="G1898" s="1953"/>
      <c r="H1898" s="1953"/>
      <c r="I1898"/>
      <c r="J1898"/>
      <c r="K1898"/>
    </row>
    <row r="1899" spans="2:11" x14ac:dyDescent="0.35">
      <c r="B1899" s="1953"/>
      <c r="C1899" s="1953"/>
      <c r="D1899" s="1953"/>
      <c r="E1899" s="1953"/>
      <c r="F1899" s="1953"/>
      <c r="G1899" s="1953"/>
      <c r="H1899" s="1953"/>
      <c r="I1899"/>
      <c r="J1899"/>
      <c r="K1899"/>
    </row>
    <row r="1900" spans="2:11" x14ac:dyDescent="0.35">
      <c r="B1900" s="1953"/>
      <c r="C1900" s="1953"/>
      <c r="D1900" s="1953"/>
      <c r="E1900" s="1953"/>
      <c r="F1900" s="1953"/>
      <c r="G1900" s="1953"/>
      <c r="H1900" s="1953"/>
      <c r="I1900"/>
      <c r="J1900"/>
      <c r="K1900"/>
    </row>
    <row r="1901" spans="2:11" x14ac:dyDescent="0.35">
      <c r="B1901" s="1953"/>
      <c r="C1901" s="1953"/>
      <c r="D1901" s="1953"/>
      <c r="E1901" s="1953"/>
      <c r="F1901" s="1953"/>
      <c r="G1901" s="1953"/>
      <c r="H1901" s="1953"/>
      <c r="I1901"/>
      <c r="J1901"/>
      <c r="K1901"/>
    </row>
    <row r="1902" spans="2:11" x14ac:dyDescent="0.35">
      <c r="B1902" s="1953"/>
      <c r="C1902" s="1953"/>
      <c r="D1902" s="1953"/>
      <c r="E1902" s="1953"/>
      <c r="F1902" s="1953"/>
      <c r="G1902" s="1953"/>
      <c r="H1902" s="1953"/>
      <c r="I1902"/>
      <c r="J1902"/>
      <c r="K1902"/>
    </row>
    <row r="1903" spans="2:11" x14ac:dyDescent="0.35">
      <c r="B1903" s="1953"/>
      <c r="C1903" s="1953"/>
      <c r="D1903" s="1953"/>
      <c r="E1903" s="1953"/>
      <c r="F1903" s="1953"/>
      <c r="G1903" s="1953"/>
      <c r="H1903" s="1953"/>
      <c r="I1903"/>
      <c r="J1903"/>
      <c r="K1903"/>
    </row>
    <row r="1904" spans="2:11" x14ac:dyDescent="0.35">
      <c r="B1904" s="1953"/>
      <c r="C1904" s="1953"/>
      <c r="D1904" s="1953"/>
      <c r="E1904" s="1953"/>
      <c r="F1904" s="1953"/>
      <c r="G1904" s="1953"/>
      <c r="H1904" s="1953"/>
      <c r="I1904"/>
      <c r="J1904"/>
      <c r="K1904"/>
    </row>
    <row r="1905" spans="2:11" x14ac:dyDescent="0.35">
      <c r="B1905" s="1953"/>
      <c r="C1905" s="1953"/>
      <c r="D1905" s="1953"/>
      <c r="E1905" s="1953"/>
      <c r="F1905" s="1953"/>
      <c r="G1905" s="1953"/>
      <c r="H1905" s="1953"/>
      <c r="I1905"/>
      <c r="J1905"/>
      <c r="K1905"/>
    </row>
    <row r="1906" spans="2:11" x14ac:dyDescent="0.35">
      <c r="B1906" s="1953"/>
      <c r="C1906" s="1953"/>
      <c r="D1906" s="1953"/>
      <c r="E1906" s="1953"/>
      <c r="F1906" s="1953"/>
      <c r="G1906" s="1953"/>
      <c r="H1906" s="1953"/>
      <c r="I1906"/>
      <c r="J1906"/>
      <c r="K1906"/>
    </row>
    <row r="1907" spans="2:11" x14ac:dyDescent="0.35">
      <c r="B1907" s="1953"/>
      <c r="C1907" s="1953"/>
      <c r="D1907" s="1953"/>
      <c r="E1907" s="1953"/>
      <c r="F1907" s="1953"/>
      <c r="G1907" s="1953"/>
      <c r="H1907" s="1953"/>
      <c r="I1907"/>
      <c r="J1907"/>
      <c r="K1907"/>
    </row>
    <row r="1908" spans="2:11" x14ac:dyDescent="0.35">
      <c r="B1908" s="1953"/>
      <c r="C1908" s="1953"/>
      <c r="D1908" s="1953"/>
      <c r="E1908" s="1953"/>
      <c r="F1908" s="1953"/>
      <c r="G1908" s="1953"/>
      <c r="H1908" s="1953"/>
      <c r="I1908"/>
      <c r="J1908"/>
      <c r="K1908"/>
    </row>
    <row r="1909" spans="2:11" x14ac:dyDescent="0.35">
      <c r="B1909" s="1953"/>
      <c r="C1909" s="1953"/>
      <c r="D1909" s="1953"/>
      <c r="E1909" s="1953"/>
      <c r="F1909" s="1953"/>
      <c r="G1909" s="1953"/>
      <c r="H1909" s="1953"/>
      <c r="I1909"/>
      <c r="J1909"/>
      <c r="K1909"/>
    </row>
    <row r="1910" spans="2:11" x14ac:dyDescent="0.35">
      <c r="B1910" s="1953"/>
      <c r="C1910" s="1953"/>
      <c r="D1910" s="1953"/>
      <c r="E1910" s="1953"/>
      <c r="F1910" s="1953"/>
      <c r="G1910" s="1953"/>
      <c r="H1910" s="1953"/>
      <c r="I1910"/>
      <c r="J1910"/>
      <c r="K1910"/>
    </row>
    <row r="1911" spans="2:11" x14ac:dyDescent="0.35">
      <c r="B1911" s="1953"/>
      <c r="C1911" s="1953"/>
      <c r="D1911" s="1953"/>
      <c r="E1911" s="1953"/>
      <c r="F1911" s="1953"/>
      <c r="G1911" s="1953"/>
      <c r="H1911" s="1953"/>
      <c r="I1911"/>
      <c r="J1911"/>
      <c r="K1911"/>
    </row>
    <row r="1912" spans="2:11" x14ac:dyDescent="0.35">
      <c r="B1912" s="1953"/>
      <c r="C1912" s="1953"/>
      <c r="D1912" s="1953"/>
      <c r="E1912" s="1953"/>
      <c r="F1912" s="1953"/>
      <c r="G1912" s="1953"/>
      <c r="H1912" s="1953"/>
      <c r="I1912"/>
      <c r="J1912"/>
      <c r="K1912"/>
    </row>
    <row r="1913" spans="2:11" x14ac:dyDescent="0.35">
      <c r="B1913" s="1953"/>
      <c r="C1913" s="1953"/>
      <c r="D1913" s="1953"/>
      <c r="E1913" s="1953"/>
      <c r="F1913" s="1953"/>
      <c r="G1913" s="1953"/>
      <c r="H1913" s="1953"/>
      <c r="I1913"/>
      <c r="J1913"/>
      <c r="K1913"/>
    </row>
    <row r="1914" spans="2:11" x14ac:dyDescent="0.35">
      <c r="B1914" s="1953"/>
      <c r="C1914" s="1953"/>
      <c r="D1914" s="1953"/>
      <c r="E1914" s="1953"/>
      <c r="F1914" s="1953"/>
      <c r="G1914" s="1953"/>
      <c r="H1914" s="1953"/>
      <c r="I1914"/>
      <c r="J1914"/>
      <c r="K1914"/>
    </row>
    <row r="1915" spans="2:11" x14ac:dyDescent="0.35">
      <c r="B1915" s="1953"/>
      <c r="C1915" s="1953"/>
      <c r="D1915" s="1953"/>
      <c r="E1915" s="1953"/>
      <c r="F1915" s="1953"/>
      <c r="G1915" s="1953"/>
      <c r="H1915" s="1953"/>
      <c r="I1915"/>
      <c r="J1915"/>
      <c r="K1915"/>
    </row>
    <row r="1916" spans="2:11" x14ac:dyDescent="0.35">
      <c r="B1916" s="1953"/>
      <c r="C1916" s="1953"/>
      <c r="D1916" s="1953"/>
      <c r="E1916" s="1953"/>
      <c r="F1916" s="1953"/>
      <c r="G1916" s="1953"/>
      <c r="H1916" s="1953"/>
      <c r="I1916"/>
      <c r="J1916"/>
      <c r="K1916"/>
    </row>
    <row r="1917" spans="2:11" x14ac:dyDescent="0.35">
      <c r="B1917" s="1953"/>
      <c r="C1917" s="1953"/>
      <c r="D1917" s="1953"/>
      <c r="E1917" s="1953"/>
      <c r="F1917" s="1953"/>
      <c r="G1917" s="1953"/>
      <c r="H1917" s="1953"/>
      <c r="I1917"/>
      <c r="J1917"/>
      <c r="K1917"/>
    </row>
    <row r="1918" spans="2:11" x14ac:dyDescent="0.35">
      <c r="B1918" s="1953"/>
      <c r="C1918" s="1953"/>
      <c r="D1918" s="1953"/>
      <c r="E1918" s="1953"/>
      <c r="F1918" s="1953"/>
      <c r="G1918" s="1953"/>
      <c r="H1918" s="1953"/>
      <c r="I1918"/>
      <c r="J1918"/>
      <c r="K1918"/>
    </row>
    <row r="1919" spans="2:11" x14ac:dyDescent="0.35">
      <c r="B1919" s="1953"/>
      <c r="C1919" s="1953"/>
      <c r="D1919" s="1953"/>
      <c r="E1919" s="1953"/>
      <c r="F1919" s="1953"/>
      <c r="G1919" s="1953"/>
      <c r="H1919" s="1953"/>
      <c r="I1919"/>
      <c r="J1919"/>
      <c r="K1919"/>
    </row>
    <row r="1920" spans="2:11" x14ac:dyDescent="0.35">
      <c r="B1920" s="1953"/>
      <c r="C1920" s="1953"/>
      <c r="D1920" s="1953"/>
      <c r="E1920" s="1953"/>
      <c r="F1920" s="1953"/>
      <c r="G1920" s="1953"/>
      <c r="H1920" s="1953"/>
      <c r="I1920"/>
      <c r="J1920"/>
      <c r="K1920"/>
    </row>
    <row r="1921" spans="2:11" x14ac:dyDescent="0.35">
      <c r="B1921" s="1953"/>
      <c r="C1921" s="1953"/>
      <c r="D1921" s="1953"/>
      <c r="E1921" s="1953"/>
      <c r="F1921" s="1953"/>
      <c r="G1921" s="1953"/>
      <c r="H1921" s="1953"/>
      <c r="I1921"/>
      <c r="J1921"/>
      <c r="K1921"/>
    </row>
    <row r="1922" spans="2:11" x14ac:dyDescent="0.35">
      <c r="B1922" s="1953"/>
      <c r="C1922" s="1953"/>
      <c r="D1922" s="1953"/>
      <c r="E1922" s="1953"/>
      <c r="F1922" s="1953"/>
      <c r="G1922" s="1953"/>
      <c r="H1922" s="1953"/>
      <c r="I1922"/>
      <c r="J1922"/>
      <c r="K1922"/>
    </row>
    <row r="1923" spans="2:11" x14ac:dyDescent="0.35">
      <c r="B1923" s="1953"/>
      <c r="C1923" s="1953"/>
      <c r="D1923" s="1953"/>
      <c r="E1923" s="1953"/>
      <c r="F1923" s="1953"/>
      <c r="G1923" s="1953"/>
      <c r="H1923" s="1953"/>
      <c r="I1923"/>
      <c r="J1923"/>
      <c r="K1923"/>
    </row>
    <row r="1924" spans="2:11" x14ac:dyDescent="0.35">
      <c r="B1924" s="1953"/>
      <c r="C1924" s="1953"/>
      <c r="D1924" s="1953"/>
      <c r="E1924" s="1953"/>
      <c r="F1924" s="1953"/>
      <c r="G1924" s="1953"/>
      <c r="H1924" s="1953"/>
      <c r="I1924"/>
      <c r="J1924"/>
      <c r="K1924"/>
    </row>
    <row r="1925" spans="2:11" x14ac:dyDescent="0.35">
      <c r="B1925" s="1953"/>
      <c r="C1925" s="1953"/>
      <c r="D1925" s="1953"/>
      <c r="E1925" s="1953"/>
      <c r="F1925" s="1953"/>
      <c r="G1925" s="1953"/>
      <c r="H1925" s="1953"/>
      <c r="I1925"/>
      <c r="J1925"/>
      <c r="K1925"/>
    </row>
    <row r="1926" spans="2:11" x14ac:dyDescent="0.35">
      <c r="B1926" s="1953"/>
      <c r="C1926" s="1953"/>
      <c r="D1926" s="1953"/>
      <c r="E1926" s="1953"/>
      <c r="F1926" s="1953"/>
      <c r="G1926" s="1953"/>
      <c r="H1926" s="1953"/>
      <c r="I1926"/>
      <c r="J1926"/>
      <c r="K1926"/>
    </row>
    <row r="1927" spans="2:11" x14ac:dyDescent="0.35">
      <c r="B1927" s="1953"/>
      <c r="C1927" s="1953"/>
      <c r="D1927" s="1953"/>
      <c r="E1927" s="1953"/>
      <c r="F1927" s="1953"/>
      <c r="G1927" s="1953"/>
      <c r="H1927" s="1953"/>
      <c r="I1927"/>
      <c r="J1927"/>
      <c r="K1927"/>
    </row>
    <row r="1928" spans="2:11" x14ac:dyDescent="0.35">
      <c r="B1928" s="1953"/>
      <c r="C1928" s="1953"/>
      <c r="D1928" s="1953"/>
      <c r="E1928" s="1953"/>
      <c r="F1928" s="1953"/>
      <c r="G1928" s="1953"/>
      <c r="H1928" s="1953"/>
      <c r="I1928"/>
      <c r="J1928"/>
      <c r="K1928"/>
    </row>
    <row r="1929" spans="2:11" x14ac:dyDescent="0.35">
      <c r="B1929" s="1953"/>
      <c r="C1929" s="1953"/>
      <c r="D1929" s="1953"/>
      <c r="E1929" s="1953"/>
      <c r="F1929" s="1953"/>
      <c r="G1929" s="1953"/>
      <c r="H1929" s="1953"/>
      <c r="I1929"/>
      <c r="J1929"/>
      <c r="K1929"/>
    </row>
    <row r="1930" spans="2:11" x14ac:dyDescent="0.35">
      <c r="B1930" s="1953"/>
      <c r="C1930" s="1953"/>
      <c r="D1930" s="1953"/>
      <c r="E1930" s="1953"/>
      <c r="F1930" s="1953"/>
      <c r="G1930" s="1953"/>
      <c r="H1930" s="1953"/>
      <c r="I1930"/>
      <c r="J1930"/>
      <c r="K1930"/>
    </row>
    <row r="1931" spans="2:11" x14ac:dyDescent="0.35">
      <c r="B1931" s="1953"/>
      <c r="C1931" s="1953"/>
      <c r="D1931" s="1953"/>
      <c r="E1931" s="1953"/>
      <c r="F1931" s="1953"/>
      <c r="G1931" s="1953"/>
      <c r="H1931" s="1953"/>
      <c r="I1931"/>
      <c r="J1931"/>
      <c r="K1931"/>
    </row>
    <row r="1932" spans="2:11" x14ac:dyDescent="0.35">
      <c r="B1932" s="1953"/>
      <c r="C1932" s="1953"/>
      <c r="D1932" s="1953"/>
      <c r="E1932" s="1953"/>
      <c r="F1932" s="1953"/>
      <c r="G1932" s="1953"/>
      <c r="H1932" s="1953"/>
      <c r="I1932"/>
      <c r="J1932"/>
      <c r="K1932"/>
    </row>
    <row r="1933" spans="2:11" x14ac:dyDescent="0.35">
      <c r="B1933" s="1953"/>
      <c r="C1933" s="1953"/>
      <c r="D1933" s="1953"/>
      <c r="E1933" s="1953"/>
      <c r="F1933" s="1953"/>
      <c r="G1933" s="1953"/>
      <c r="H1933" s="1953"/>
      <c r="I1933"/>
      <c r="J1933"/>
      <c r="K1933"/>
    </row>
    <row r="1934" spans="2:11" x14ac:dyDescent="0.35">
      <c r="B1934" s="1953"/>
      <c r="C1934" s="1953"/>
      <c r="D1934" s="1953"/>
      <c r="E1934" s="1953"/>
      <c r="F1934" s="1953"/>
      <c r="G1934" s="1953"/>
      <c r="H1934" s="1953"/>
      <c r="I1934"/>
      <c r="J1934"/>
      <c r="K1934"/>
    </row>
    <row r="1935" spans="2:11" x14ac:dyDescent="0.35">
      <c r="B1935" s="1953"/>
      <c r="C1935" s="1953"/>
      <c r="D1935" s="1953"/>
      <c r="E1935" s="1953"/>
      <c r="F1935" s="1953"/>
      <c r="G1935" s="1953"/>
      <c r="H1935" s="1953"/>
      <c r="I1935"/>
      <c r="J1935"/>
      <c r="K1935"/>
    </row>
    <row r="1936" spans="2:11" x14ac:dyDescent="0.35">
      <c r="B1936" s="1953"/>
      <c r="C1936" s="1953"/>
      <c r="D1936" s="1953"/>
      <c r="E1936" s="1953"/>
      <c r="F1936" s="1953"/>
      <c r="G1936" s="1953"/>
      <c r="H1936" s="1953"/>
      <c r="I1936"/>
      <c r="J1936"/>
      <c r="K1936"/>
    </row>
    <row r="1937" spans="2:11" x14ac:dyDescent="0.35">
      <c r="B1937" s="1953"/>
      <c r="C1937" s="1953"/>
      <c r="D1937" s="1953"/>
      <c r="E1937" s="1953"/>
      <c r="F1937" s="1953"/>
      <c r="G1937" s="1953"/>
      <c r="H1937" s="1953"/>
      <c r="I1937"/>
      <c r="J1937"/>
      <c r="K1937"/>
    </row>
    <row r="1938" spans="2:11" x14ac:dyDescent="0.35">
      <c r="B1938" s="1953"/>
      <c r="C1938" s="1953"/>
      <c r="D1938" s="1953"/>
      <c r="E1938" s="1953"/>
      <c r="F1938" s="1953"/>
      <c r="G1938" s="1953"/>
      <c r="H1938" s="1953"/>
      <c r="I1938"/>
      <c r="J1938"/>
      <c r="K1938"/>
    </row>
    <row r="1939" spans="2:11" x14ac:dyDescent="0.35">
      <c r="B1939" s="1953"/>
      <c r="C1939" s="1953"/>
      <c r="D1939" s="1953"/>
      <c r="E1939" s="1953"/>
      <c r="F1939" s="1953"/>
      <c r="G1939" s="1953"/>
      <c r="H1939" s="1953"/>
      <c r="I1939"/>
      <c r="J1939"/>
      <c r="K1939"/>
    </row>
    <row r="1940" spans="2:11" x14ac:dyDescent="0.35">
      <c r="B1940" s="1953"/>
      <c r="C1940" s="1953"/>
      <c r="D1940" s="1953"/>
      <c r="E1940" s="1953"/>
      <c r="F1940" s="1953"/>
      <c r="G1940" s="1953"/>
      <c r="H1940" s="1953"/>
      <c r="I1940"/>
      <c r="J1940"/>
      <c r="K1940"/>
    </row>
    <row r="1941" spans="2:11" x14ac:dyDescent="0.35">
      <c r="B1941" s="1953"/>
      <c r="C1941" s="1953"/>
      <c r="D1941" s="1953"/>
      <c r="E1941" s="1953"/>
      <c r="F1941" s="1953"/>
      <c r="G1941" s="1953"/>
      <c r="H1941" s="1953"/>
      <c r="I1941"/>
      <c r="J1941"/>
      <c r="K1941"/>
    </row>
    <row r="1942" spans="2:11" x14ac:dyDescent="0.35">
      <c r="B1942" s="1953"/>
      <c r="C1942" s="1953"/>
      <c r="D1942" s="1953"/>
      <c r="E1942" s="1953"/>
      <c r="F1942" s="1953"/>
      <c r="G1942" s="1953"/>
      <c r="H1942" s="1953"/>
      <c r="I1942"/>
      <c r="J1942"/>
      <c r="K1942"/>
    </row>
    <row r="1943" spans="2:11" x14ac:dyDescent="0.35">
      <c r="B1943" s="1953"/>
      <c r="C1943" s="1953"/>
      <c r="D1943" s="1953"/>
      <c r="E1943" s="1953"/>
      <c r="F1943" s="1953"/>
      <c r="G1943" s="1953"/>
      <c r="H1943" s="1953"/>
      <c r="I1943"/>
      <c r="J1943"/>
      <c r="K1943"/>
    </row>
    <row r="1944" spans="2:11" x14ac:dyDescent="0.35">
      <c r="B1944" s="1953"/>
      <c r="C1944" s="1953"/>
      <c r="D1944" s="1953"/>
      <c r="E1944" s="1953"/>
      <c r="F1944" s="1953"/>
      <c r="G1944" s="1953"/>
      <c r="H1944" s="1953"/>
      <c r="I1944"/>
      <c r="J1944"/>
      <c r="K1944"/>
    </row>
    <row r="1945" spans="2:11" x14ac:dyDescent="0.35">
      <c r="B1945" s="1953"/>
      <c r="C1945" s="1953"/>
      <c r="D1945" s="1953"/>
      <c r="E1945" s="1953"/>
      <c r="F1945" s="1953"/>
      <c r="G1945" s="1953"/>
      <c r="H1945" s="1953"/>
      <c r="I1945"/>
      <c r="J1945"/>
      <c r="K1945"/>
    </row>
    <row r="1946" spans="2:11" x14ac:dyDescent="0.35">
      <c r="B1946" s="1953"/>
      <c r="C1946" s="1953"/>
      <c r="D1946" s="1953"/>
      <c r="E1946" s="1953"/>
      <c r="F1946" s="1953"/>
      <c r="G1946" s="1953"/>
      <c r="H1946" s="1953"/>
      <c r="I1946"/>
      <c r="J1946"/>
      <c r="K1946"/>
    </row>
    <row r="1947" spans="2:11" x14ac:dyDescent="0.35">
      <c r="B1947" s="1953"/>
      <c r="C1947" s="1953"/>
      <c r="D1947" s="1953"/>
      <c r="E1947" s="1953"/>
      <c r="F1947" s="1953"/>
      <c r="G1947" s="1953"/>
      <c r="H1947" s="1953"/>
      <c r="I1947"/>
      <c r="J1947"/>
      <c r="K1947"/>
    </row>
    <row r="1948" spans="2:11" x14ac:dyDescent="0.35">
      <c r="B1948" s="1953"/>
      <c r="C1948" s="1953"/>
      <c r="D1948" s="1953"/>
      <c r="E1948" s="1953"/>
      <c r="F1948" s="1953"/>
      <c r="G1948" s="1953"/>
      <c r="H1948" s="1953"/>
      <c r="I1948"/>
      <c r="J1948"/>
      <c r="K1948"/>
    </row>
    <row r="1949" spans="2:11" x14ac:dyDescent="0.35">
      <c r="B1949" s="1953"/>
      <c r="C1949" s="1953"/>
      <c r="D1949" s="1953"/>
      <c r="E1949" s="1953"/>
      <c r="F1949" s="1953"/>
      <c r="G1949" s="1953"/>
      <c r="H1949" s="1953"/>
      <c r="I1949"/>
      <c r="J1949"/>
      <c r="K1949"/>
    </row>
    <row r="1950" spans="2:11" x14ac:dyDescent="0.35">
      <c r="B1950" s="1953"/>
      <c r="C1950" s="1953"/>
      <c r="D1950" s="1953"/>
      <c r="E1950" s="1953"/>
      <c r="F1950" s="1953"/>
      <c r="G1950" s="1953"/>
      <c r="H1950" s="1953"/>
      <c r="I1950"/>
      <c r="J1950"/>
      <c r="K1950"/>
    </row>
    <row r="1951" spans="2:11" x14ac:dyDescent="0.35">
      <c r="B1951" s="1953"/>
      <c r="C1951" s="1953"/>
      <c r="D1951" s="1953"/>
      <c r="E1951" s="1953"/>
      <c r="F1951" s="1953"/>
      <c r="G1951" s="1953"/>
      <c r="H1951" s="1953"/>
      <c r="I1951"/>
      <c r="J1951"/>
      <c r="K1951"/>
    </row>
    <row r="1952" spans="2:11" x14ac:dyDescent="0.35">
      <c r="B1952" s="1953"/>
      <c r="C1952" s="1953"/>
      <c r="D1952" s="1953"/>
      <c r="E1952" s="1953"/>
      <c r="F1952" s="1953"/>
      <c r="G1952" s="1953"/>
      <c r="H1952" s="1953"/>
      <c r="I1952"/>
      <c r="J1952"/>
      <c r="K1952"/>
    </row>
    <row r="1953" spans="2:11" x14ac:dyDescent="0.35">
      <c r="B1953" s="1953"/>
      <c r="C1953" s="1953"/>
      <c r="D1953" s="1953"/>
      <c r="E1953" s="1953"/>
      <c r="F1953" s="1953"/>
      <c r="G1953" s="1953"/>
      <c r="H1953" s="1953"/>
      <c r="I1953"/>
      <c r="J1953"/>
      <c r="K1953"/>
    </row>
    <row r="1954" spans="2:11" x14ac:dyDescent="0.35">
      <c r="B1954" s="1953"/>
      <c r="C1954" s="1953"/>
      <c r="D1954" s="1953"/>
      <c r="E1954" s="1953"/>
      <c r="F1954" s="1953"/>
      <c r="G1954" s="1953"/>
      <c r="H1954" s="1953"/>
      <c r="I1954"/>
      <c r="J1954"/>
      <c r="K1954"/>
    </row>
    <row r="1955" spans="2:11" x14ac:dyDescent="0.35">
      <c r="B1955" s="1953"/>
      <c r="C1955" s="1953"/>
      <c r="D1955" s="1953"/>
      <c r="E1955" s="1953"/>
      <c r="F1955" s="1953"/>
      <c r="G1955" s="1953"/>
      <c r="H1955" s="1953"/>
      <c r="I1955"/>
      <c r="J1955"/>
      <c r="K1955"/>
    </row>
    <row r="1956" spans="2:11" x14ac:dyDescent="0.35">
      <c r="B1956" s="1953"/>
      <c r="C1956" s="1953"/>
      <c r="D1956" s="1953"/>
      <c r="E1956" s="1953"/>
      <c r="F1956" s="1953"/>
      <c r="G1956" s="1953"/>
      <c r="H1956" s="1953"/>
      <c r="I1956"/>
      <c r="J1956"/>
      <c r="K1956"/>
    </row>
    <row r="1957" spans="2:11" x14ac:dyDescent="0.35">
      <c r="B1957" s="1953"/>
      <c r="C1957" s="1953"/>
      <c r="D1957" s="1953"/>
      <c r="E1957" s="1953"/>
      <c r="F1957" s="1953"/>
      <c r="G1957" s="1953"/>
      <c r="H1957" s="1953"/>
      <c r="I1957"/>
      <c r="J1957"/>
      <c r="K1957"/>
    </row>
    <row r="1958" spans="2:11" x14ac:dyDescent="0.35">
      <c r="B1958" s="1953"/>
      <c r="C1958" s="1953"/>
      <c r="D1958" s="1953"/>
      <c r="E1958" s="1953"/>
      <c r="F1958" s="1953"/>
      <c r="G1958" s="1953"/>
      <c r="H1958" s="1953"/>
      <c r="I1958"/>
      <c r="J1958"/>
      <c r="K1958"/>
    </row>
    <row r="1959" spans="2:11" x14ac:dyDescent="0.35">
      <c r="B1959" s="1953"/>
      <c r="C1959" s="1953"/>
      <c r="D1959" s="1953"/>
      <c r="E1959" s="1953"/>
      <c r="F1959" s="1953"/>
      <c r="G1959" s="1953"/>
      <c r="H1959" s="1953"/>
      <c r="I1959"/>
      <c r="J1959"/>
      <c r="K1959"/>
    </row>
    <row r="1960" spans="2:11" x14ac:dyDescent="0.35">
      <c r="B1960" s="1953"/>
      <c r="C1960" s="1953"/>
      <c r="D1960" s="1953"/>
      <c r="E1960" s="1953"/>
      <c r="F1960" s="1953"/>
      <c r="G1960" s="1953"/>
      <c r="H1960" s="1953"/>
      <c r="I1960"/>
      <c r="J1960"/>
      <c r="K1960"/>
    </row>
    <row r="1961" spans="2:11" x14ac:dyDescent="0.35">
      <c r="B1961" s="1953"/>
      <c r="C1961" s="1953"/>
      <c r="D1961" s="1953"/>
      <c r="E1961" s="1953"/>
      <c r="F1961" s="1953"/>
      <c r="G1961" s="1953"/>
      <c r="H1961" s="1953"/>
      <c r="I1961"/>
      <c r="J1961"/>
      <c r="K1961"/>
    </row>
    <row r="1962" spans="2:11" x14ac:dyDescent="0.35">
      <c r="B1962" s="1953"/>
      <c r="C1962" s="1953"/>
      <c r="D1962" s="1953"/>
      <c r="E1962" s="1953"/>
      <c r="F1962" s="1953"/>
      <c r="G1962" s="1953"/>
      <c r="H1962" s="1953"/>
      <c r="I1962"/>
      <c r="J1962"/>
      <c r="K1962"/>
    </row>
    <row r="1963" spans="2:11" x14ac:dyDescent="0.35">
      <c r="B1963" s="1953"/>
      <c r="C1963" s="1953"/>
      <c r="D1963" s="1953"/>
      <c r="E1963" s="1953"/>
      <c r="F1963" s="1953"/>
      <c r="G1963" s="1953"/>
      <c r="H1963" s="1953"/>
      <c r="I1963"/>
      <c r="J1963"/>
      <c r="K1963"/>
    </row>
    <row r="1964" spans="2:11" x14ac:dyDescent="0.35">
      <c r="B1964" s="1953"/>
      <c r="C1964" s="1953"/>
      <c r="D1964" s="1953"/>
      <c r="E1964" s="1953"/>
      <c r="F1964" s="1953"/>
      <c r="G1964" s="1953"/>
      <c r="H1964" s="1953"/>
      <c r="I1964"/>
      <c r="J1964"/>
      <c r="K1964"/>
    </row>
    <row r="1965" spans="2:11" x14ac:dyDescent="0.35">
      <c r="B1965" s="1953"/>
      <c r="C1965" s="1953"/>
      <c r="D1965" s="1953"/>
      <c r="E1965" s="1953"/>
      <c r="F1965" s="1953"/>
      <c r="G1965" s="1953"/>
      <c r="H1965" s="1953"/>
      <c r="I1965"/>
      <c r="J1965"/>
      <c r="K1965"/>
    </row>
    <row r="1966" spans="2:11" x14ac:dyDescent="0.35">
      <c r="B1966" s="1953"/>
      <c r="C1966" s="1953"/>
      <c r="D1966" s="1953"/>
      <c r="E1966" s="1953"/>
      <c r="F1966" s="1953"/>
      <c r="G1966" s="1953"/>
      <c r="H1966" s="1953"/>
      <c r="I1966"/>
      <c r="J1966"/>
      <c r="K1966"/>
    </row>
    <row r="1967" spans="2:11" x14ac:dyDescent="0.35">
      <c r="B1967" s="1953"/>
      <c r="C1967" s="1953"/>
      <c r="D1967" s="1953"/>
      <c r="E1967" s="1953"/>
      <c r="F1967" s="1953"/>
      <c r="G1967" s="1953"/>
      <c r="H1967" s="1953"/>
      <c r="I1967"/>
      <c r="J1967"/>
      <c r="K1967"/>
    </row>
    <row r="1968" spans="2:11" x14ac:dyDescent="0.35">
      <c r="B1968" s="1953"/>
      <c r="C1968" s="1953"/>
      <c r="D1968" s="1953"/>
      <c r="E1968" s="1953"/>
      <c r="F1968" s="1953"/>
      <c r="G1968" s="1953"/>
      <c r="H1968" s="1953"/>
      <c r="I1968"/>
      <c r="J1968"/>
      <c r="K1968"/>
    </row>
    <row r="1969" spans="2:11" x14ac:dyDescent="0.35">
      <c r="B1969" s="1953"/>
      <c r="C1969" s="1953"/>
      <c r="D1969" s="1953"/>
      <c r="E1969" s="1953"/>
      <c r="F1969" s="1953"/>
      <c r="G1969" s="1953"/>
      <c r="H1969" s="1953"/>
      <c r="I1969"/>
      <c r="J1969"/>
      <c r="K1969"/>
    </row>
    <row r="1970" spans="2:11" x14ac:dyDescent="0.35">
      <c r="B1970" s="1953"/>
      <c r="C1970" s="1953"/>
      <c r="D1970" s="1953"/>
      <c r="E1970" s="1953"/>
      <c r="F1970" s="1953"/>
      <c r="G1970" s="1953"/>
      <c r="H1970" s="1953"/>
      <c r="I1970"/>
      <c r="J1970"/>
      <c r="K1970"/>
    </row>
    <row r="1971" spans="2:11" x14ac:dyDescent="0.35">
      <c r="B1971" s="1953"/>
      <c r="C1971" s="1953"/>
      <c r="D1971" s="1953"/>
      <c r="E1971" s="1953"/>
      <c r="F1971" s="1953"/>
      <c r="G1971" s="1953"/>
      <c r="H1971" s="1953"/>
      <c r="I1971"/>
      <c r="J1971"/>
      <c r="K1971"/>
    </row>
    <row r="1972" spans="2:11" x14ac:dyDescent="0.35">
      <c r="B1972" s="1953"/>
      <c r="C1972" s="1953"/>
      <c r="D1972" s="1953"/>
      <c r="E1972" s="1953"/>
      <c r="F1972" s="1953"/>
      <c r="G1972" s="1953"/>
      <c r="H1972" s="1953"/>
      <c r="I1972"/>
      <c r="J1972"/>
      <c r="K1972"/>
    </row>
    <row r="1973" spans="2:11" x14ac:dyDescent="0.35">
      <c r="B1973" s="1953"/>
      <c r="C1973" s="1953"/>
      <c r="D1973" s="1953"/>
      <c r="E1973" s="1953"/>
      <c r="F1973" s="1953"/>
      <c r="G1973" s="1953"/>
      <c r="H1973" s="1953"/>
      <c r="I1973"/>
      <c r="J1973"/>
      <c r="K1973"/>
    </row>
    <row r="1974" spans="2:11" x14ac:dyDescent="0.35">
      <c r="B1974" s="1953"/>
      <c r="C1974" s="1953"/>
      <c r="D1974" s="1953"/>
      <c r="E1974" s="1953"/>
      <c r="F1974" s="1953"/>
      <c r="G1974" s="1953"/>
      <c r="H1974" s="1953"/>
      <c r="I1974"/>
      <c r="J1974"/>
      <c r="K1974"/>
    </row>
    <row r="1975" spans="2:11" x14ac:dyDescent="0.35">
      <c r="B1975" s="1953"/>
      <c r="C1975" s="1953"/>
      <c r="D1975" s="1953"/>
      <c r="E1975" s="1953"/>
      <c r="F1975" s="1953"/>
      <c r="G1975" s="1953"/>
      <c r="H1975" s="1953"/>
      <c r="I1975"/>
      <c r="J1975"/>
      <c r="K1975"/>
    </row>
    <row r="1976" spans="2:11" x14ac:dyDescent="0.35">
      <c r="B1976" s="1953"/>
      <c r="C1976" s="1953"/>
      <c r="D1976" s="1953"/>
      <c r="E1976" s="1953"/>
      <c r="F1976" s="1953"/>
      <c r="G1976" s="1953"/>
      <c r="H1976" s="1953"/>
      <c r="I1976"/>
      <c r="J1976"/>
      <c r="K1976"/>
    </row>
    <row r="1977" spans="2:11" x14ac:dyDescent="0.35">
      <c r="B1977" s="1953"/>
      <c r="C1977" s="1953"/>
      <c r="D1977" s="1953"/>
      <c r="E1977" s="1953"/>
      <c r="F1977" s="1953"/>
      <c r="G1977" s="1953"/>
      <c r="H1977" s="1953"/>
      <c r="I1977"/>
      <c r="J1977"/>
      <c r="K1977"/>
    </row>
    <row r="1978" spans="2:11" x14ac:dyDescent="0.35">
      <c r="B1978" s="1953"/>
      <c r="C1978" s="1953"/>
      <c r="D1978" s="1953"/>
      <c r="E1978" s="1953"/>
      <c r="F1978" s="1953"/>
      <c r="G1978" s="1953"/>
      <c r="H1978" s="1953"/>
      <c r="I1978"/>
      <c r="J1978"/>
      <c r="K1978"/>
    </row>
    <row r="1979" spans="2:11" x14ac:dyDescent="0.35">
      <c r="B1979" s="1953"/>
      <c r="C1979" s="1953"/>
      <c r="D1979" s="1953"/>
      <c r="E1979" s="1953"/>
      <c r="F1979" s="1953"/>
      <c r="G1979" s="1953"/>
      <c r="H1979" s="1953"/>
      <c r="I1979"/>
      <c r="J1979"/>
      <c r="K1979"/>
    </row>
    <row r="1980" spans="2:11" x14ac:dyDescent="0.35">
      <c r="B1980" s="1953"/>
      <c r="C1980" s="1953"/>
      <c r="D1980" s="1953"/>
      <c r="E1980" s="1953"/>
      <c r="F1980" s="1953"/>
      <c r="G1980" s="1953"/>
      <c r="H1980" s="1953"/>
      <c r="I1980"/>
      <c r="J1980"/>
      <c r="K1980"/>
    </row>
    <row r="1981" spans="2:11" x14ac:dyDescent="0.35">
      <c r="B1981" s="1953"/>
      <c r="C1981" s="1953"/>
      <c r="D1981" s="1953"/>
      <c r="E1981" s="1953"/>
      <c r="F1981" s="1953"/>
      <c r="G1981" s="1953"/>
      <c r="H1981" s="1953"/>
      <c r="I1981"/>
      <c r="J1981"/>
      <c r="K1981"/>
    </row>
    <row r="1982" spans="2:11" x14ac:dyDescent="0.35">
      <c r="B1982" s="1953"/>
      <c r="C1982" s="1953"/>
      <c r="D1982" s="1953"/>
      <c r="E1982" s="1953"/>
      <c r="F1982" s="1953"/>
      <c r="G1982" s="1953"/>
      <c r="H1982" s="1953"/>
      <c r="I1982"/>
      <c r="J1982"/>
      <c r="K1982"/>
    </row>
    <row r="1983" spans="2:11" x14ac:dyDescent="0.35">
      <c r="B1983" s="1953"/>
      <c r="C1983" s="1953"/>
      <c r="D1983" s="1953"/>
      <c r="E1983" s="1953"/>
      <c r="F1983" s="1953"/>
      <c r="G1983" s="1953"/>
      <c r="H1983" s="1953"/>
      <c r="I1983"/>
      <c r="J1983"/>
      <c r="K1983"/>
    </row>
    <row r="1984" spans="2:11" x14ac:dyDescent="0.35">
      <c r="B1984" s="1953"/>
      <c r="C1984" s="1953"/>
      <c r="D1984" s="1953"/>
      <c r="E1984" s="1953"/>
      <c r="F1984" s="1953"/>
      <c r="G1984" s="1953"/>
      <c r="H1984" s="1953"/>
      <c r="I1984"/>
      <c r="J1984"/>
      <c r="K1984"/>
    </row>
    <row r="1985" spans="2:11" x14ac:dyDescent="0.35">
      <c r="B1985" s="1953"/>
      <c r="C1985" s="1953"/>
      <c r="D1985" s="1953"/>
      <c r="E1985" s="1953"/>
      <c r="F1985" s="1953"/>
      <c r="G1985" s="1953"/>
      <c r="H1985" s="1953"/>
      <c r="I1985"/>
      <c r="J1985"/>
      <c r="K1985"/>
    </row>
    <row r="1986" spans="2:11" x14ac:dyDescent="0.35">
      <c r="B1986" s="1953"/>
      <c r="C1986" s="1953"/>
      <c r="D1986" s="1953"/>
      <c r="E1986" s="1953"/>
      <c r="F1986" s="1953"/>
      <c r="G1986" s="1953"/>
      <c r="H1986" s="1953"/>
      <c r="I1986"/>
      <c r="J1986"/>
      <c r="K1986"/>
    </row>
    <row r="1987" spans="2:11" x14ac:dyDescent="0.35">
      <c r="B1987" s="1953"/>
      <c r="C1987" s="1953"/>
      <c r="D1987" s="1953"/>
      <c r="E1987" s="1953"/>
      <c r="F1987" s="1953"/>
      <c r="G1987" s="1953"/>
      <c r="H1987" s="1953"/>
      <c r="I1987"/>
      <c r="J1987"/>
      <c r="K1987"/>
    </row>
    <row r="1988" spans="2:11" x14ac:dyDescent="0.35">
      <c r="B1988" s="1953"/>
      <c r="C1988" s="1953"/>
      <c r="D1988" s="1953"/>
      <c r="E1988" s="1953"/>
      <c r="F1988" s="1953"/>
      <c r="G1988" s="1953"/>
      <c r="H1988" s="1953"/>
      <c r="I1988"/>
      <c r="J1988"/>
      <c r="K1988"/>
    </row>
    <row r="1989" spans="2:11" x14ac:dyDescent="0.35">
      <c r="B1989" s="1953"/>
      <c r="C1989" s="1953"/>
      <c r="D1989" s="1953"/>
      <c r="E1989" s="1953"/>
      <c r="F1989" s="1953"/>
      <c r="G1989" s="1953"/>
      <c r="H1989" s="1953"/>
      <c r="I1989"/>
      <c r="J1989"/>
      <c r="K1989"/>
    </row>
    <row r="1990" spans="2:11" x14ac:dyDescent="0.35">
      <c r="B1990" s="1953"/>
      <c r="C1990" s="1953"/>
      <c r="D1990" s="1953"/>
      <c r="E1990" s="1953"/>
      <c r="F1990" s="1953"/>
      <c r="G1990" s="1953"/>
      <c r="H1990" s="1953"/>
      <c r="I1990"/>
      <c r="J1990"/>
      <c r="K1990"/>
    </row>
    <row r="1991" spans="2:11" x14ac:dyDescent="0.35">
      <c r="B1991" s="1953"/>
      <c r="C1991" s="1953"/>
      <c r="D1991" s="1953"/>
      <c r="E1991" s="1953"/>
      <c r="F1991" s="1953"/>
      <c r="G1991" s="1953"/>
      <c r="H1991" s="1953"/>
      <c r="I1991"/>
      <c r="J1991"/>
      <c r="K1991"/>
    </row>
    <row r="1992" spans="2:11" x14ac:dyDescent="0.35">
      <c r="B1992" s="1953"/>
      <c r="C1992" s="1953"/>
      <c r="D1992" s="1953"/>
      <c r="E1992" s="1953"/>
      <c r="F1992" s="1953"/>
      <c r="G1992" s="1953"/>
      <c r="H1992" s="1953"/>
      <c r="I1992"/>
      <c r="J1992"/>
      <c r="K1992"/>
    </row>
    <row r="1993" spans="2:11" x14ac:dyDescent="0.35">
      <c r="B1993" s="1953"/>
      <c r="C1993" s="1953"/>
      <c r="D1993" s="1953"/>
      <c r="E1993" s="1953"/>
      <c r="F1993" s="1953"/>
      <c r="G1993" s="1953"/>
      <c r="H1993" s="1953"/>
      <c r="I1993"/>
      <c r="J1993"/>
      <c r="K1993"/>
    </row>
    <row r="1994" spans="2:11" x14ac:dyDescent="0.35">
      <c r="B1994" s="1953"/>
      <c r="C1994" s="1953"/>
      <c r="D1994" s="1953"/>
      <c r="E1994" s="1953"/>
      <c r="F1994" s="1953"/>
      <c r="G1994" s="1953"/>
      <c r="H1994" s="1953"/>
      <c r="I1994"/>
      <c r="J1994"/>
      <c r="K1994"/>
    </row>
    <row r="1995" spans="2:11" x14ac:dyDescent="0.35">
      <c r="B1995" s="1953"/>
      <c r="C1995" s="1953"/>
      <c r="D1995" s="1953"/>
      <c r="E1995" s="1953"/>
      <c r="F1995" s="1953"/>
      <c r="G1995" s="1953"/>
      <c r="H1995" s="1953"/>
      <c r="I1995"/>
      <c r="J1995"/>
      <c r="K1995"/>
    </row>
    <row r="1996" spans="2:11" x14ac:dyDescent="0.35">
      <c r="B1996" s="1953"/>
      <c r="C1996" s="1953"/>
      <c r="D1996" s="1953"/>
      <c r="E1996" s="1953"/>
      <c r="F1996" s="1953"/>
      <c r="G1996" s="1953"/>
      <c r="H1996" s="1953"/>
      <c r="I1996"/>
      <c r="J1996"/>
      <c r="K1996"/>
    </row>
    <row r="1997" spans="2:11" x14ac:dyDescent="0.35">
      <c r="B1997" s="1953"/>
      <c r="C1997" s="1953"/>
      <c r="D1997" s="1953"/>
      <c r="E1997" s="1953"/>
      <c r="F1997" s="1953"/>
      <c r="G1997" s="1953"/>
      <c r="H1997" s="1953"/>
      <c r="I1997"/>
      <c r="J1997"/>
      <c r="K1997"/>
    </row>
    <row r="1998" spans="2:11" x14ac:dyDescent="0.35">
      <c r="B1998" s="1953"/>
      <c r="C1998" s="1953"/>
      <c r="D1998" s="1953"/>
      <c r="E1998" s="1953"/>
      <c r="F1998" s="1953"/>
      <c r="G1998" s="1953"/>
      <c r="H1998" s="1953"/>
      <c r="I1998"/>
      <c r="J1998"/>
      <c r="K1998"/>
    </row>
    <row r="1999" spans="2:11" x14ac:dyDescent="0.35">
      <c r="B1999" s="1953"/>
      <c r="C1999" s="1953"/>
      <c r="D1999" s="1953"/>
      <c r="E1999" s="1953"/>
      <c r="F1999" s="1953"/>
      <c r="G1999" s="1953"/>
      <c r="H1999" s="1953"/>
      <c r="I1999"/>
      <c r="J1999"/>
      <c r="K1999"/>
    </row>
    <row r="2000" spans="2:11" x14ac:dyDescent="0.35">
      <c r="B2000" s="1953"/>
      <c r="C2000" s="1953"/>
      <c r="D2000" s="1953"/>
      <c r="E2000" s="1953"/>
      <c r="F2000" s="1953"/>
      <c r="G2000" s="1953"/>
      <c r="H2000" s="1953"/>
      <c r="I2000"/>
      <c r="J2000"/>
      <c r="K2000"/>
    </row>
    <row r="2001" spans="2:11" x14ac:dyDescent="0.35">
      <c r="B2001" s="1953"/>
      <c r="C2001" s="1953"/>
      <c r="D2001" s="1953"/>
      <c r="E2001" s="1953"/>
      <c r="F2001" s="1953"/>
      <c r="G2001" s="1953"/>
      <c r="H2001" s="1953"/>
      <c r="I2001"/>
      <c r="J2001"/>
      <c r="K2001"/>
    </row>
    <row r="2002" spans="2:11" x14ac:dyDescent="0.35">
      <c r="B2002" s="1953"/>
      <c r="C2002" s="1953"/>
      <c r="D2002" s="1953"/>
      <c r="E2002" s="1953"/>
      <c r="F2002" s="1953"/>
      <c r="G2002" s="1953"/>
      <c r="H2002" s="1953"/>
      <c r="I2002"/>
      <c r="J2002"/>
      <c r="K2002"/>
    </row>
    <row r="2003" spans="2:11" x14ac:dyDescent="0.35">
      <c r="B2003" s="1953"/>
      <c r="C2003" s="1953"/>
      <c r="D2003" s="1953"/>
      <c r="E2003" s="1953"/>
      <c r="F2003" s="1953"/>
      <c r="G2003" s="1953"/>
      <c r="H2003" s="1953"/>
      <c r="I2003"/>
      <c r="J2003"/>
      <c r="K2003"/>
    </row>
    <row r="2004" spans="2:11" x14ac:dyDescent="0.35">
      <c r="B2004" s="1953"/>
      <c r="C2004" s="1953"/>
      <c r="D2004" s="1953"/>
      <c r="E2004" s="1953"/>
      <c r="F2004" s="1953"/>
      <c r="G2004" s="1953"/>
      <c r="H2004" s="1953"/>
      <c r="I2004"/>
      <c r="J2004"/>
      <c r="K2004"/>
    </row>
    <row r="2005" spans="2:11" x14ac:dyDescent="0.35">
      <c r="B2005" s="1953"/>
      <c r="C2005" s="1953"/>
      <c r="D2005" s="1953"/>
      <c r="E2005" s="1953"/>
      <c r="F2005" s="1953"/>
      <c r="G2005" s="1953"/>
      <c r="H2005" s="1953"/>
      <c r="I2005"/>
      <c r="J2005"/>
      <c r="K2005"/>
    </row>
    <row r="2006" spans="2:11" x14ac:dyDescent="0.35">
      <c r="B2006" s="1953"/>
      <c r="C2006" s="1953"/>
      <c r="D2006" s="1953"/>
      <c r="E2006" s="1953"/>
      <c r="F2006" s="1953"/>
      <c r="G2006" s="1953"/>
      <c r="H2006" s="1953"/>
      <c r="I2006"/>
      <c r="J2006"/>
      <c r="K2006"/>
    </row>
    <row r="2007" spans="2:11" x14ac:dyDescent="0.35">
      <c r="B2007" s="1953"/>
      <c r="C2007" s="1953"/>
      <c r="D2007" s="1953"/>
      <c r="E2007" s="1953"/>
      <c r="F2007" s="1953"/>
      <c r="G2007" s="1953"/>
      <c r="H2007" s="1953"/>
      <c r="I2007"/>
      <c r="J2007"/>
      <c r="K2007"/>
    </row>
    <row r="2008" spans="2:11" x14ac:dyDescent="0.35">
      <c r="B2008" s="1953"/>
      <c r="C2008" s="1953"/>
      <c r="D2008" s="1953"/>
      <c r="E2008" s="1953"/>
      <c r="F2008" s="1953"/>
      <c r="G2008" s="1953"/>
      <c r="H2008" s="1953"/>
      <c r="I2008"/>
      <c r="J2008"/>
      <c r="K2008"/>
    </row>
    <row r="2009" spans="2:11" x14ac:dyDescent="0.35">
      <c r="B2009" s="1953"/>
      <c r="C2009" s="1953"/>
      <c r="D2009" s="1953"/>
      <c r="E2009" s="1953"/>
      <c r="F2009" s="1953"/>
      <c r="G2009" s="1953"/>
      <c r="H2009" s="1953"/>
      <c r="I2009"/>
      <c r="J2009"/>
      <c r="K2009"/>
    </row>
    <row r="2010" spans="2:11" x14ac:dyDescent="0.35">
      <c r="B2010" s="1953"/>
      <c r="C2010" s="1953"/>
      <c r="D2010" s="1953"/>
      <c r="E2010" s="1953"/>
      <c r="F2010" s="1953"/>
      <c r="G2010" s="1953"/>
      <c r="H2010" s="1953"/>
      <c r="I2010"/>
      <c r="J2010"/>
      <c r="K2010"/>
    </row>
    <row r="2011" spans="2:11" x14ac:dyDescent="0.35">
      <c r="B2011" s="1953"/>
      <c r="C2011" s="1953"/>
      <c r="D2011" s="1953"/>
      <c r="E2011" s="1953"/>
      <c r="F2011" s="1953"/>
      <c r="G2011" s="1953"/>
      <c r="H2011" s="1953"/>
      <c r="I2011"/>
      <c r="J2011"/>
      <c r="K2011"/>
    </row>
    <row r="2012" spans="2:11" x14ac:dyDescent="0.35">
      <c r="B2012" s="1953"/>
      <c r="C2012" s="1953"/>
      <c r="D2012" s="1953"/>
      <c r="E2012" s="1953"/>
      <c r="F2012" s="1953"/>
      <c r="G2012" s="1953"/>
      <c r="H2012" s="1953"/>
      <c r="I2012"/>
      <c r="J2012"/>
      <c r="K2012"/>
    </row>
    <row r="2013" spans="2:11" x14ac:dyDescent="0.35">
      <c r="B2013" s="1953"/>
      <c r="C2013" s="1953"/>
      <c r="D2013" s="1953"/>
      <c r="E2013" s="1953"/>
      <c r="F2013" s="1953"/>
      <c r="G2013" s="1953"/>
      <c r="H2013" s="1953"/>
      <c r="I2013"/>
      <c r="J2013"/>
      <c r="K2013"/>
    </row>
    <row r="2014" spans="2:11" x14ac:dyDescent="0.35">
      <c r="B2014" s="1953"/>
      <c r="C2014" s="1953"/>
      <c r="D2014" s="1953"/>
      <c r="E2014" s="1953"/>
      <c r="F2014" s="1953"/>
      <c r="G2014" s="1953"/>
      <c r="H2014" s="1953"/>
      <c r="I2014"/>
      <c r="J2014"/>
      <c r="K2014"/>
    </row>
    <row r="2015" spans="2:11" x14ac:dyDescent="0.35">
      <c r="B2015" s="1953"/>
      <c r="C2015" s="1953"/>
      <c r="D2015" s="1953"/>
      <c r="E2015" s="1953"/>
      <c r="F2015" s="1953"/>
      <c r="G2015" s="1953"/>
      <c r="H2015" s="1953"/>
      <c r="I2015"/>
      <c r="J2015"/>
      <c r="K2015"/>
    </row>
    <row r="2016" spans="2:11" x14ac:dyDescent="0.35">
      <c r="B2016" s="1953"/>
      <c r="C2016" s="1953"/>
      <c r="D2016" s="1953"/>
      <c r="E2016" s="1953"/>
      <c r="F2016" s="1953"/>
      <c r="G2016" s="1953"/>
      <c r="H2016" s="1953"/>
      <c r="I2016"/>
      <c r="J2016"/>
      <c r="K2016"/>
    </row>
    <row r="2017" spans="2:11" x14ac:dyDescent="0.35">
      <c r="B2017" s="1953"/>
      <c r="C2017" s="1953"/>
      <c r="D2017" s="1953"/>
      <c r="E2017" s="1953"/>
      <c r="F2017" s="1953"/>
      <c r="G2017" s="1953"/>
      <c r="H2017" s="1953"/>
      <c r="I2017"/>
      <c r="J2017"/>
      <c r="K2017"/>
    </row>
    <row r="2018" spans="2:11" x14ac:dyDescent="0.35">
      <c r="B2018" s="1953"/>
      <c r="C2018" s="1953"/>
      <c r="D2018" s="1953"/>
      <c r="E2018" s="1953"/>
      <c r="F2018" s="1953"/>
      <c r="G2018" s="1953"/>
      <c r="H2018" s="1953"/>
      <c r="I2018"/>
      <c r="J2018"/>
      <c r="K2018"/>
    </row>
    <row r="2019" spans="2:11" x14ac:dyDescent="0.35">
      <c r="B2019" s="1953"/>
      <c r="C2019" s="1953"/>
      <c r="D2019" s="1953"/>
      <c r="E2019" s="1953"/>
      <c r="F2019" s="1953"/>
      <c r="G2019" s="1953"/>
      <c r="H2019" s="1953"/>
      <c r="I2019"/>
      <c r="J2019"/>
      <c r="K2019"/>
    </row>
    <row r="2020" spans="2:11" x14ac:dyDescent="0.35">
      <c r="B2020" s="1953"/>
      <c r="C2020" s="1953"/>
      <c r="D2020" s="1953"/>
      <c r="E2020" s="1953"/>
      <c r="F2020" s="1953"/>
      <c r="G2020" s="1953"/>
      <c r="H2020" s="1953"/>
      <c r="I2020"/>
      <c r="J2020"/>
      <c r="K2020"/>
    </row>
    <row r="2021" spans="2:11" x14ac:dyDescent="0.35">
      <c r="B2021" s="1953"/>
      <c r="C2021" s="1953"/>
      <c r="D2021" s="1953"/>
      <c r="E2021" s="1953"/>
      <c r="F2021" s="1953"/>
      <c r="G2021" s="1953"/>
      <c r="H2021" s="1953"/>
      <c r="I2021"/>
      <c r="J2021"/>
      <c r="K2021"/>
    </row>
    <row r="2022" spans="2:11" x14ac:dyDescent="0.35">
      <c r="B2022" s="1953"/>
      <c r="C2022" s="1953"/>
      <c r="D2022" s="1953"/>
      <c r="E2022" s="1953"/>
      <c r="F2022" s="1953"/>
      <c r="G2022" s="1953"/>
      <c r="H2022" s="1953"/>
      <c r="I2022"/>
      <c r="J2022"/>
      <c r="K2022"/>
    </row>
    <row r="2023" spans="2:11" x14ac:dyDescent="0.35">
      <c r="B2023" s="1953"/>
      <c r="C2023" s="1953"/>
      <c r="D2023" s="1953"/>
      <c r="E2023" s="1953"/>
      <c r="F2023" s="1953"/>
      <c r="G2023" s="1953"/>
      <c r="H2023" s="1953"/>
      <c r="I2023"/>
      <c r="J2023"/>
      <c r="K2023"/>
    </row>
    <row r="2024" spans="2:11" x14ac:dyDescent="0.35">
      <c r="B2024" s="1953"/>
      <c r="C2024" s="1953"/>
      <c r="D2024" s="1953"/>
      <c r="E2024" s="1953"/>
      <c r="F2024" s="1953"/>
      <c r="G2024" s="1953"/>
      <c r="H2024" s="1953"/>
      <c r="I2024"/>
      <c r="J2024"/>
      <c r="K2024"/>
    </row>
    <row r="2025" spans="2:11" x14ac:dyDescent="0.35">
      <c r="B2025" s="1953"/>
      <c r="C2025" s="1953"/>
      <c r="D2025" s="1953"/>
      <c r="E2025" s="1953"/>
      <c r="F2025" s="1953"/>
      <c r="G2025" s="1953"/>
      <c r="H2025" s="1953"/>
      <c r="I2025"/>
      <c r="J2025"/>
      <c r="K2025"/>
    </row>
    <row r="2026" spans="2:11" x14ac:dyDescent="0.35">
      <c r="B2026" s="1953"/>
      <c r="C2026" s="1953"/>
      <c r="D2026" s="1953"/>
      <c r="E2026" s="1953"/>
      <c r="F2026" s="1953"/>
      <c r="G2026" s="1953"/>
      <c r="H2026" s="1953"/>
      <c r="I2026"/>
      <c r="J2026"/>
      <c r="K2026"/>
    </row>
    <row r="2027" spans="2:11" x14ac:dyDescent="0.35">
      <c r="B2027" s="1953"/>
      <c r="C2027" s="1953"/>
      <c r="D2027" s="1953"/>
      <c r="E2027" s="1953"/>
      <c r="F2027" s="1953"/>
      <c r="G2027" s="1953"/>
      <c r="H2027" s="1953"/>
      <c r="I2027"/>
      <c r="J2027"/>
      <c r="K2027"/>
    </row>
    <row r="2028" spans="2:11" x14ac:dyDescent="0.35">
      <c r="B2028" s="1953"/>
      <c r="C2028" s="1953"/>
      <c r="D2028" s="1953"/>
      <c r="E2028" s="1953"/>
      <c r="F2028" s="1953"/>
      <c r="G2028" s="1953"/>
      <c r="H2028" s="1953"/>
      <c r="I2028"/>
      <c r="J2028"/>
      <c r="K2028"/>
    </row>
    <row r="2029" spans="2:11" x14ac:dyDescent="0.35">
      <c r="B2029" s="1953"/>
      <c r="C2029" s="1953"/>
      <c r="D2029" s="1953"/>
      <c r="E2029" s="1953"/>
      <c r="F2029" s="1953"/>
      <c r="G2029" s="1953"/>
      <c r="H2029" s="1953"/>
      <c r="I2029"/>
      <c r="J2029"/>
      <c r="K2029"/>
    </row>
    <row r="2030" spans="2:11" x14ac:dyDescent="0.35">
      <c r="B2030" s="1953"/>
      <c r="C2030" s="1953"/>
      <c r="D2030" s="1953"/>
      <c r="E2030" s="1953"/>
      <c r="F2030" s="1953"/>
      <c r="G2030" s="1953"/>
      <c r="H2030" s="1953"/>
      <c r="I2030"/>
      <c r="J2030"/>
      <c r="K2030"/>
    </row>
    <row r="2031" spans="2:11" x14ac:dyDescent="0.35">
      <c r="B2031" s="1953"/>
      <c r="C2031" s="1953"/>
      <c r="D2031" s="1953"/>
      <c r="E2031" s="1953"/>
      <c r="F2031" s="1953"/>
      <c r="G2031" s="1953"/>
      <c r="H2031" s="1953"/>
      <c r="I2031"/>
      <c r="J2031"/>
      <c r="K2031"/>
    </row>
    <row r="2032" spans="2:11" x14ac:dyDescent="0.35">
      <c r="B2032" s="1953"/>
      <c r="C2032" s="1953"/>
      <c r="D2032" s="1953"/>
      <c r="E2032" s="1953"/>
      <c r="F2032" s="1953"/>
      <c r="G2032" s="1953"/>
      <c r="H2032" s="1953"/>
      <c r="I2032"/>
      <c r="J2032"/>
      <c r="K2032"/>
    </row>
    <row r="2033" spans="2:11" x14ac:dyDescent="0.35">
      <c r="B2033" s="1953"/>
      <c r="C2033" s="1953"/>
      <c r="D2033" s="1953"/>
      <c r="E2033" s="1953"/>
      <c r="F2033" s="1953"/>
      <c r="G2033" s="1953"/>
      <c r="H2033" s="1953"/>
      <c r="I2033"/>
      <c r="J2033"/>
      <c r="K2033"/>
    </row>
    <row r="2034" spans="2:11" x14ac:dyDescent="0.35">
      <c r="B2034" s="1953"/>
      <c r="C2034" s="1953"/>
      <c r="D2034" s="1953"/>
      <c r="E2034" s="1953"/>
      <c r="F2034" s="1953"/>
      <c r="G2034" s="1953"/>
      <c r="H2034" s="1953"/>
      <c r="I2034"/>
      <c r="J2034"/>
      <c r="K2034"/>
    </row>
    <row r="2035" spans="2:11" x14ac:dyDescent="0.35">
      <c r="B2035" s="1953"/>
      <c r="C2035" s="1953"/>
      <c r="D2035" s="1953"/>
      <c r="E2035" s="1953"/>
      <c r="F2035" s="1953"/>
      <c r="G2035" s="1953"/>
      <c r="H2035" s="1953"/>
      <c r="I2035"/>
      <c r="J2035"/>
      <c r="K2035"/>
    </row>
    <row r="2036" spans="2:11" x14ac:dyDescent="0.35">
      <c r="B2036" s="1953"/>
      <c r="C2036" s="1953"/>
      <c r="D2036" s="1953"/>
      <c r="E2036" s="1953"/>
      <c r="F2036" s="1953"/>
      <c r="G2036" s="1953"/>
      <c r="H2036" s="1953"/>
      <c r="I2036"/>
      <c r="J2036"/>
      <c r="K2036"/>
    </row>
    <row r="2037" spans="2:11" x14ac:dyDescent="0.35">
      <c r="B2037" s="1953"/>
      <c r="C2037" s="1953"/>
      <c r="D2037" s="1953"/>
      <c r="E2037" s="1953"/>
      <c r="F2037" s="1953"/>
      <c r="G2037" s="1953"/>
      <c r="H2037" s="1953"/>
      <c r="I2037"/>
      <c r="J2037"/>
      <c r="K2037"/>
    </row>
    <row r="2038" spans="2:11" x14ac:dyDescent="0.35">
      <c r="B2038" s="1953"/>
      <c r="C2038" s="1953"/>
      <c r="D2038" s="1953"/>
      <c r="E2038" s="1953"/>
      <c r="F2038" s="1953"/>
      <c r="G2038" s="1953"/>
      <c r="H2038" s="1953"/>
      <c r="I2038"/>
      <c r="J2038"/>
      <c r="K2038"/>
    </row>
    <row r="2039" spans="2:11" x14ac:dyDescent="0.35">
      <c r="B2039" s="1953"/>
      <c r="C2039" s="1953"/>
      <c r="D2039" s="1953"/>
      <c r="E2039" s="1953"/>
      <c r="F2039" s="1953"/>
      <c r="G2039" s="1953"/>
      <c r="H2039" s="1953"/>
      <c r="I2039"/>
      <c r="J2039"/>
      <c r="K2039"/>
    </row>
    <row r="2040" spans="2:11" x14ac:dyDescent="0.35">
      <c r="B2040" s="1953"/>
      <c r="C2040" s="1953"/>
      <c r="D2040" s="1953"/>
      <c r="E2040" s="1953"/>
      <c r="F2040" s="1953"/>
      <c r="G2040" s="1953"/>
      <c r="H2040" s="1953"/>
      <c r="I2040"/>
      <c r="J2040"/>
      <c r="K2040"/>
    </row>
    <row r="2041" spans="2:11" x14ac:dyDescent="0.35">
      <c r="B2041" s="1953"/>
      <c r="C2041" s="1953"/>
      <c r="D2041" s="1953"/>
      <c r="E2041" s="1953"/>
      <c r="F2041" s="1953"/>
      <c r="G2041" s="1953"/>
      <c r="H2041" s="1953"/>
      <c r="I2041"/>
      <c r="J2041"/>
      <c r="K2041"/>
    </row>
    <row r="2042" spans="2:11" x14ac:dyDescent="0.35">
      <c r="B2042" s="1953"/>
      <c r="C2042" s="1953"/>
      <c r="D2042" s="1953"/>
      <c r="E2042" s="1953"/>
      <c r="F2042" s="1953"/>
      <c r="G2042" s="1953"/>
      <c r="H2042" s="1953"/>
      <c r="I2042"/>
      <c r="J2042"/>
      <c r="K2042"/>
    </row>
    <row r="2043" spans="2:11" x14ac:dyDescent="0.35">
      <c r="B2043" s="1953"/>
      <c r="C2043" s="1953"/>
      <c r="D2043" s="1953"/>
      <c r="E2043" s="1953"/>
      <c r="F2043" s="1953"/>
      <c r="G2043" s="1953"/>
      <c r="H2043" s="1953"/>
      <c r="I2043"/>
      <c r="J2043"/>
      <c r="K2043"/>
    </row>
    <row r="2044" spans="2:11" x14ac:dyDescent="0.35">
      <c r="B2044" s="1953"/>
      <c r="C2044" s="1953"/>
      <c r="D2044" s="1953"/>
      <c r="E2044" s="1953"/>
      <c r="F2044" s="1953"/>
      <c r="G2044" s="1953"/>
      <c r="H2044" s="1953"/>
      <c r="I2044"/>
      <c r="J2044"/>
      <c r="K2044"/>
    </row>
    <row r="2045" spans="2:11" x14ac:dyDescent="0.35">
      <c r="B2045" s="1953"/>
      <c r="C2045" s="1953"/>
      <c r="D2045" s="1953"/>
      <c r="E2045" s="1953"/>
      <c r="F2045" s="1953"/>
      <c r="G2045" s="1953"/>
      <c r="H2045" s="1953"/>
      <c r="I2045"/>
      <c r="J2045"/>
      <c r="K2045"/>
    </row>
    <row r="2046" spans="2:11" x14ac:dyDescent="0.35">
      <c r="B2046" s="1953"/>
      <c r="C2046" s="1953"/>
      <c r="D2046" s="1953"/>
      <c r="E2046" s="1953"/>
      <c r="F2046" s="1953"/>
      <c r="G2046" s="1953"/>
      <c r="H2046" s="1953"/>
      <c r="I2046"/>
      <c r="J2046"/>
      <c r="K2046"/>
    </row>
    <row r="2047" spans="2:11" x14ac:dyDescent="0.35">
      <c r="B2047" s="1953"/>
      <c r="C2047" s="1953"/>
      <c r="D2047" s="1953"/>
      <c r="E2047" s="1953"/>
      <c r="F2047" s="1953"/>
      <c r="G2047" s="1953"/>
      <c r="H2047" s="1953"/>
      <c r="I2047"/>
      <c r="J2047"/>
      <c r="K2047"/>
    </row>
    <row r="2048" spans="2:11" x14ac:dyDescent="0.35">
      <c r="B2048" s="1953"/>
      <c r="C2048" s="1953"/>
      <c r="D2048" s="1953"/>
      <c r="E2048" s="1953"/>
      <c r="F2048" s="1953"/>
      <c r="G2048" s="1953"/>
      <c r="H2048" s="1953"/>
      <c r="I2048"/>
      <c r="J2048"/>
      <c r="K2048"/>
    </row>
    <row r="2049" spans="2:11" x14ac:dyDescent="0.35">
      <c r="B2049" s="1953"/>
      <c r="C2049" s="1953"/>
      <c r="D2049" s="1953"/>
      <c r="E2049" s="1953"/>
      <c r="F2049" s="1953"/>
      <c r="G2049" s="1953"/>
      <c r="H2049" s="1953"/>
      <c r="I2049"/>
      <c r="J2049"/>
      <c r="K2049"/>
    </row>
    <row r="2050" spans="2:11" x14ac:dyDescent="0.35">
      <c r="B2050" s="1953"/>
      <c r="C2050" s="1953"/>
      <c r="D2050" s="1953"/>
      <c r="E2050" s="1953"/>
      <c r="F2050" s="1953"/>
      <c r="G2050" s="1953"/>
      <c r="H2050" s="1953"/>
      <c r="I2050"/>
      <c r="J2050"/>
      <c r="K2050"/>
    </row>
    <row r="2051" spans="2:11" x14ac:dyDescent="0.35">
      <c r="B2051" s="1953"/>
      <c r="C2051" s="1953"/>
      <c r="D2051" s="1953"/>
      <c r="E2051" s="1953"/>
      <c r="F2051" s="1953"/>
      <c r="G2051" s="1953"/>
      <c r="H2051" s="1953"/>
      <c r="I2051"/>
      <c r="J2051"/>
      <c r="K2051"/>
    </row>
    <row r="2052" spans="2:11" x14ac:dyDescent="0.35">
      <c r="B2052" s="1953"/>
      <c r="C2052" s="1953"/>
      <c r="D2052" s="1953"/>
      <c r="E2052" s="1953"/>
      <c r="F2052" s="1953"/>
      <c r="G2052" s="1953"/>
      <c r="H2052" s="1953"/>
      <c r="I2052"/>
      <c r="J2052"/>
      <c r="K2052"/>
    </row>
    <row r="2053" spans="2:11" x14ac:dyDescent="0.35">
      <c r="B2053" s="1953"/>
      <c r="C2053" s="1953"/>
      <c r="D2053" s="1953"/>
      <c r="E2053" s="1953"/>
      <c r="F2053" s="1953"/>
      <c r="G2053" s="1953"/>
      <c r="H2053" s="1953"/>
      <c r="I2053"/>
      <c r="J2053"/>
      <c r="K2053"/>
    </row>
    <row r="2054" spans="2:11" x14ac:dyDescent="0.35">
      <c r="B2054" s="1953"/>
      <c r="C2054" s="1953"/>
      <c r="D2054" s="1953"/>
      <c r="E2054" s="1953"/>
      <c r="F2054" s="1953"/>
      <c r="G2054" s="1953"/>
      <c r="H2054" s="1953"/>
      <c r="I2054"/>
      <c r="J2054"/>
      <c r="K2054"/>
    </row>
    <row r="2055" spans="2:11" x14ac:dyDescent="0.35">
      <c r="B2055" s="1953"/>
      <c r="C2055" s="1953"/>
      <c r="D2055" s="1953"/>
      <c r="E2055" s="1953"/>
      <c r="F2055" s="1953"/>
      <c r="G2055" s="1953"/>
      <c r="H2055" s="1953"/>
      <c r="I2055"/>
      <c r="J2055"/>
      <c r="K2055"/>
    </row>
    <row r="2056" spans="2:11" x14ac:dyDescent="0.35">
      <c r="B2056" s="1953"/>
      <c r="C2056" s="1953"/>
      <c r="D2056" s="1953"/>
      <c r="E2056" s="1953"/>
      <c r="F2056" s="1953"/>
      <c r="G2056" s="1953"/>
      <c r="H2056" s="1953"/>
      <c r="I2056"/>
      <c r="J2056"/>
      <c r="K2056"/>
    </row>
    <row r="2057" spans="2:11" x14ac:dyDescent="0.35">
      <c r="B2057" s="1953"/>
      <c r="C2057" s="1953"/>
      <c r="D2057" s="1953"/>
      <c r="E2057" s="1953"/>
      <c r="F2057" s="1953"/>
      <c r="G2057" s="1953"/>
      <c r="H2057" s="1953"/>
      <c r="I2057"/>
      <c r="J2057"/>
      <c r="K2057"/>
    </row>
    <row r="2058" spans="2:11" x14ac:dyDescent="0.35">
      <c r="B2058" s="1953"/>
      <c r="C2058" s="1953"/>
      <c r="D2058" s="1953"/>
      <c r="E2058" s="1953"/>
      <c r="F2058" s="1953"/>
      <c r="G2058" s="1953"/>
      <c r="H2058" s="1953"/>
      <c r="I2058"/>
      <c r="J2058"/>
      <c r="K2058"/>
    </row>
    <row r="2059" spans="2:11" x14ac:dyDescent="0.35">
      <c r="B2059" s="1953"/>
      <c r="C2059" s="1953"/>
      <c r="D2059" s="1953"/>
      <c r="E2059" s="1953"/>
      <c r="F2059" s="1953"/>
      <c r="G2059" s="1953"/>
      <c r="H2059" s="1953"/>
      <c r="I2059"/>
      <c r="J2059"/>
      <c r="K2059"/>
    </row>
    <row r="2060" spans="2:11" x14ac:dyDescent="0.35">
      <c r="B2060" s="1953"/>
      <c r="C2060" s="1953"/>
      <c r="D2060" s="1953"/>
      <c r="E2060" s="1953"/>
      <c r="F2060" s="1953"/>
      <c r="G2060" s="1953"/>
      <c r="H2060" s="1953"/>
      <c r="I2060"/>
      <c r="J2060"/>
      <c r="K2060"/>
    </row>
    <row r="2061" spans="2:11" x14ac:dyDescent="0.35">
      <c r="B2061" s="1953"/>
      <c r="C2061" s="1953"/>
      <c r="D2061" s="1953"/>
      <c r="E2061" s="1953"/>
      <c r="F2061" s="1953"/>
      <c r="G2061" s="1953"/>
      <c r="H2061" s="1953"/>
      <c r="I2061"/>
      <c r="J2061"/>
      <c r="K2061"/>
    </row>
    <row r="2062" spans="2:11" x14ac:dyDescent="0.35">
      <c r="B2062" s="1953"/>
      <c r="C2062" s="1953"/>
      <c r="D2062" s="1953"/>
      <c r="E2062" s="1953"/>
      <c r="F2062" s="1953"/>
      <c r="G2062" s="1953"/>
      <c r="H2062" s="1953"/>
      <c r="I2062"/>
      <c r="J2062"/>
      <c r="K2062"/>
    </row>
    <row r="2063" spans="2:11" x14ac:dyDescent="0.35">
      <c r="B2063" s="1953"/>
      <c r="C2063" s="1953"/>
      <c r="D2063" s="1953"/>
      <c r="E2063" s="1953"/>
      <c r="F2063" s="1953"/>
      <c r="G2063" s="1953"/>
      <c r="H2063" s="1953"/>
      <c r="I2063"/>
      <c r="J2063"/>
      <c r="K2063"/>
    </row>
    <row r="2064" spans="2:11" x14ac:dyDescent="0.35">
      <c r="B2064" s="1953"/>
      <c r="C2064" s="1953"/>
      <c r="D2064" s="1953"/>
      <c r="E2064" s="1953"/>
      <c r="F2064" s="1953"/>
      <c r="G2064" s="1953"/>
      <c r="H2064" s="1953"/>
      <c r="I2064"/>
      <c r="J2064"/>
      <c r="K2064"/>
    </row>
    <row r="2065" spans="2:11" x14ac:dyDescent="0.35">
      <c r="B2065" s="1953"/>
      <c r="C2065" s="1953"/>
      <c r="D2065" s="1953"/>
      <c r="E2065" s="1953"/>
      <c r="F2065" s="1953"/>
      <c r="G2065" s="1953"/>
      <c r="H2065" s="1953"/>
      <c r="I2065"/>
      <c r="J2065"/>
      <c r="K2065"/>
    </row>
    <row r="2066" spans="2:11" x14ac:dyDescent="0.35">
      <c r="B2066" s="1953"/>
      <c r="C2066" s="1953"/>
      <c r="D2066" s="1953"/>
      <c r="E2066" s="1953"/>
      <c r="F2066" s="1953"/>
      <c r="G2066" s="1953"/>
      <c r="H2066" s="1953"/>
      <c r="I2066"/>
      <c r="J2066"/>
      <c r="K2066"/>
    </row>
    <row r="2067" spans="2:11" x14ac:dyDescent="0.35">
      <c r="B2067" s="1953"/>
      <c r="C2067" s="1953"/>
      <c r="D2067" s="1953"/>
      <c r="E2067" s="1953"/>
      <c r="F2067" s="1953"/>
      <c r="G2067" s="1953"/>
      <c r="H2067" s="1953"/>
      <c r="I2067"/>
      <c r="J2067"/>
      <c r="K2067"/>
    </row>
    <row r="2068" spans="2:11" x14ac:dyDescent="0.35">
      <c r="B2068" s="1953"/>
      <c r="C2068" s="1953"/>
      <c r="D2068" s="1953"/>
      <c r="E2068" s="1953"/>
      <c r="F2068" s="1953"/>
      <c r="G2068" s="1953"/>
      <c r="H2068" s="1953"/>
      <c r="I2068"/>
      <c r="J2068"/>
      <c r="K2068"/>
    </row>
    <row r="2069" spans="2:11" x14ac:dyDescent="0.35">
      <c r="B2069" s="1953"/>
      <c r="C2069" s="1953"/>
      <c r="D2069" s="1953"/>
      <c r="E2069" s="1953"/>
      <c r="F2069" s="1953"/>
      <c r="G2069" s="1953"/>
      <c r="H2069" s="1953"/>
      <c r="I2069"/>
      <c r="J2069"/>
      <c r="K2069"/>
    </row>
    <row r="2070" spans="2:11" x14ac:dyDescent="0.35">
      <c r="B2070" s="1953"/>
      <c r="C2070" s="1953"/>
      <c r="D2070" s="1953"/>
      <c r="E2070" s="1953"/>
      <c r="F2070" s="1953"/>
      <c r="G2070" s="1953"/>
      <c r="H2070" s="1953"/>
      <c r="I2070"/>
      <c r="J2070"/>
      <c r="K2070"/>
    </row>
    <row r="2071" spans="2:11" x14ac:dyDescent="0.35">
      <c r="B2071" s="1953"/>
      <c r="C2071" s="1953"/>
      <c r="D2071" s="1953"/>
      <c r="E2071" s="1953"/>
      <c r="F2071" s="1953"/>
      <c r="G2071" s="1953"/>
      <c r="H2071" s="1953"/>
      <c r="I2071"/>
      <c r="J2071"/>
      <c r="K2071"/>
    </row>
    <row r="2072" spans="2:11" x14ac:dyDescent="0.35">
      <c r="B2072" s="1953"/>
      <c r="C2072" s="1953"/>
      <c r="D2072" s="1953"/>
      <c r="E2072" s="1953"/>
      <c r="F2072" s="1953"/>
      <c r="G2072" s="1953"/>
      <c r="H2072" s="1953"/>
      <c r="I2072"/>
      <c r="J2072"/>
      <c r="K2072"/>
    </row>
    <row r="2073" spans="2:11" x14ac:dyDescent="0.35">
      <c r="B2073" s="1953"/>
      <c r="C2073" s="1953"/>
      <c r="D2073" s="1953"/>
      <c r="E2073" s="1953"/>
      <c r="F2073" s="1953"/>
      <c r="G2073" s="1953"/>
      <c r="H2073" s="1953"/>
      <c r="I2073"/>
      <c r="J2073"/>
      <c r="K2073"/>
    </row>
    <row r="2074" spans="2:11" x14ac:dyDescent="0.35">
      <c r="B2074" s="1953"/>
      <c r="C2074" s="1953"/>
      <c r="D2074" s="1953"/>
      <c r="E2074" s="1953"/>
      <c r="F2074" s="1953"/>
      <c r="G2074" s="1953"/>
      <c r="H2074" s="1953"/>
      <c r="I2074"/>
      <c r="J2074"/>
      <c r="K2074"/>
    </row>
    <row r="2075" spans="2:11" x14ac:dyDescent="0.35">
      <c r="B2075" s="1953"/>
      <c r="C2075" s="1953"/>
      <c r="D2075" s="1953"/>
      <c r="E2075" s="1953"/>
      <c r="F2075" s="1953"/>
      <c r="G2075" s="1953"/>
      <c r="H2075" s="1953"/>
      <c r="I2075"/>
      <c r="J2075"/>
      <c r="K2075"/>
    </row>
    <row r="2076" spans="2:11" x14ac:dyDescent="0.35">
      <c r="B2076" s="1953"/>
      <c r="C2076" s="1953"/>
      <c r="D2076" s="1953"/>
      <c r="E2076" s="1953"/>
      <c r="F2076" s="1953"/>
      <c r="G2076" s="1953"/>
      <c r="H2076" s="1953"/>
      <c r="I2076"/>
      <c r="J2076"/>
      <c r="K2076"/>
    </row>
    <row r="2077" spans="2:11" x14ac:dyDescent="0.35">
      <c r="B2077" s="1953"/>
      <c r="C2077" s="1953"/>
      <c r="D2077" s="1953"/>
      <c r="E2077" s="1953"/>
      <c r="F2077" s="1953"/>
      <c r="G2077" s="1953"/>
      <c r="H2077" s="1953"/>
      <c r="I2077"/>
      <c r="J2077"/>
      <c r="K2077"/>
    </row>
    <row r="2078" spans="2:11" x14ac:dyDescent="0.35">
      <c r="B2078" s="1953"/>
      <c r="C2078" s="1953"/>
      <c r="D2078" s="1953"/>
      <c r="E2078" s="1953"/>
      <c r="F2078" s="1953"/>
      <c r="G2078" s="1953"/>
      <c r="H2078" s="1953"/>
      <c r="I2078"/>
      <c r="J2078"/>
      <c r="K2078"/>
    </row>
    <row r="2079" spans="2:11" x14ac:dyDescent="0.35">
      <c r="B2079" s="1953"/>
      <c r="C2079" s="1953"/>
      <c r="D2079" s="1953"/>
      <c r="E2079" s="1953"/>
      <c r="F2079" s="1953"/>
      <c r="G2079" s="1953"/>
      <c r="H2079" s="1953"/>
      <c r="I2079"/>
      <c r="J2079"/>
      <c r="K2079"/>
    </row>
    <row r="2080" spans="2:11" x14ac:dyDescent="0.35">
      <c r="B2080" s="1953"/>
      <c r="C2080" s="1953"/>
      <c r="D2080" s="1953"/>
      <c r="E2080" s="1953"/>
      <c r="F2080" s="1953"/>
      <c r="G2080" s="1953"/>
      <c r="H2080" s="1953"/>
      <c r="I2080"/>
      <c r="J2080"/>
      <c r="K2080"/>
    </row>
    <row r="2081" spans="2:11" x14ac:dyDescent="0.35">
      <c r="B2081" s="1953"/>
      <c r="C2081" s="1953"/>
      <c r="D2081" s="1953"/>
      <c r="E2081" s="1953"/>
      <c r="F2081" s="1953"/>
      <c r="G2081" s="1953"/>
      <c r="H2081" s="1953"/>
      <c r="I2081"/>
      <c r="J2081"/>
      <c r="K2081"/>
    </row>
    <row r="2082" spans="2:11" x14ac:dyDescent="0.35">
      <c r="B2082" s="1953"/>
      <c r="C2082" s="1953"/>
      <c r="D2082" s="1953"/>
      <c r="E2082" s="1953"/>
      <c r="F2082" s="1953"/>
      <c r="G2082" s="1953"/>
      <c r="H2082" s="1953"/>
      <c r="I2082"/>
      <c r="J2082"/>
      <c r="K2082"/>
    </row>
    <row r="2083" spans="2:11" x14ac:dyDescent="0.35">
      <c r="B2083" s="1953"/>
      <c r="C2083" s="1953"/>
      <c r="D2083" s="1953"/>
      <c r="E2083" s="1953"/>
      <c r="F2083" s="1953"/>
      <c r="G2083" s="1953"/>
      <c r="H2083" s="1953"/>
      <c r="I2083"/>
      <c r="J2083"/>
      <c r="K2083"/>
    </row>
    <row r="2084" spans="2:11" x14ac:dyDescent="0.35">
      <c r="B2084" s="1953"/>
      <c r="C2084" s="1953"/>
      <c r="D2084" s="1953"/>
      <c r="E2084" s="1953"/>
      <c r="F2084" s="1953"/>
      <c r="G2084" s="1953"/>
      <c r="H2084" s="1953"/>
      <c r="I2084"/>
      <c r="J2084"/>
      <c r="K2084"/>
    </row>
    <row r="2085" spans="2:11" x14ac:dyDescent="0.35">
      <c r="B2085" s="1953"/>
      <c r="C2085" s="1953"/>
      <c r="D2085" s="1953"/>
      <c r="E2085" s="1953"/>
      <c r="F2085" s="1953"/>
      <c r="G2085" s="1953"/>
      <c r="H2085" s="1953"/>
      <c r="I2085"/>
      <c r="J2085"/>
      <c r="K2085"/>
    </row>
    <row r="2086" spans="2:11" x14ac:dyDescent="0.35">
      <c r="B2086" s="1953"/>
      <c r="C2086" s="1953"/>
      <c r="D2086" s="1953"/>
      <c r="E2086" s="1953"/>
      <c r="F2086" s="1953"/>
      <c r="G2086" s="1953"/>
      <c r="H2086" s="1953"/>
      <c r="I2086"/>
      <c r="J2086"/>
      <c r="K2086"/>
    </row>
    <row r="2087" spans="2:11" x14ac:dyDescent="0.35">
      <c r="B2087" s="1953"/>
      <c r="C2087" s="1953"/>
      <c r="D2087" s="1953"/>
      <c r="E2087" s="1953"/>
      <c r="F2087" s="1953"/>
      <c r="G2087" s="1953"/>
      <c r="H2087" s="1953"/>
      <c r="I2087"/>
      <c r="J2087"/>
      <c r="K2087"/>
    </row>
    <row r="2088" spans="2:11" x14ac:dyDescent="0.35">
      <c r="B2088" s="1953"/>
      <c r="C2088" s="1953"/>
      <c r="D2088" s="1953"/>
      <c r="E2088" s="1953"/>
      <c r="F2088" s="1953"/>
      <c r="G2088" s="1953"/>
      <c r="H2088" s="1953"/>
      <c r="I2088"/>
      <c r="J2088"/>
      <c r="K2088"/>
    </row>
    <row r="2089" spans="2:11" x14ac:dyDescent="0.35">
      <c r="B2089" s="1953"/>
      <c r="C2089" s="1953"/>
      <c r="D2089" s="1953"/>
      <c r="E2089" s="1953"/>
      <c r="F2089" s="1953"/>
      <c r="G2089" s="1953"/>
      <c r="H2089" s="1953"/>
      <c r="I2089"/>
      <c r="J2089"/>
      <c r="K2089"/>
    </row>
    <row r="2090" spans="2:11" x14ac:dyDescent="0.35">
      <c r="B2090" s="1953"/>
      <c r="C2090" s="1953"/>
      <c r="D2090" s="1953"/>
      <c r="E2090" s="1953"/>
      <c r="F2090" s="1953"/>
      <c r="G2090" s="1953"/>
      <c r="H2090" s="1953"/>
      <c r="I2090"/>
      <c r="J2090"/>
      <c r="K2090"/>
    </row>
    <row r="2091" spans="2:11" x14ac:dyDescent="0.35">
      <c r="B2091" s="1953"/>
      <c r="C2091" s="1953"/>
      <c r="D2091" s="1953"/>
      <c r="E2091" s="1953"/>
      <c r="F2091" s="1953"/>
      <c r="G2091" s="1953"/>
      <c r="H2091" s="1953"/>
      <c r="I2091"/>
      <c r="J2091"/>
      <c r="K2091"/>
    </row>
    <row r="2092" spans="2:11" x14ac:dyDescent="0.35">
      <c r="B2092" s="1953"/>
      <c r="C2092" s="1953"/>
      <c r="D2092" s="1953"/>
      <c r="E2092" s="1953"/>
      <c r="F2092" s="1953"/>
      <c r="G2092" s="1953"/>
      <c r="H2092" s="1953"/>
      <c r="I2092"/>
      <c r="J2092"/>
      <c r="K2092"/>
    </row>
    <row r="2093" spans="2:11" x14ac:dyDescent="0.35">
      <c r="B2093" s="1953"/>
      <c r="C2093" s="1953"/>
      <c r="D2093" s="1953"/>
      <c r="E2093" s="1953"/>
      <c r="F2093" s="1953"/>
      <c r="G2093" s="1953"/>
      <c r="H2093" s="1953"/>
      <c r="I2093"/>
      <c r="J2093"/>
      <c r="K2093"/>
    </row>
    <row r="2094" spans="2:11" x14ac:dyDescent="0.35">
      <c r="B2094" s="1953"/>
      <c r="C2094" s="1953"/>
      <c r="D2094" s="1953"/>
      <c r="E2094" s="1953"/>
      <c r="F2094" s="1953"/>
      <c r="G2094" s="1953"/>
      <c r="H2094" s="1953"/>
      <c r="I2094"/>
      <c r="J2094"/>
      <c r="K2094"/>
    </row>
    <row r="2095" spans="2:11" x14ac:dyDescent="0.35">
      <c r="B2095" s="1953"/>
      <c r="C2095" s="1953"/>
      <c r="D2095" s="1953"/>
      <c r="E2095" s="1953"/>
      <c r="F2095" s="1953"/>
      <c r="G2095" s="1953"/>
      <c r="H2095" s="1953"/>
      <c r="I2095"/>
      <c r="J2095"/>
      <c r="K2095"/>
    </row>
    <row r="2096" spans="2:11" x14ac:dyDescent="0.35">
      <c r="B2096" s="1953"/>
      <c r="C2096" s="1953"/>
      <c r="D2096" s="1953"/>
      <c r="E2096" s="1953"/>
      <c r="F2096" s="1953"/>
      <c r="G2096" s="1953"/>
      <c r="H2096" s="1953"/>
      <c r="I2096"/>
      <c r="J2096"/>
      <c r="K2096"/>
    </row>
    <row r="2097" spans="2:11" x14ac:dyDescent="0.35">
      <c r="B2097" s="1953"/>
      <c r="C2097" s="1953"/>
      <c r="D2097" s="1953"/>
      <c r="E2097" s="1953"/>
      <c r="F2097" s="1953"/>
      <c r="G2097" s="1953"/>
      <c r="H2097" s="1953"/>
      <c r="I2097"/>
      <c r="J2097"/>
      <c r="K2097"/>
    </row>
    <row r="2098" spans="2:11" x14ac:dyDescent="0.35">
      <c r="B2098" s="1953"/>
      <c r="C2098" s="1953"/>
      <c r="D2098" s="1953"/>
      <c r="E2098" s="1953"/>
      <c r="F2098" s="1953"/>
      <c r="G2098" s="1953"/>
      <c r="H2098" s="1953"/>
      <c r="I2098"/>
      <c r="J2098"/>
      <c r="K2098"/>
    </row>
    <row r="2099" spans="2:11" x14ac:dyDescent="0.35">
      <c r="B2099" s="1953"/>
      <c r="C2099" s="1953"/>
      <c r="D2099" s="1953"/>
      <c r="E2099" s="1953"/>
      <c r="F2099" s="1953"/>
      <c r="G2099" s="1953"/>
      <c r="H2099" s="1953"/>
      <c r="I2099"/>
      <c r="J2099"/>
      <c r="K2099"/>
    </row>
    <row r="2100" spans="2:11" x14ac:dyDescent="0.35">
      <c r="B2100" s="1953"/>
      <c r="C2100" s="1953"/>
      <c r="D2100" s="1953"/>
      <c r="E2100" s="1953"/>
      <c r="F2100" s="1953"/>
      <c r="G2100" s="1953"/>
      <c r="H2100" s="1953"/>
      <c r="I2100"/>
      <c r="J2100"/>
      <c r="K2100"/>
    </row>
    <row r="2101" spans="2:11" x14ac:dyDescent="0.35">
      <c r="B2101" s="1953"/>
      <c r="C2101" s="1953"/>
      <c r="D2101" s="1953"/>
      <c r="E2101" s="1953"/>
      <c r="F2101" s="1953"/>
      <c r="G2101" s="1953"/>
      <c r="H2101" s="1953"/>
      <c r="I2101"/>
      <c r="J2101"/>
      <c r="K2101"/>
    </row>
    <row r="2102" spans="2:11" x14ac:dyDescent="0.35">
      <c r="B2102" s="1953"/>
      <c r="C2102" s="1953"/>
      <c r="D2102" s="1953"/>
      <c r="E2102" s="1953"/>
      <c r="F2102" s="1953"/>
      <c r="G2102" s="1953"/>
      <c r="H2102" s="1953"/>
      <c r="I2102"/>
      <c r="J2102"/>
      <c r="K2102"/>
    </row>
    <row r="2103" spans="2:11" x14ac:dyDescent="0.35">
      <c r="B2103" s="1953"/>
      <c r="C2103" s="1953"/>
      <c r="D2103" s="1953"/>
      <c r="E2103" s="1953"/>
      <c r="F2103" s="1953"/>
      <c r="G2103" s="1953"/>
      <c r="H2103" s="1953"/>
      <c r="I2103"/>
      <c r="J2103"/>
      <c r="K2103"/>
    </row>
    <row r="2104" spans="2:11" x14ac:dyDescent="0.35">
      <c r="B2104" s="1953"/>
      <c r="C2104" s="1953"/>
      <c r="D2104" s="1953"/>
      <c r="E2104" s="1953"/>
      <c r="F2104" s="1953"/>
      <c r="G2104" s="1953"/>
      <c r="H2104" s="1953"/>
      <c r="I2104"/>
      <c r="J2104"/>
      <c r="K2104"/>
    </row>
    <row r="2105" spans="2:11" x14ac:dyDescent="0.35">
      <c r="B2105" s="1953"/>
      <c r="C2105" s="1953"/>
      <c r="D2105" s="1953"/>
      <c r="E2105" s="1953"/>
      <c r="F2105" s="1953"/>
      <c r="G2105" s="1953"/>
      <c r="H2105" s="1953"/>
      <c r="I2105"/>
      <c r="J2105"/>
      <c r="K2105"/>
    </row>
    <row r="2106" spans="2:11" x14ac:dyDescent="0.35">
      <c r="B2106" s="1953"/>
      <c r="C2106" s="1953"/>
      <c r="D2106" s="1953"/>
      <c r="E2106" s="1953"/>
      <c r="F2106" s="1953"/>
      <c r="G2106" s="1953"/>
      <c r="H2106" s="1953"/>
      <c r="I2106"/>
      <c r="J2106"/>
      <c r="K2106"/>
    </row>
    <row r="2107" spans="2:11" x14ac:dyDescent="0.35">
      <c r="B2107" s="1953"/>
      <c r="C2107" s="1953"/>
      <c r="D2107" s="1953"/>
      <c r="E2107" s="1953"/>
      <c r="F2107" s="1953"/>
      <c r="G2107" s="1953"/>
      <c r="H2107" s="1953"/>
      <c r="I2107"/>
      <c r="J2107"/>
      <c r="K2107"/>
    </row>
  </sheetData>
  <sheetProtection selectLockedCells="1"/>
  <protectedRanges>
    <protectedRange sqref="K1:M9 K58:M1048576" name="Range1"/>
    <protectedRange sqref="N4:N9" name="Range1_1"/>
  </protectedRanges>
  <autoFilter ref="B9:N56" xr:uid="{00000000-0009-0000-0000-00000D000000}"/>
  <pageMargins left="0.7" right="0.7" top="0.75" bottom="0.75" header="0.3" footer="0.3"/>
  <pageSetup paperSize="9" scale="9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J567"/>
  <sheetViews>
    <sheetView workbookViewId="0"/>
  </sheetViews>
  <sheetFormatPr defaultRowHeight="12.75" x14ac:dyDescent="0.35"/>
  <cols>
    <col min="2" max="2" width="39.6640625" style="1833" customWidth="1"/>
    <col min="3" max="3" width="14.46484375" style="1886" customWidth="1"/>
    <col min="4" max="4" width="16.1328125" style="1757" customWidth="1"/>
    <col min="5" max="6" width="12.6640625" style="727" customWidth="1"/>
    <col min="7" max="9" width="12.53125" style="727" customWidth="1"/>
  </cols>
  <sheetData>
    <row r="1" spans="2:10" ht="13.15" x14ac:dyDescent="0.4">
      <c r="B1" s="1832"/>
      <c r="C1" s="1701"/>
      <c r="D1" s="1701"/>
      <c r="E1" s="717"/>
      <c r="F1" s="717"/>
      <c r="G1" s="717"/>
      <c r="H1" s="717"/>
      <c r="I1" s="717"/>
    </row>
    <row r="2" spans="2:10" ht="13.15" x14ac:dyDescent="0.4">
      <c r="C2" s="1702"/>
      <c r="D2" s="1702"/>
      <c r="E2" s="725"/>
      <c r="F2" s="725"/>
      <c r="G2" s="725"/>
      <c r="H2" s="725"/>
      <c r="I2" s="725"/>
    </row>
    <row r="3" spans="2:10" ht="13.15" x14ac:dyDescent="0.4">
      <c r="C3" s="1702"/>
      <c r="D3" s="1702"/>
      <c r="E3" s="725"/>
      <c r="F3" s="725"/>
      <c r="G3" s="725"/>
      <c r="H3" s="725"/>
      <c r="I3" s="725"/>
    </row>
    <row r="4" spans="2:10" ht="13.15" x14ac:dyDescent="0.4">
      <c r="C4" s="1702"/>
      <c r="D4" s="1702"/>
      <c r="E4" s="725"/>
      <c r="F4" s="725"/>
      <c r="G4" s="725"/>
      <c r="H4" s="725"/>
      <c r="I4" s="725"/>
    </row>
    <row r="5" spans="2:10" ht="13.15" x14ac:dyDescent="0.4">
      <c r="C5" s="1702"/>
      <c r="D5" s="1702"/>
      <c r="E5" s="725"/>
      <c r="F5" s="725"/>
      <c r="G5" s="725"/>
      <c r="H5" s="725"/>
      <c r="I5" s="725"/>
    </row>
    <row r="6" spans="2:10" ht="13.5" thickBot="1" x14ac:dyDescent="0.45">
      <c r="C6" s="1703"/>
      <c r="D6" s="1703"/>
      <c r="E6" s="735"/>
      <c r="F6" s="735"/>
      <c r="G6" s="735"/>
      <c r="H6" s="735"/>
      <c r="I6" s="735"/>
    </row>
    <row r="7" spans="2:10" x14ac:dyDescent="0.35">
      <c r="B7" s="1834"/>
      <c r="C7" s="1834"/>
      <c r="D7" s="1704"/>
      <c r="E7" s="741"/>
      <c r="F7" s="741"/>
      <c r="G7" s="1653"/>
      <c r="H7" s="741"/>
      <c r="I7" s="1758"/>
    </row>
    <row r="8" spans="2:10" ht="15.4" thickBot="1" x14ac:dyDescent="0.45">
      <c r="B8" s="1835"/>
      <c r="C8" s="1835"/>
      <c r="D8" s="1705"/>
      <c r="E8" s="1700" t="s">
        <v>1061</v>
      </c>
      <c r="F8" s="748"/>
      <c r="G8" s="1654"/>
      <c r="H8" s="1700" t="s">
        <v>1062</v>
      </c>
      <c r="I8" s="1759"/>
    </row>
    <row r="9" spans="2:10" ht="13.15" x14ac:dyDescent="0.4">
      <c r="B9" s="1836"/>
      <c r="C9" s="1837"/>
      <c r="D9" s="1818"/>
      <c r="E9" s="1819"/>
      <c r="F9" s="1820"/>
      <c r="G9" s="1821"/>
      <c r="H9" s="1819"/>
      <c r="I9" s="1822"/>
    </row>
    <row r="10" spans="2:10" ht="13.15" x14ac:dyDescent="0.4">
      <c r="B10" s="1838"/>
      <c r="C10" s="1837" t="s">
        <v>1063</v>
      </c>
      <c r="D10" s="1823" t="s">
        <v>943</v>
      </c>
      <c r="E10" s="1823" t="s">
        <v>1059</v>
      </c>
      <c r="F10" s="1824" t="s">
        <v>1060</v>
      </c>
      <c r="G10" s="1825" t="s">
        <v>176</v>
      </c>
      <c r="H10" s="1823" t="s">
        <v>1059</v>
      </c>
      <c r="I10" s="1826" t="s">
        <v>1060</v>
      </c>
      <c r="J10" s="1824" t="s">
        <v>1070</v>
      </c>
    </row>
    <row r="11" spans="2:10" ht="13.15" x14ac:dyDescent="0.4">
      <c r="B11" s="1839" t="str">
        <f>BUDGET!A11</f>
        <v>OPERATING  BUDGET</v>
      </c>
      <c r="C11" s="1840"/>
      <c r="D11" s="1827" t="s">
        <v>1064</v>
      </c>
      <c r="E11" s="1828"/>
      <c r="F11" s="1829"/>
      <c r="G11" s="1830"/>
      <c r="H11" s="1828"/>
      <c r="I11" s="1831"/>
      <c r="J11" s="1824"/>
    </row>
    <row r="12" spans="2:10" ht="13.15" x14ac:dyDescent="0.4">
      <c r="B12" s="1841" t="str">
        <f>BUDGET!A12</f>
        <v>GENERAL GOVERNMENT</v>
      </c>
      <c r="C12" s="1842" t="str">
        <f>IF(BUDGET!AP12=0,"",BUDGET!AP12)</f>
        <v/>
      </c>
      <c r="D12" s="1706"/>
      <c r="E12" s="776"/>
      <c r="F12" s="979"/>
      <c r="G12" s="1655"/>
      <c r="H12" s="776"/>
      <c r="I12" s="1760"/>
    </row>
    <row r="13" spans="2:10" x14ac:dyDescent="0.35">
      <c r="B13" s="1843" t="str">
        <f>BUDGET!A13</f>
        <v xml:space="preserve"> MODERATOR</v>
      </c>
      <c r="C13" s="1842" t="str">
        <f>IF(BUDGET!AP13=0,"",BUDGET!AP13)</f>
        <v/>
      </c>
      <c r="D13" s="1706"/>
      <c r="E13" s="776"/>
      <c r="F13" s="979"/>
      <c r="G13" s="1655"/>
      <c r="H13" s="776"/>
      <c r="I13" s="1760"/>
    </row>
    <row r="14" spans="2:10" ht="13.15" x14ac:dyDescent="0.4">
      <c r="B14" s="1841" t="str">
        <f>BUDGET!A14</f>
        <v xml:space="preserve">    SALARY</v>
      </c>
      <c r="C14" s="1707">
        <f>IF(BUDGET!AP14=0,"",BUDGET!AP14)</f>
        <v>50</v>
      </c>
      <c r="D14" s="1707"/>
      <c r="E14" s="788"/>
      <c r="F14" s="841"/>
      <c r="G14" s="1656"/>
      <c r="H14" s="788"/>
      <c r="I14" s="1761"/>
    </row>
    <row r="15" spans="2:10" ht="13.15" x14ac:dyDescent="0.4">
      <c r="B15" s="1844" t="str">
        <f>BUDGET!A15</f>
        <v xml:space="preserve">    TOTAL</v>
      </c>
      <c r="C15" s="1724">
        <f>IF(BUDGET!AP15=0,"",BUDGET!AP15)</f>
        <v>50</v>
      </c>
      <c r="D15" s="1708"/>
      <c r="E15" s="800"/>
      <c r="F15" s="1621"/>
      <c r="G15" s="1657"/>
      <c r="H15" s="800"/>
      <c r="I15" s="1762"/>
    </row>
    <row r="16" spans="2:10" x14ac:dyDescent="0.35">
      <c r="B16" s="1843" t="str">
        <f>BUDGET!A16</f>
        <v>SELECTMEN</v>
      </c>
      <c r="C16" s="1842" t="str">
        <f>IF(BUDGET!AP16=0,"",BUDGET!AP16)</f>
        <v/>
      </c>
      <c r="D16" s="1706"/>
      <c r="E16" s="776"/>
      <c r="F16" s="979"/>
      <c r="G16" s="1655"/>
      <c r="H16" s="776"/>
      <c r="I16" s="1760"/>
    </row>
    <row r="17" spans="2:10" x14ac:dyDescent="0.35">
      <c r="B17" s="1843" t="str">
        <f>BUDGET!A17</f>
        <v xml:space="preserve">    SALARIES</v>
      </c>
      <c r="C17" s="1733">
        <f>IF(BUDGET!AP17=0,"",BUDGET!AP17)</f>
        <v>227735</v>
      </c>
      <c r="D17" s="1709"/>
      <c r="E17" s="810"/>
      <c r="F17" s="1410"/>
      <c r="G17" s="1658"/>
      <c r="H17" s="810"/>
      <c r="I17" s="1763"/>
    </row>
    <row r="18" spans="2:10" x14ac:dyDescent="0.35">
      <c r="B18" s="1843" t="str">
        <f>BUDGET!A18</f>
        <v xml:space="preserve">    WAGES</v>
      </c>
      <c r="C18" s="1733">
        <f>IF(BUDGET!AP18=0,"",BUDGET!AP18)</f>
        <v>81402</v>
      </c>
      <c r="D18" s="1709"/>
      <c r="E18" s="810"/>
      <c r="F18" s="1410"/>
      <c r="G18" s="1658"/>
      <c r="H18" s="810"/>
      <c r="I18" s="1763"/>
    </row>
    <row r="19" spans="2:10" x14ac:dyDescent="0.35">
      <c r="B19" s="1843" t="str">
        <f>BUDGET!A19</f>
        <v xml:space="preserve">   OTHER</v>
      </c>
      <c r="C19" s="1733">
        <f>IF(BUDGET!AP19=0,"",BUDGET!AP19)</f>
        <v>14111</v>
      </c>
      <c r="D19" s="1709"/>
      <c r="E19" s="810"/>
      <c r="F19" s="1410"/>
      <c r="G19" s="1658"/>
      <c r="H19" s="810"/>
      <c r="I19" s="1763"/>
    </row>
    <row r="20" spans="2:10" ht="13.15" x14ac:dyDescent="0.4">
      <c r="B20" s="1841" t="str">
        <f>BUDGET!A20</f>
        <v xml:space="preserve">   TOTAL</v>
      </c>
      <c r="C20" s="1710">
        <f>IF(BUDGET!AP20=0,"",BUDGET!AP20)</f>
        <v>323248</v>
      </c>
      <c r="D20" s="1710"/>
      <c r="E20" s="785"/>
      <c r="F20" s="820"/>
      <c r="G20" s="1659"/>
      <c r="H20" s="785"/>
      <c r="I20" s="1764"/>
    </row>
    <row r="21" spans="2:10" x14ac:dyDescent="0.35">
      <c r="B21" s="1845" t="str">
        <f>IF(BUDGET!A21=0,"",BUDGET!A21)</f>
        <v/>
      </c>
      <c r="C21" s="1745" t="str">
        <f>IF(BUDGET!AP21=0,"",BUDGET!AP21)</f>
        <v/>
      </c>
      <c r="D21" s="1711"/>
      <c r="E21" s="822"/>
      <c r="F21" s="1160"/>
      <c r="G21" s="1660"/>
      <c r="H21" s="822"/>
      <c r="I21" s="1765"/>
    </row>
    <row r="22" spans="2:10" x14ac:dyDescent="0.35">
      <c r="B22" s="1843" t="str">
        <f>IF(BUDGET!A22=0,"",BUDGET!A22)</f>
        <v>SELECTMEN'S SPECIAL</v>
      </c>
      <c r="C22" s="1707" t="str">
        <f>IF(BUDGET!AP22=0,"",BUDGET!AP22)</f>
        <v/>
      </c>
      <c r="D22" s="1712"/>
      <c r="E22" s="825"/>
      <c r="F22" s="1110"/>
      <c r="G22" s="1661"/>
      <c r="H22" s="825"/>
      <c r="I22" s="1766"/>
    </row>
    <row r="23" spans="2:10" x14ac:dyDescent="0.35">
      <c r="B23" s="1843" t="str">
        <f>IF(BUDGET!A23=0,"",BUDGET!A23)</f>
        <v xml:space="preserve">   SERVICES</v>
      </c>
      <c r="C23" s="1707" t="str">
        <f>IF(BUDGET!AP23=0,"",BUDGET!AP23)</f>
        <v/>
      </c>
      <c r="D23" s="1707"/>
      <c r="E23" s="788"/>
      <c r="F23" s="841"/>
      <c r="G23" s="1656"/>
      <c r="H23" s="788"/>
      <c r="I23" s="1761"/>
    </row>
    <row r="24" spans="2:10" x14ac:dyDescent="0.35">
      <c r="B24" s="1843" t="str">
        <f>IF(BUDGET!A24=0,"",BUDGET!A24)</f>
        <v xml:space="preserve">   OTHER</v>
      </c>
      <c r="C24" s="1733">
        <f>IF(BUDGET!AP24=0,"",BUDGET!AP24)</f>
        <v>77300</v>
      </c>
      <c r="D24" s="1709"/>
      <c r="E24" s="810"/>
      <c r="F24" s="1410"/>
      <c r="G24" s="1658"/>
      <c r="H24" s="810"/>
      <c r="I24" s="1763"/>
    </row>
    <row r="25" spans="2:10" ht="13.15" x14ac:dyDescent="0.4">
      <c r="B25" s="1841" t="str">
        <f>IF(BUDGET!A25=0,"",BUDGET!A25)</f>
        <v xml:space="preserve">   TOTAL </v>
      </c>
      <c r="C25" s="1710">
        <f>IF(BUDGET!AP25=0,"",BUDGET!AP25)</f>
        <v>77300</v>
      </c>
      <c r="D25" s="1710"/>
      <c r="E25" s="785"/>
      <c r="F25" s="820"/>
      <c r="G25" s="1659"/>
      <c r="H25" s="785"/>
      <c r="I25" s="1764"/>
    </row>
    <row r="26" spans="2:10" x14ac:dyDescent="0.35">
      <c r="B26" s="1845" t="str">
        <f>IF(BUDGET!A26=0,"",BUDGET!A26)</f>
        <v/>
      </c>
      <c r="C26" s="1745" t="str">
        <f>IF(BUDGET!AP26=0,"",BUDGET!AP26)</f>
        <v/>
      </c>
      <c r="D26" s="1711"/>
      <c r="E26" s="822"/>
      <c r="F26" s="1160"/>
      <c r="G26" s="1660"/>
      <c r="H26" s="822"/>
      <c r="I26" s="1765"/>
    </row>
    <row r="27" spans="2:10" x14ac:dyDescent="0.35">
      <c r="B27" s="1843" t="str">
        <f>IF(BUDGET!A27=0,"",BUDGET!A27)</f>
        <v>PARKING CLERK</v>
      </c>
      <c r="C27" s="1714" t="str">
        <f>IF(BUDGET!AP27=0,"",BUDGET!AP27)</f>
        <v/>
      </c>
      <c r="D27" s="1713"/>
      <c r="E27" s="1427"/>
      <c r="F27" s="1622"/>
      <c r="G27" s="1662"/>
      <c r="H27" s="1427"/>
      <c r="I27" s="1767"/>
      <c r="J27">
        <v>1</v>
      </c>
    </row>
    <row r="28" spans="2:10" x14ac:dyDescent="0.35">
      <c r="B28" s="1843" t="str">
        <f>IF(BUDGET!A28=0,"",BUDGET!A28)</f>
        <v xml:space="preserve">   OTHER</v>
      </c>
      <c r="C28" s="1714" t="str">
        <f>IF(BUDGET!AP28=0,"",BUDGET!AP28)</f>
        <v/>
      </c>
      <c r="D28" s="1714"/>
      <c r="E28" s="1030"/>
      <c r="F28" s="1420"/>
      <c r="G28" s="1663"/>
      <c r="H28" s="1030"/>
      <c r="I28" s="1768"/>
      <c r="J28">
        <v>1</v>
      </c>
    </row>
    <row r="29" spans="2:10" ht="13.15" x14ac:dyDescent="0.4">
      <c r="B29" s="1841" t="str">
        <f>IF(BUDGET!A29=0,"",BUDGET!A29)</f>
        <v xml:space="preserve">   TOTAL</v>
      </c>
      <c r="C29" s="1846" t="str">
        <f>IF(BUDGET!AP29=0,"",BUDGET!AP29)</f>
        <v/>
      </c>
      <c r="D29" s="1715"/>
      <c r="E29" s="1452"/>
      <c r="F29" s="1623"/>
      <c r="G29" s="1664"/>
      <c r="H29" s="1452"/>
      <c r="I29" s="1769"/>
      <c r="J29">
        <v>1</v>
      </c>
    </row>
    <row r="30" spans="2:10" x14ac:dyDescent="0.35">
      <c r="B30" s="1845" t="str">
        <f>IF(BUDGET!A30=0,"",BUDGET!A30)</f>
        <v/>
      </c>
      <c r="C30" s="1847" t="str">
        <f>IF(BUDGET!AP30=0,"",BUDGET!AP30)</f>
        <v/>
      </c>
      <c r="D30" s="1716"/>
      <c r="E30" s="1034"/>
      <c r="F30" s="1624"/>
      <c r="G30" s="1665"/>
      <c r="H30" s="1034"/>
      <c r="I30" s="1770"/>
      <c r="J30">
        <v>1</v>
      </c>
    </row>
    <row r="31" spans="2:10" x14ac:dyDescent="0.35">
      <c r="B31" s="1843" t="str">
        <f>IF(BUDGET!A31=0,"",BUDGET!A31)</f>
        <v>FINANCE COMMITTEE</v>
      </c>
      <c r="C31" s="1707" t="str">
        <f>IF(BUDGET!AP31=0,"",BUDGET!AP31)</f>
        <v/>
      </c>
      <c r="D31" s="1712"/>
      <c r="E31" s="825"/>
      <c r="F31" s="1110"/>
      <c r="G31" s="1661"/>
      <c r="H31" s="825"/>
      <c r="I31" s="1766"/>
    </row>
    <row r="32" spans="2:10" x14ac:dyDescent="0.35">
      <c r="B32" s="1843" t="str">
        <f>IF(BUDGET!A32=0,"",BUDGET!A32)</f>
        <v xml:space="preserve">   WAGES</v>
      </c>
      <c r="C32" s="1733">
        <f>IF(BUDGET!AP32=0,"",BUDGET!AP32)</f>
        <v>1610</v>
      </c>
      <c r="D32" s="1709"/>
      <c r="E32" s="810"/>
      <c r="F32" s="1410"/>
      <c r="G32" s="1658"/>
      <c r="H32" s="810"/>
      <c r="I32" s="1763"/>
    </row>
    <row r="33" spans="2:10" x14ac:dyDescent="0.35">
      <c r="B33" s="1843" t="str">
        <f>IF(BUDGET!A33=0,"",BUDGET!A33)</f>
        <v xml:space="preserve">   OTHER</v>
      </c>
      <c r="C33" s="1733">
        <f>IF(BUDGET!AP33=0,"",BUDGET!AP33)</f>
        <v>350</v>
      </c>
      <c r="D33" s="1709"/>
      <c r="E33" s="810"/>
      <c r="F33" s="1410"/>
      <c r="G33" s="1658"/>
      <c r="H33" s="810"/>
      <c r="I33" s="1763"/>
    </row>
    <row r="34" spans="2:10" x14ac:dyDescent="0.35">
      <c r="B34" s="1843" t="str">
        <f>IF(BUDGET!A34=0,"",BUDGET!A34)</f>
        <v>RESERVE</v>
      </c>
      <c r="C34" s="1733">
        <f>IF(BUDGET!AP34=0,"",BUDGET!AP34)</f>
        <v>100000</v>
      </c>
      <c r="D34" s="1709"/>
      <c r="E34" s="810"/>
      <c r="F34" s="1410"/>
      <c r="G34" s="1658"/>
      <c r="H34" s="810"/>
      <c r="I34" s="1763"/>
    </row>
    <row r="35" spans="2:10" ht="13.15" x14ac:dyDescent="0.4">
      <c r="B35" s="1841" t="str">
        <f>IF(BUDGET!A35=0,"",BUDGET!A35)</f>
        <v xml:space="preserve">   TOTAL</v>
      </c>
      <c r="C35" s="1710">
        <f>IF(BUDGET!AP35=0,"",BUDGET!AP35)</f>
        <v>101960</v>
      </c>
      <c r="D35" s="1710"/>
      <c r="E35" s="785"/>
      <c r="F35" s="820"/>
      <c r="G35" s="1659"/>
      <c r="H35" s="785"/>
      <c r="I35" s="1764"/>
    </row>
    <row r="36" spans="2:10" x14ac:dyDescent="0.35">
      <c r="B36" s="1845" t="str">
        <f>IF(BUDGET!A36=0,"",BUDGET!A36)</f>
        <v/>
      </c>
      <c r="C36" s="1745" t="str">
        <f>IF(BUDGET!AP36=0,"",BUDGET!AP36)</f>
        <v/>
      </c>
      <c r="D36" s="1711"/>
      <c r="E36" s="822"/>
      <c r="F36" s="1160"/>
      <c r="G36" s="1660"/>
      <c r="H36" s="822"/>
      <c r="I36" s="1765"/>
    </row>
    <row r="37" spans="2:10" x14ac:dyDescent="0.35">
      <c r="B37" s="1843" t="str">
        <f>IF(BUDGET!A37=0,"",BUDGET!A37)</f>
        <v>TOWN WEBSITE/CABLE ADVISORY</v>
      </c>
      <c r="C37" s="1707" t="str">
        <f>IF(BUDGET!AP37=0,"",BUDGET!AP37)</f>
        <v/>
      </c>
      <c r="D37" s="1712"/>
      <c r="E37" s="825"/>
      <c r="F37" s="1110"/>
      <c r="G37" s="1661"/>
      <c r="H37" s="825"/>
      <c r="I37" s="1766"/>
    </row>
    <row r="38" spans="2:10" x14ac:dyDescent="0.35">
      <c r="B38" s="1843" t="str">
        <f>IF(BUDGET!A38=0,"",BUDGET!A38)</f>
        <v xml:space="preserve">   WAGES</v>
      </c>
      <c r="C38" s="1733">
        <f>IF(BUDGET!AP38=0,"",BUDGET!AP38)</f>
        <v>5048</v>
      </c>
      <c r="D38" s="1709"/>
      <c r="E38" s="810"/>
      <c r="F38" s="1410"/>
      <c r="G38" s="1658"/>
      <c r="H38" s="810"/>
      <c r="I38" s="1763"/>
    </row>
    <row r="39" spans="2:10" x14ac:dyDescent="0.35">
      <c r="B39" s="1843" t="str">
        <f>IF(BUDGET!A39=0,"",BUDGET!A39)</f>
        <v xml:space="preserve">   OTHER</v>
      </c>
      <c r="C39" s="1707">
        <f>IF(BUDGET!AP39=0,"",BUDGET!AP39)</f>
        <v>49850</v>
      </c>
      <c r="D39" s="1707"/>
      <c r="E39" s="788"/>
      <c r="F39" s="841"/>
      <c r="G39" s="1656"/>
      <c r="H39" s="788"/>
      <c r="I39" s="1761"/>
    </row>
    <row r="40" spans="2:10" ht="13.15" x14ac:dyDescent="0.4">
      <c r="B40" s="1841" t="str">
        <f>IF(BUDGET!A40=0,"",BUDGET!A40)</f>
        <v xml:space="preserve">   TOTAL</v>
      </c>
      <c r="C40" s="1710">
        <f>IF(BUDGET!AP40=0,"",BUDGET!AP40)</f>
        <v>54898</v>
      </c>
      <c r="D40" s="1710"/>
      <c r="E40" s="785"/>
      <c r="F40" s="820"/>
      <c r="G40" s="1659"/>
      <c r="H40" s="785"/>
      <c r="I40" s="1764"/>
    </row>
    <row r="41" spans="2:10" x14ac:dyDescent="0.35">
      <c r="B41" s="1845" t="str">
        <f>IF(BUDGET!A41=0,"",BUDGET!A41)</f>
        <v/>
      </c>
      <c r="C41" s="1745" t="str">
        <f>IF(BUDGET!AP41=0,"",BUDGET!AP41)</f>
        <v/>
      </c>
      <c r="D41" s="1711"/>
      <c r="E41" s="822"/>
      <c r="F41" s="1160"/>
      <c r="G41" s="1660"/>
      <c r="H41" s="822"/>
      <c r="I41" s="1765"/>
    </row>
    <row r="42" spans="2:10" x14ac:dyDescent="0.35">
      <c r="B42" s="1843" t="str">
        <f>IF(BUDGET!A42=0,"",BUDGET!A42)</f>
        <v xml:space="preserve">CABLE ADVISORY </v>
      </c>
      <c r="C42" s="1964" t="str">
        <f>IF(BUDGET!AP42=0,"",BUDGET!AP42)</f>
        <v/>
      </c>
      <c r="D42" s="1965"/>
      <c r="E42" s="1966"/>
      <c r="F42" s="1967"/>
      <c r="G42" s="1968"/>
      <c r="H42" s="1966"/>
      <c r="I42" s="1969"/>
      <c r="J42">
        <v>1</v>
      </c>
    </row>
    <row r="43" spans="2:10" x14ac:dyDescent="0.35">
      <c r="B43" s="1843" t="str">
        <f>IF(BUDGET!A43=0,"",BUDGET!A43)</f>
        <v xml:space="preserve">    WAGES</v>
      </c>
      <c r="C43" s="1964" t="str">
        <f>IF(BUDGET!AP43=0,"",BUDGET!AP43)</f>
        <v/>
      </c>
      <c r="D43" s="1964"/>
      <c r="E43" s="1970"/>
      <c r="F43" s="1971"/>
      <c r="G43" s="1972"/>
      <c r="H43" s="1970"/>
      <c r="I43" s="1973"/>
      <c r="J43">
        <v>1</v>
      </c>
    </row>
    <row r="44" spans="2:10" x14ac:dyDescent="0.35">
      <c r="B44" s="1843" t="str">
        <f>IF(BUDGET!A44=0,"",BUDGET!A44)</f>
        <v xml:space="preserve">    OTHER</v>
      </c>
      <c r="C44" s="1964" t="str">
        <f>IF(BUDGET!AP44=0,"",BUDGET!AP44)</f>
        <v/>
      </c>
      <c r="D44" s="1964"/>
      <c r="E44" s="1970"/>
      <c r="F44" s="1971"/>
      <c r="G44" s="1972"/>
      <c r="H44" s="1970"/>
      <c r="I44" s="1973"/>
      <c r="J44">
        <v>1</v>
      </c>
    </row>
    <row r="45" spans="2:10" ht="13.15" x14ac:dyDescent="0.4">
      <c r="B45" s="1848" t="str">
        <f>IF(BUDGET!A45=0,"",BUDGET!A45)</f>
        <v xml:space="preserve">    TOTAL</v>
      </c>
      <c r="C45" s="1974" t="str">
        <f>IF(BUDGET!AP45=0,"",BUDGET!AP45)</f>
        <v/>
      </c>
      <c r="D45" s="1974"/>
      <c r="E45" s="1975"/>
      <c r="F45" s="1976"/>
      <c r="G45" s="1977"/>
      <c r="H45" s="1975"/>
      <c r="I45" s="1978"/>
      <c r="J45">
        <v>1</v>
      </c>
    </row>
    <row r="46" spans="2:10" x14ac:dyDescent="0.35">
      <c r="B46" s="1845" t="str">
        <f>IF(BUDGET!A46=0,"",BUDGET!A46)</f>
        <v/>
      </c>
      <c r="C46" s="1979" t="str">
        <f>IF(BUDGET!AP46=0,"",BUDGET!AP46)</f>
        <v/>
      </c>
      <c r="D46" s="1980"/>
      <c r="E46" s="1981"/>
      <c r="F46" s="1982"/>
      <c r="G46" s="1983"/>
      <c r="H46" s="1981"/>
      <c r="I46" s="1984"/>
      <c r="J46">
        <v>1</v>
      </c>
    </row>
    <row r="47" spans="2:10" x14ac:dyDescent="0.35">
      <c r="B47" s="1843" t="str">
        <f>IF(BUDGET!A47=0,"",BUDGET!A47)</f>
        <v>ACCOUNTANT</v>
      </c>
      <c r="C47" s="1707" t="str">
        <f>IF(BUDGET!AP47=0,"",BUDGET!AP47)</f>
        <v/>
      </c>
      <c r="D47" s="1712"/>
      <c r="E47" s="825"/>
      <c r="F47" s="1110"/>
      <c r="G47" s="1661"/>
      <c r="H47" s="825"/>
      <c r="I47" s="1766"/>
    </row>
    <row r="48" spans="2:10" x14ac:dyDescent="0.35">
      <c r="B48" s="1843" t="str">
        <f>IF(BUDGET!A48=0,"",BUDGET!A48)</f>
        <v xml:space="preserve">   SALARIES</v>
      </c>
      <c r="C48" s="1733">
        <f>IF(BUDGET!AP48=0,"",BUDGET!AP48)</f>
        <v>110664</v>
      </c>
      <c r="D48" s="1709"/>
      <c r="E48" s="810"/>
      <c r="F48" s="1410"/>
      <c r="G48" s="1658"/>
      <c r="H48" s="810"/>
      <c r="I48" s="1763"/>
    </row>
    <row r="49" spans="2:9" x14ac:dyDescent="0.35">
      <c r="B49" s="1843" t="str">
        <f>IF(BUDGET!A49=0,"",BUDGET!A49)</f>
        <v xml:space="preserve">   WAGES</v>
      </c>
      <c r="C49" s="1733">
        <f>IF(BUDGET!AP49=0,"",BUDGET!AP49)</f>
        <v>63793</v>
      </c>
      <c r="D49" s="1709"/>
      <c r="E49" s="810"/>
      <c r="F49" s="1410"/>
      <c r="G49" s="1658"/>
      <c r="H49" s="810"/>
      <c r="I49" s="1763"/>
    </row>
    <row r="50" spans="2:9" x14ac:dyDescent="0.35">
      <c r="B50" s="1843" t="str">
        <f>IF(BUDGET!A50=0,"",BUDGET!A50)</f>
        <v xml:space="preserve">   OTHER</v>
      </c>
      <c r="C50" s="1733">
        <f>IF(BUDGET!AP50=0,"",BUDGET!AP50)</f>
        <v>37026</v>
      </c>
      <c r="D50" s="1709"/>
      <c r="E50" s="810"/>
      <c r="F50" s="1410"/>
      <c r="G50" s="1658"/>
      <c r="H50" s="810"/>
      <c r="I50" s="1763"/>
    </row>
    <row r="51" spans="2:9" ht="13.15" x14ac:dyDescent="0.4">
      <c r="B51" s="1841" t="str">
        <f>IF(BUDGET!A51=0,"",BUDGET!A51)</f>
        <v xml:space="preserve">   TOTAL </v>
      </c>
      <c r="C51" s="1710">
        <f>IF(BUDGET!AP51=0,"",BUDGET!AP51)</f>
        <v>211483</v>
      </c>
      <c r="D51" s="1710"/>
      <c r="E51" s="785"/>
      <c r="F51" s="820"/>
      <c r="G51" s="1659"/>
      <c r="H51" s="785"/>
      <c r="I51" s="1764"/>
    </row>
    <row r="52" spans="2:9" x14ac:dyDescent="0.35">
      <c r="B52" s="1845" t="str">
        <f>IF(BUDGET!A52=0,"",BUDGET!A52)</f>
        <v/>
      </c>
      <c r="C52" s="1745" t="str">
        <f>IF(BUDGET!AP52=0,"",BUDGET!AP52)</f>
        <v/>
      </c>
      <c r="D52" s="1711"/>
      <c r="E52" s="822"/>
      <c r="F52" s="1160"/>
      <c r="G52" s="1660"/>
      <c r="H52" s="822"/>
      <c r="I52" s="1765"/>
    </row>
    <row r="53" spans="2:9" x14ac:dyDescent="0.35">
      <c r="B53" s="1843" t="str">
        <f>IF(BUDGET!A53=0,"",BUDGET!A53)</f>
        <v>ASSESSORS</v>
      </c>
      <c r="C53" s="1707" t="str">
        <f>IF(BUDGET!AP53=0,"",BUDGET!AP53)</f>
        <v/>
      </c>
      <c r="D53" s="1712"/>
      <c r="E53" s="825"/>
      <c r="F53" s="1110"/>
      <c r="G53" s="1661"/>
      <c r="H53" s="825"/>
      <c r="I53" s="1766"/>
    </row>
    <row r="54" spans="2:9" x14ac:dyDescent="0.35">
      <c r="B54" s="1843" t="str">
        <f>IF(BUDGET!A54=0,"",BUDGET!A54)</f>
        <v xml:space="preserve">   SALARIES </v>
      </c>
      <c r="C54" s="1733">
        <f>IF(BUDGET!AP54=0,"",BUDGET!AP54)</f>
        <v>96435</v>
      </c>
      <c r="D54" s="1709"/>
      <c r="E54" s="810"/>
      <c r="F54" s="1410"/>
      <c r="G54" s="1658"/>
      <c r="H54" s="810"/>
      <c r="I54" s="1763"/>
    </row>
    <row r="55" spans="2:9" x14ac:dyDescent="0.35">
      <c r="B55" s="1843" t="str">
        <f>IF(BUDGET!A55=0,"",BUDGET!A55)</f>
        <v xml:space="preserve">   WAGES </v>
      </c>
      <c r="C55" s="1733">
        <f>IF(BUDGET!AP55=0,"",BUDGET!AP55)</f>
        <v>51131</v>
      </c>
      <c r="D55" s="1709"/>
      <c r="E55" s="810"/>
      <c r="F55" s="1410"/>
      <c r="G55" s="1658"/>
      <c r="H55" s="810"/>
      <c r="I55" s="1763"/>
    </row>
    <row r="56" spans="2:9" x14ac:dyDescent="0.35">
      <c r="B56" s="1843" t="str">
        <f>IF(BUDGET!A56=0,"",BUDGET!A56)</f>
        <v xml:space="preserve">   OTHER</v>
      </c>
      <c r="C56" s="1733">
        <f>IF(BUDGET!AP56=0,"",BUDGET!AP56)</f>
        <v>55295</v>
      </c>
      <c r="D56" s="1709"/>
      <c r="E56" s="810"/>
      <c r="F56" s="1410"/>
      <c r="G56" s="1658"/>
      <c r="H56" s="810"/>
      <c r="I56" s="1763"/>
    </row>
    <row r="57" spans="2:9" ht="13.15" x14ac:dyDescent="0.4">
      <c r="B57" s="1849" t="str">
        <f>IF(BUDGET!A57=0,"",BUDGET!A57)</f>
        <v xml:space="preserve">   TOTAL</v>
      </c>
      <c r="C57" s="1710">
        <f>IF(BUDGET!AP57=0,"",BUDGET!AP57)</f>
        <v>202861</v>
      </c>
      <c r="D57" s="1710"/>
      <c r="E57" s="785"/>
      <c r="F57" s="820"/>
      <c r="G57" s="1659"/>
      <c r="H57" s="785"/>
      <c r="I57" s="1764"/>
    </row>
    <row r="58" spans="2:9" ht="13.15" x14ac:dyDescent="0.4">
      <c r="B58" s="1844" t="str">
        <f>IF(BUDGET!A58=0,"",BUDGET!A58)</f>
        <v/>
      </c>
      <c r="C58" s="1724" t="str">
        <f>IF(BUDGET!AP58=0,"",BUDGET!AP58)</f>
        <v/>
      </c>
      <c r="D58" s="1708"/>
      <c r="E58" s="800"/>
      <c r="F58" s="1621"/>
      <c r="G58" s="1657"/>
      <c r="H58" s="800"/>
      <c r="I58" s="1762"/>
    </row>
    <row r="59" spans="2:9" ht="13.15" x14ac:dyDescent="0.4">
      <c r="B59" s="1843" t="str">
        <f>IF(BUDGET!A59=0,"",BUDGET!A59)</f>
        <v>TREASURER/COLLECTOR</v>
      </c>
      <c r="C59" s="1710" t="str">
        <f>IF(BUDGET!AP59=0,"",BUDGET!AP59)</f>
        <v/>
      </c>
      <c r="D59" s="1717"/>
      <c r="E59" s="827"/>
      <c r="F59" s="1127"/>
      <c r="G59" s="1666"/>
      <c r="H59" s="827"/>
      <c r="I59" s="1771"/>
    </row>
    <row r="60" spans="2:9" x14ac:dyDescent="0.35">
      <c r="B60" s="1843" t="str">
        <f>IF(BUDGET!A60=0,"",BUDGET!A60)</f>
        <v xml:space="preserve">   SALARIES</v>
      </c>
      <c r="C60" s="1733">
        <f>IF(BUDGET!AP60=0,"",BUDGET!AP60)</f>
        <v>110664</v>
      </c>
      <c r="D60" s="1709"/>
      <c r="E60" s="810"/>
      <c r="F60" s="1410"/>
      <c r="G60" s="1658"/>
      <c r="H60" s="810"/>
      <c r="I60" s="1763"/>
    </row>
    <row r="61" spans="2:9" x14ac:dyDescent="0.35">
      <c r="B61" s="1843" t="str">
        <f>IF(BUDGET!A61=0,"",BUDGET!A61)</f>
        <v xml:space="preserve">   WAGES</v>
      </c>
      <c r="C61" s="1733">
        <f>IF(BUDGET!AP61=0,"",BUDGET!AP61)</f>
        <v>112839</v>
      </c>
      <c r="D61" s="1709"/>
      <c r="E61" s="810"/>
      <c r="F61" s="1410"/>
      <c r="G61" s="1658"/>
      <c r="H61" s="810"/>
      <c r="I61" s="1763"/>
    </row>
    <row r="62" spans="2:9" x14ac:dyDescent="0.35">
      <c r="B62" s="1843" t="str">
        <f>IF(BUDGET!A62=0,"",BUDGET!A62)</f>
        <v xml:space="preserve">   OTHER</v>
      </c>
      <c r="C62" s="1733">
        <f>IF(BUDGET!AP62=0,"",BUDGET!AP62)</f>
        <v>52068</v>
      </c>
      <c r="D62" s="1709"/>
      <c r="E62" s="810"/>
      <c r="F62" s="1410"/>
      <c r="G62" s="1658"/>
      <c r="H62" s="810"/>
      <c r="I62" s="1763"/>
    </row>
    <row r="63" spans="2:9" ht="13.15" x14ac:dyDescent="0.4">
      <c r="B63" s="1841" t="str">
        <f>IF(BUDGET!A63=0,"",BUDGET!A63)</f>
        <v xml:space="preserve">  GASB-45</v>
      </c>
      <c r="C63" s="1733">
        <f>IF(BUDGET!AP63=0,"",BUDGET!AP63)</f>
        <v>8100</v>
      </c>
      <c r="D63" s="1709"/>
      <c r="E63" s="810"/>
      <c r="F63" s="1410"/>
      <c r="G63" s="1658"/>
      <c r="H63" s="810"/>
      <c r="I63" s="1763"/>
    </row>
    <row r="64" spans="2:9" ht="13.15" x14ac:dyDescent="0.4">
      <c r="B64" s="1841" t="str">
        <f>IF(BUDGET!A64=0,"",BUDGET!A64)</f>
        <v xml:space="preserve"> TOTAL-GASB-45</v>
      </c>
      <c r="C64" s="1710">
        <f>IF(BUDGET!AP64=0,"",BUDGET!AP64)</f>
        <v>283671</v>
      </c>
      <c r="D64" s="1710"/>
      <c r="E64" s="785"/>
      <c r="F64" s="820"/>
      <c r="G64" s="1659"/>
      <c r="H64" s="785"/>
      <c r="I64" s="1764"/>
    </row>
    <row r="65" spans="2:10" x14ac:dyDescent="0.35">
      <c r="B65" s="1850" t="str">
        <f>IF(BUDGET!A65=0,"",BUDGET!A65)</f>
        <v/>
      </c>
      <c r="C65" s="1745" t="str">
        <f>IF(BUDGET!AP65=0,"",BUDGET!AP65)</f>
        <v/>
      </c>
      <c r="D65" s="1711"/>
      <c r="E65" s="822"/>
      <c r="F65" s="1160"/>
      <c r="G65" s="1660"/>
      <c r="H65" s="822"/>
      <c r="I65" s="1765"/>
    </row>
    <row r="66" spans="2:10" x14ac:dyDescent="0.35">
      <c r="B66" s="1843" t="str">
        <f>IF(BUDGET!A66=0,"",BUDGET!A66)</f>
        <v>TOWN HALL</v>
      </c>
      <c r="C66" s="1707" t="str">
        <f>IF(BUDGET!AP66=0,"",BUDGET!AP66)</f>
        <v/>
      </c>
      <c r="D66" s="1712"/>
      <c r="E66" s="825"/>
      <c r="F66" s="1110"/>
      <c r="G66" s="1661"/>
      <c r="H66" s="825"/>
      <c r="I66" s="1766"/>
    </row>
    <row r="67" spans="2:10" x14ac:dyDescent="0.35">
      <c r="B67" s="1843" t="str">
        <f>IF(BUDGET!A67=0,"",BUDGET!A67)</f>
        <v xml:space="preserve">   WAGES</v>
      </c>
      <c r="C67" s="1707" t="str">
        <f>IF(BUDGET!AP67=0,"",BUDGET!AP67)</f>
        <v/>
      </c>
      <c r="D67" s="1707"/>
      <c r="E67" s="788"/>
      <c r="F67" s="841"/>
      <c r="G67" s="1959"/>
      <c r="H67" s="788"/>
      <c r="I67" s="1761"/>
    </row>
    <row r="68" spans="2:10" x14ac:dyDescent="0.35">
      <c r="B68" s="1843" t="str">
        <f>IF(BUDGET!A68=0,"",BUDGET!A68)</f>
        <v xml:space="preserve">   OTHER</v>
      </c>
      <c r="C68" s="1733">
        <f>IF(BUDGET!AP68=0,"",BUDGET!AP68)</f>
        <v>261841</v>
      </c>
      <c r="D68" s="1709"/>
      <c r="E68" s="810"/>
      <c r="F68" s="1410"/>
      <c r="G68" s="1957"/>
      <c r="H68" s="1956"/>
      <c r="I68" s="1960"/>
    </row>
    <row r="69" spans="2:10" ht="13.15" x14ac:dyDescent="0.4">
      <c r="B69" s="1841" t="str">
        <f>IF(BUDGET!A69=0,"",BUDGET!A69)</f>
        <v xml:space="preserve">   TOTAL </v>
      </c>
      <c r="C69" s="1718">
        <f>IF(BUDGET!AP69=0,"",BUDGET!AP69)</f>
        <v>261841</v>
      </c>
      <c r="D69" s="1718"/>
      <c r="E69" s="819"/>
      <c r="F69" s="1057"/>
      <c r="G69" s="1958"/>
      <c r="H69" s="819"/>
      <c r="I69" s="1772"/>
    </row>
    <row r="70" spans="2:10" ht="13.15" x14ac:dyDescent="0.4">
      <c r="B70" s="1844" t="str">
        <f>IF(BUDGET!A70=0,"",BUDGET!A70)</f>
        <v/>
      </c>
      <c r="C70" s="1724" t="str">
        <f>IF(BUDGET!AP70=0,"",BUDGET!AP70)</f>
        <v/>
      </c>
      <c r="D70" s="1708"/>
      <c r="E70" s="800"/>
      <c r="F70" s="1621"/>
      <c r="G70" s="1657"/>
      <c r="H70" s="800"/>
      <c r="I70" s="1762"/>
    </row>
    <row r="71" spans="2:10" ht="13.15" x14ac:dyDescent="0.4">
      <c r="B71" s="1843" t="str">
        <f>IF(BUDGET!A71=0,"",BUDGET!A71)</f>
        <v>SCHOOL STREET BUILDING</v>
      </c>
      <c r="C71" s="1710" t="str">
        <f>IF(BUDGET!AP71=0,"",BUDGET!AP71)</f>
        <v/>
      </c>
      <c r="D71" s="1717"/>
      <c r="E71" s="827"/>
      <c r="F71" s="1127"/>
      <c r="G71" s="1666"/>
      <c r="H71" s="827"/>
      <c r="I71" s="1771"/>
    </row>
    <row r="72" spans="2:10" x14ac:dyDescent="0.35">
      <c r="B72" s="1843" t="str">
        <f>IF(BUDGET!A72=0,"",BUDGET!A72)</f>
        <v xml:space="preserve">   OTHER</v>
      </c>
      <c r="C72" s="1733">
        <f>IF(BUDGET!AP72=0,"",BUDGET!AP72)</f>
        <v>625</v>
      </c>
      <c r="D72" s="1709"/>
      <c r="E72" s="810"/>
      <c r="F72" s="1410"/>
      <c r="G72" s="1658"/>
      <c r="H72" s="897"/>
      <c r="I72" s="1960"/>
    </row>
    <row r="73" spans="2:10" ht="13.15" x14ac:dyDescent="0.4">
      <c r="B73" s="1841" t="str">
        <f>IF(BUDGET!A73=0,"",BUDGET!A73)</f>
        <v xml:space="preserve">  TOTAL</v>
      </c>
      <c r="C73" s="1710">
        <f>IF(BUDGET!AP73=0,"",BUDGET!AP73)</f>
        <v>625</v>
      </c>
      <c r="D73" s="1710"/>
      <c r="E73" s="785"/>
      <c r="F73" s="820"/>
      <c r="G73" s="1659"/>
      <c r="H73" s="785"/>
      <c r="I73" s="1764"/>
    </row>
    <row r="74" spans="2:10" x14ac:dyDescent="0.35">
      <c r="B74" s="1845" t="str">
        <f>IF(BUDGET!A74=0,"",BUDGET!A74)</f>
        <v/>
      </c>
      <c r="C74" s="1745" t="str">
        <f>IF(BUDGET!AP74=0,"",BUDGET!AP74)</f>
        <v/>
      </c>
      <c r="D74" s="1711"/>
      <c r="E74" s="822"/>
      <c r="F74" s="1160"/>
      <c r="G74" s="1660"/>
      <c r="H74" s="822"/>
      <c r="I74" s="1765"/>
    </row>
    <row r="75" spans="2:10" x14ac:dyDescent="0.35">
      <c r="B75" s="1843" t="str">
        <f>IF(BUDGET!A75=0,"",BUDGET!A75)</f>
        <v>PERSONNEL BOARD</v>
      </c>
      <c r="C75" s="1964" t="str">
        <f>IF(BUDGET!AP75=0,"",BUDGET!AP75)</f>
        <v/>
      </c>
      <c r="D75" s="1965"/>
      <c r="E75" s="1966"/>
      <c r="F75" s="1967"/>
      <c r="G75" s="1968"/>
      <c r="H75" s="1966"/>
      <c r="I75" s="1969"/>
      <c r="J75">
        <v>1</v>
      </c>
    </row>
    <row r="76" spans="2:10" x14ac:dyDescent="0.35">
      <c r="B76" s="1843" t="str">
        <f>IF(BUDGET!A76=0,"",BUDGET!A76)</f>
        <v xml:space="preserve">   WAGES</v>
      </c>
      <c r="C76" s="1964" t="str">
        <f>IF(BUDGET!AP76=0,"",BUDGET!AP76)</f>
        <v/>
      </c>
      <c r="D76" s="1964"/>
      <c r="E76" s="1970"/>
      <c r="F76" s="1971"/>
      <c r="G76" s="1972"/>
      <c r="H76" s="1970"/>
      <c r="I76" s="1973"/>
      <c r="J76">
        <v>1</v>
      </c>
    </row>
    <row r="77" spans="2:10" ht="13.15" x14ac:dyDescent="0.4">
      <c r="B77" s="1843" t="str">
        <f>IF(BUDGET!A77=0,"",BUDGET!A77)</f>
        <v xml:space="preserve">   OTHER</v>
      </c>
      <c r="C77" s="1974" t="str">
        <f>IF(BUDGET!AP77=0,"",BUDGET!AP77)</f>
        <v/>
      </c>
      <c r="D77" s="1974"/>
      <c r="E77" s="1975"/>
      <c r="F77" s="1976"/>
      <c r="G77" s="1977"/>
      <c r="H77" s="1975"/>
      <c r="I77" s="1978"/>
      <c r="J77">
        <v>1</v>
      </c>
    </row>
    <row r="78" spans="2:10" ht="13.15" x14ac:dyDescent="0.4">
      <c r="B78" s="1841" t="str">
        <f>IF(BUDGET!A78=0,"",BUDGET!A78)</f>
        <v xml:space="preserve">   TOTAL</v>
      </c>
      <c r="C78" s="1974" t="str">
        <f>IF(BUDGET!AP78=0,"",BUDGET!AP78)</f>
        <v/>
      </c>
      <c r="D78" s="1974"/>
      <c r="E78" s="1975"/>
      <c r="F78" s="1976"/>
      <c r="G78" s="1977"/>
      <c r="H78" s="1975"/>
      <c r="I78" s="1978"/>
      <c r="J78">
        <v>1</v>
      </c>
    </row>
    <row r="79" spans="2:10" x14ac:dyDescent="0.35">
      <c r="B79" s="1851" t="str">
        <f>IF(BUDGET!A79=0,"",BUDGET!A79)</f>
        <v/>
      </c>
      <c r="C79" s="1979" t="str">
        <f>IF(BUDGET!AP79=0,"",BUDGET!AP79)</f>
        <v/>
      </c>
      <c r="D79" s="1980"/>
      <c r="E79" s="1981"/>
      <c r="F79" s="1982"/>
      <c r="G79" s="1983"/>
      <c r="H79" s="1981"/>
      <c r="I79" s="1984"/>
      <c r="J79">
        <v>1</v>
      </c>
    </row>
    <row r="80" spans="2:10" x14ac:dyDescent="0.35">
      <c r="B80" s="1843" t="str">
        <f>IF(BUDGET!A80=0,"",BUDGET!A80)</f>
        <v>TOWN CLERK</v>
      </c>
      <c r="C80" s="1707" t="str">
        <f>IF(BUDGET!AP80=0,"",BUDGET!AP80)</f>
        <v/>
      </c>
      <c r="D80" s="1712"/>
      <c r="E80" s="825"/>
      <c r="F80" s="1110"/>
      <c r="G80" s="1661"/>
      <c r="H80" s="825"/>
      <c r="I80" s="1766"/>
    </row>
    <row r="81" spans="2:10" x14ac:dyDescent="0.35">
      <c r="B81" s="1843" t="str">
        <f>IF(BUDGET!A81=0,"",BUDGET!A81)</f>
        <v xml:space="preserve">   SALARIES</v>
      </c>
      <c r="C81" s="1733">
        <f>IF(BUDGET!AP81=0,"",BUDGET!AP81)</f>
        <v>78509</v>
      </c>
      <c r="D81" s="1709"/>
      <c r="E81" s="810"/>
      <c r="F81" s="1410"/>
      <c r="G81" s="1658"/>
      <c r="H81" s="810"/>
      <c r="I81" s="1763"/>
    </row>
    <row r="82" spans="2:10" x14ac:dyDescent="0.35">
      <c r="B82" s="1843" t="str">
        <f>IF(BUDGET!A82=0,"",BUDGET!A82)</f>
        <v xml:space="preserve">   WAGES</v>
      </c>
      <c r="C82" s="1733">
        <f>IF(BUDGET!AP82=0,"",BUDGET!AP82)</f>
        <v>38307</v>
      </c>
      <c r="D82" s="1709"/>
      <c r="E82" s="810"/>
      <c r="F82" s="1410"/>
      <c r="G82" s="1658"/>
      <c r="H82" s="810"/>
      <c r="I82" s="1763"/>
    </row>
    <row r="83" spans="2:10" x14ac:dyDescent="0.35">
      <c r="B83" s="1843" t="str">
        <f>IF(BUDGET!A83=0,"",BUDGET!A83)</f>
        <v xml:space="preserve">   OTHER</v>
      </c>
      <c r="C83" s="1733">
        <f>IF(BUDGET!AP83=0,"",BUDGET!AP83)</f>
        <v>23277</v>
      </c>
      <c r="D83" s="1709"/>
      <c r="E83" s="810"/>
      <c r="F83" s="1410"/>
      <c r="G83" s="1658"/>
      <c r="H83" s="1956"/>
      <c r="I83" s="1960"/>
    </row>
    <row r="84" spans="2:10" ht="13.15" x14ac:dyDescent="0.4">
      <c r="B84" s="1841" t="str">
        <f>IF(BUDGET!A84=0,"",BUDGET!A84)</f>
        <v xml:space="preserve">   TOTAL</v>
      </c>
      <c r="C84" s="1710">
        <f>IF(BUDGET!AP84=0,"",BUDGET!AP84)</f>
        <v>140093</v>
      </c>
      <c r="D84" s="1710"/>
      <c r="E84" s="785"/>
      <c r="F84" s="820"/>
      <c r="G84" s="1659"/>
      <c r="H84" s="785"/>
      <c r="I84" s="1764"/>
    </row>
    <row r="85" spans="2:10" x14ac:dyDescent="0.35">
      <c r="B85" s="1845" t="str">
        <f>IF(BUDGET!A85=0,"",BUDGET!A85)</f>
        <v/>
      </c>
      <c r="C85" s="1745" t="str">
        <f>IF(BUDGET!AP85=0,"",BUDGET!AP85)</f>
        <v/>
      </c>
      <c r="D85" s="1711"/>
      <c r="E85" s="822"/>
      <c r="F85" s="1160"/>
      <c r="G85" s="1660"/>
      <c r="H85" s="822"/>
      <c r="I85" s="1765"/>
    </row>
    <row r="86" spans="2:10" x14ac:dyDescent="0.35">
      <c r="B86" s="1843" t="str">
        <f>IF(BUDGET!A86=0,"",BUDGET!A86)</f>
        <v>TRUST FUND CLERK</v>
      </c>
      <c r="C86" s="1964" t="str">
        <f>IF(BUDGET!AP86=0,"",BUDGET!AP86)</f>
        <v/>
      </c>
      <c r="D86" s="1965"/>
      <c r="E86" s="1966"/>
      <c r="F86" s="1967"/>
      <c r="G86" s="1968"/>
      <c r="H86" s="1966"/>
      <c r="I86" s="1969"/>
      <c r="J86">
        <v>1</v>
      </c>
    </row>
    <row r="87" spans="2:10" x14ac:dyDescent="0.35">
      <c r="B87" s="1843" t="str">
        <f>IF(BUDGET!A87=0,"",BUDGET!A87)</f>
        <v xml:space="preserve">   SALARY</v>
      </c>
      <c r="C87" s="1964" t="str">
        <f>IF(BUDGET!AP87=0,"",BUDGET!AP87)</f>
        <v/>
      </c>
      <c r="D87" s="1964"/>
      <c r="E87" s="1970"/>
      <c r="F87" s="1971"/>
      <c r="G87" s="1972"/>
      <c r="H87" s="1970"/>
      <c r="I87" s="1973"/>
      <c r="J87">
        <v>1</v>
      </c>
    </row>
    <row r="88" spans="2:10" x14ac:dyDescent="0.35">
      <c r="B88" s="1843" t="str">
        <f>IF(BUDGET!A88=0,"",BUDGET!A88)</f>
        <v xml:space="preserve">   WAGES</v>
      </c>
      <c r="C88" s="1964" t="str">
        <f>IF(BUDGET!AP88=0,"",BUDGET!AP88)</f>
        <v/>
      </c>
      <c r="D88" s="1964"/>
      <c r="E88" s="1970"/>
      <c r="F88" s="1971"/>
      <c r="G88" s="1972"/>
      <c r="H88" s="1970"/>
      <c r="I88" s="1973"/>
      <c r="J88">
        <v>1</v>
      </c>
    </row>
    <row r="89" spans="2:10" x14ac:dyDescent="0.35">
      <c r="B89" s="1843" t="str">
        <f>IF(BUDGET!A89=0,"",BUDGET!A89)</f>
        <v xml:space="preserve">   OTHER</v>
      </c>
      <c r="C89" s="1985" t="str">
        <f>IF(BUDGET!AP89=0,"",BUDGET!AP89)</f>
        <v/>
      </c>
      <c r="D89" s="1986"/>
      <c r="E89" s="1987"/>
      <c r="F89" s="1988"/>
      <c r="G89" s="1989"/>
      <c r="H89" s="1987"/>
      <c r="I89" s="1990"/>
      <c r="J89">
        <v>1</v>
      </c>
    </row>
    <row r="90" spans="2:10" ht="13.15" x14ac:dyDescent="0.4">
      <c r="B90" s="1841" t="str">
        <f>IF(BUDGET!A90=0,"",BUDGET!A90)</f>
        <v xml:space="preserve">   TOTAL</v>
      </c>
      <c r="C90" s="1974" t="str">
        <f>IF(BUDGET!AP90=0,"",BUDGET!AP90)</f>
        <v/>
      </c>
      <c r="D90" s="1974"/>
      <c r="E90" s="1975"/>
      <c r="F90" s="1976"/>
      <c r="G90" s="1977"/>
      <c r="H90" s="1975"/>
      <c r="I90" s="1978"/>
      <c r="J90">
        <v>1</v>
      </c>
    </row>
    <row r="91" spans="2:10" x14ac:dyDescent="0.35">
      <c r="B91" s="1845" t="str">
        <f>IF(BUDGET!A91=0,"",BUDGET!A91)</f>
        <v/>
      </c>
      <c r="C91" s="1745" t="str">
        <f>IF(BUDGET!AP91=0,"",BUDGET!AP91)</f>
        <v/>
      </c>
      <c r="D91" s="1711"/>
      <c r="E91" s="822"/>
      <c r="F91" s="1160"/>
      <c r="G91" s="1660"/>
      <c r="H91" s="822"/>
      <c r="I91" s="1765"/>
    </row>
    <row r="92" spans="2:10" x14ac:dyDescent="0.35">
      <c r="B92" s="1843" t="str">
        <f>IF(BUDGET!A92=0,"",BUDGET!A92)</f>
        <v>CONSERVATION COMMISSION</v>
      </c>
      <c r="C92" s="1707" t="str">
        <f>IF(BUDGET!AP92=0,"",BUDGET!AP92)</f>
        <v/>
      </c>
      <c r="D92" s="1712"/>
      <c r="E92" s="825"/>
      <c r="F92" s="1110"/>
      <c r="G92" s="1661"/>
      <c r="H92" s="825"/>
      <c r="I92" s="1766"/>
    </row>
    <row r="93" spans="2:10" x14ac:dyDescent="0.35">
      <c r="B93" s="1843" t="str">
        <f>IF(BUDGET!A93=0,"",BUDGET!A93)</f>
        <v xml:space="preserve">   SALARIES</v>
      </c>
      <c r="C93" s="1733">
        <f>IF(BUDGET!AP93=0,"",BUDGET!AP93)</f>
        <v>72726</v>
      </c>
      <c r="D93" s="1709"/>
      <c r="E93" s="810"/>
      <c r="F93" s="1410"/>
      <c r="G93" s="1658"/>
      <c r="H93" s="810"/>
      <c r="I93" s="1763"/>
    </row>
    <row r="94" spans="2:10" x14ac:dyDescent="0.35">
      <c r="B94" s="1843" t="str">
        <f>IF(BUDGET!A94=0,"",BUDGET!A94)</f>
        <v xml:space="preserve">   WAGES</v>
      </c>
      <c r="C94" s="1733">
        <f>IF(BUDGET!AP94=0,"",BUDGET!AP94)</f>
        <v>25681</v>
      </c>
      <c r="D94" s="1709"/>
      <c r="E94" s="810"/>
      <c r="F94" s="1410"/>
      <c r="G94" s="1658"/>
      <c r="H94" s="810"/>
      <c r="I94" s="1763"/>
    </row>
    <row r="95" spans="2:10" x14ac:dyDescent="0.35">
      <c r="B95" s="1843" t="str">
        <f>IF(BUDGET!A95=0,"",BUDGET!A95)</f>
        <v xml:space="preserve">   OTHER</v>
      </c>
      <c r="C95" s="1707" t="str">
        <f>IF(BUDGET!AP95=0,"",BUDGET!AP95)</f>
        <v/>
      </c>
      <c r="D95" s="1707"/>
      <c r="E95" s="788"/>
      <c r="F95" s="841"/>
      <c r="G95" s="1656"/>
      <c r="H95" s="788"/>
      <c r="I95" s="1761"/>
    </row>
    <row r="96" spans="2:10" ht="13.15" x14ac:dyDescent="0.4">
      <c r="B96" s="1841" t="str">
        <f>IF(BUDGET!A96=0,"",BUDGET!A96)</f>
        <v xml:space="preserve">   TOTAL</v>
      </c>
      <c r="C96" s="1710">
        <f>IF(BUDGET!AP96=0,"",BUDGET!AP96)</f>
        <v>98407</v>
      </c>
      <c r="D96" s="1710"/>
      <c r="E96" s="785"/>
      <c r="F96" s="820"/>
      <c r="G96" s="1659"/>
      <c r="H96" s="785"/>
      <c r="I96" s="1764"/>
    </row>
    <row r="97" spans="2:10" x14ac:dyDescent="0.35">
      <c r="B97" s="1845" t="str">
        <f>IF(BUDGET!A97=0,"",BUDGET!A97)</f>
        <v/>
      </c>
      <c r="C97" s="1745" t="str">
        <f>IF(BUDGET!AP97=0,"",BUDGET!AP97)</f>
        <v/>
      </c>
      <c r="D97" s="1711"/>
      <c r="E97" s="822"/>
      <c r="F97" s="1160"/>
      <c r="G97" s="1660"/>
      <c r="H97" s="822"/>
      <c r="I97" s="1765"/>
    </row>
    <row r="98" spans="2:10" x14ac:dyDescent="0.35">
      <c r="B98" s="1843" t="str">
        <f>IF(BUDGET!A98=0,"",BUDGET!A98)</f>
        <v>OPEN SPACE COMMITTEE</v>
      </c>
      <c r="C98" s="1964" t="str">
        <f>IF(BUDGET!AP98=0,"",BUDGET!AP98)</f>
        <v/>
      </c>
      <c r="D98" s="1965"/>
      <c r="E98" s="1966"/>
      <c r="F98" s="1967"/>
      <c r="G98" s="1968"/>
      <c r="H98" s="1966"/>
      <c r="I98" s="1969"/>
      <c r="J98">
        <v>1</v>
      </c>
    </row>
    <row r="99" spans="2:10" x14ac:dyDescent="0.35">
      <c r="B99" s="1843" t="str">
        <f>IF(BUDGET!A99=0,"",BUDGET!A99)</f>
        <v xml:space="preserve">   OTHER </v>
      </c>
      <c r="C99" s="1964" t="str">
        <f>IF(BUDGET!AP99=0,"",BUDGET!AP99)</f>
        <v/>
      </c>
      <c r="D99" s="1964"/>
      <c r="E99" s="1970"/>
      <c r="F99" s="1971"/>
      <c r="G99" s="1972"/>
      <c r="H99" s="1970"/>
      <c r="I99" s="1973"/>
      <c r="J99">
        <v>1</v>
      </c>
    </row>
    <row r="100" spans="2:10" ht="13.15" x14ac:dyDescent="0.4">
      <c r="B100" s="1841" t="str">
        <f>IF(BUDGET!A100=0,"",BUDGET!A100)</f>
        <v xml:space="preserve">   TOTAL</v>
      </c>
      <c r="C100" s="1974" t="str">
        <f>IF(BUDGET!AP100=0,"",BUDGET!AP100)</f>
        <v/>
      </c>
      <c r="D100" s="1974"/>
      <c r="E100" s="1975"/>
      <c r="F100" s="1976"/>
      <c r="G100" s="1977"/>
      <c r="H100" s="1975"/>
      <c r="I100" s="1978"/>
      <c r="J100">
        <v>1</v>
      </c>
    </row>
    <row r="101" spans="2:10" x14ac:dyDescent="0.35">
      <c r="B101" s="1845" t="str">
        <f>IF(BUDGET!A101=0,"",BUDGET!A101)</f>
        <v/>
      </c>
      <c r="C101" s="1979" t="str">
        <f>IF(BUDGET!AP101=0,"",BUDGET!AP101)</f>
        <v/>
      </c>
      <c r="D101" s="1980"/>
      <c r="E101" s="1981"/>
      <c r="F101" s="1982"/>
      <c r="G101" s="1983"/>
      <c r="H101" s="1981"/>
      <c r="I101" s="1984"/>
      <c r="J101">
        <v>1</v>
      </c>
    </row>
    <row r="102" spans="2:10" x14ac:dyDescent="0.35">
      <c r="B102" s="1843" t="str">
        <f>IF(BUDGET!A102=0,"",BUDGET!A102)</f>
        <v>PLANNING BOARD</v>
      </c>
      <c r="C102" s="1707" t="str">
        <f>IF(BUDGET!AP102=0,"",BUDGET!AP102)</f>
        <v/>
      </c>
      <c r="D102" s="1712"/>
      <c r="E102" s="825"/>
      <c r="F102" s="1110"/>
      <c r="G102" s="1661"/>
      <c r="H102" s="825"/>
      <c r="I102" s="1766"/>
    </row>
    <row r="103" spans="2:10" x14ac:dyDescent="0.35">
      <c r="B103" s="1843" t="str">
        <f>IF(BUDGET!A103=0,"",BUDGET!A103)</f>
        <v xml:space="preserve">   SALARIES</v>
      </c>
      <c r="C103" s="1707">
        <f>IF(BUDGET!AP103=0,"",BUDGET!AP103)</f>
        <v>5</v>
      </c>
      <c r="D103" s="1707"/>
      <c r="E103" s="788"/>
      <c r="F103" s="841"/>
      <c r="G103" s="1656"/>
      <c r="H103" s="788"/>
      <c r="I103" s="1761"/>
    </row>
    <row r="104" spans="2:10" x14ac:dyDescent="0.35">
      <c r="B104" s="1843" t="str">
        <f>IF(BUDGET!A104=0,"",BUDGET!A104)</f>
        <v xml:space="preserve">   WAGES</v>
      </c>
      <c r="C104" s="1852" t="str">
        <f>IF(BUDGET!AP104=0,"",BUDGET!AP104)</f>
        <v/>
      </c>
      <c r="D104" s="1719"/>
      <c r="E104" s="897"/>
      <c r="F104" s="1625"/>
      <c r="G104" s="1667"/>
      <c r="H104" s="897"/>
      <c r="I104" s="1773"/>
    </row>
    <row r="105" spans="2:10" x14ac:dyDescent="0.35">
      <c r="B105" s="1843" t="str">
        <f>IF(BUDGET!A105=0,"",BUDGET!A105)</f>
        <v xml:space="preserve">   OTHER</v>
      </c>
      <c r="C105" s="1733">
        <f>IF(BUDGET!AP105=0,"",BUDGET!AP105)</f>
        <v>1750</v>
      </c>
      <c r="D105" s="1709"/>
      <c r="E105" s="810"/>
      <c r="F105" s="1410"/>
      <c r="G105" s="1658"/>
      <c r="H105" s="810"/>
      <c r="I105" s="1763"/>
    </row>
    <row r="106" spans="2:10" ht="13.15" x14ac:dyDescent="0.4">
      <c r="B106" s="1841" t="str">
        <f>IF(BUDGET!A106=0,"",BUDGET!A106)</f>
        <v xml:space="preserve">   TOTAL</v>
      </c>
      <c r="C106" s="1710">
        <f>IF(BUDGET!AP106=0,"",BUDGET!AP106)</f>
        <v>1755</v>
      </c>
      <c r="D106" s="1710"/>
      <c r="E106" s="785"/>
      <c r="F106" s="820"/>
      <c r="G106" s="1659"/>
      <c r="H106" s="785"/>
      <c r="I106" s="1764"/>
    </row>
    <row r="107" spans="2:10" ht="13.15" x14ac:dyDescent="0.4">
      <c r="B107" s="1844" t="str">
        <f>IF(BUDGET!A107=0,"",BUDGET!A107)</f>
        <v/>
      </c>
      <c r="C107" s="1745" t="str">
        <f>IF(BUDGET!AP107=0,"",BUDGET!AP107)</f>
        <v/>
      </c>
      <c r="D107" s="1711"/>
      <c r="E107" s="822"/>
      <c r="F107" s="1160"/>
      <c r="G107" s="1660"/>
      <c r="H107" s="822"/>
      <c r="I107" s="1765"/>
    </row>
    <row r="108" spans="2:10" x14ac:dyDescent="0.35">
      <c r="B108" s="1853" t="str">
        <f>IF(BUDGET!A108=0,"",BUDGET!A108)</f>
        <v>ZONING BOARD OF APPEALS</v>
      </c>
      <c r="C108" s="1854" t="str">
        <f>IF(BUDGET!AP108=0,"",BUDGET!AP108)</f>
        <v/>
      </c>
      <c r="D108" s="1808"/>
      <c r="E108" s="1809"/>
      <c r="F108" s="1810"/>
      <c r="G108" s="1811"/>
      <c r="H108" s="1809"/>
      <c r="I108" s="1812"/>
    </row>
    <row r="109" spans="2:10" x14ac:dyDescent="0.35">
      <c r="B109" s="1843" t="str">
        <f>IF(BUDGET!A109=0,"",BUDGET!A109)</f>
        <v xml:space="preserve">   SALARIES</v>
      </c>
      <c r="C109" s="1707" t="str">
        <f>IF(BUDGET!AP109=0,"",BUDGET!AP109)</f>
        <v/>
      </c>
      <c r="D109" s="1712"/>
      <c r="E109" s="825"/>
      <c r="F109" s="1110"/>
      <c r="G109" s="1661"/>
      <c r="H109" s="825"/>
      <c r="I109" s="1766"/>
    </row>
    <row r="110" spans="2:10" x14ac:dyDescent="0.35">
      <c r="B110" s="1843" t="str">
        <f>IF(BUDGET!A110=0,"",BUDGET!A110)</f>
        <v xml:space="preserve">   WAGES</v>
      </c>
      <c r="C110" s="1707" t="str">
        <f>IF(BUDGET!AP110=0,"",BUDGET!AP110)</f>
        <v/>
      </c>
      <c r="D110" s="1712"/>
      <c r="E110" s="825"/>
      <c r="F110" s="1110"/>
      <c r="G110" s="1661"/>
      <c r="H110" s="825"/>
      <c r="I110" s="1766"/>
    </row>
    <row r="111" spans="2:10" x14ac:dyDescent="0.35">
      <c r="B111" s="1843" t="str">
        <f>IF(BUDGET!A111=0,"",BUDGET!A111)</f>
        <v xml:space="preserve">   OTHER</v>
      </c>
      <c r="C111" s="1733">
        <f>IF(BUDGET!AP111=0,"",BUDGET!AP111)</f>
        <v>750</v>
      </c>
      <c r="D111" s="1709"/>
      <c r="E111" s="810"/>
      <c r="F111" s="1410"/>
      <c r="G111" s="1658"/>
      <c r="H111" s="810"/>
      <c r="I111" s="1763"/>
    </row>
    <row r="112" spans="2:10" ht="13.15" x14ac:dyDescent="0.4">
      <c r="B112" s="1841" t="str">
        <f>IF(BUDGET!A112=0,"",BUDGET!A112)</f>
        <v xml:space="preserve">   TOTAL</v>
      </c>
      <c r="C112" s="1710">
        <f>IF(BUDGET!AP112=0,"",BUDGET!AP112)</f>
        <v>750</v>
      </c>
      <c r="D112" s="1710"/>
      <c r="E112" s="785"/>
      <c r="F112" s="820"/>
      <c r="G112" s="1659"/>
      <c r="H112" s="785"/>
      <c r="I112" s="1764"/>
    </row>
    <row r="113" spans="2:9" x14ac:dyDescent="0.35">
      <c r="B113" s="1845" t="str">
        <f>IF(BUDGET!A113=0,"",BUDGET!A113)</f>
        <v/>
      </c>
      <c r="C113" s="1745" t="str">
        <f>IF(BUDGET!AP113=0,"",BUDGET!AP113)</f>
        <v/>
      </c>
      <c r="D113" s="1711"/>
      <c r="E113" s="822"/>
      <c r="F113" s="1160"/>
      <c r="G113" s="1660"/>
      <c r="H113" s="822"/>
      <c r="I113" s="1765"/>
    </row>
    <row r="114" spans="2:9" ht="13.15" x14ac:dyDescent="0.4">
      <c r="B114" s="1841" t="str">
        <f>IF(BUDGET!A114=0,"",BUDGET!A114)</f>
        <v>GENERAL GOV'T:  SUB-TOTAL</v>
      </c>
      <c r="C114" s="1710" t="str">
        <f>IF(BUDGET!AP114=0,"",BUDGET!AP114)</f>
        <v/>
      </c>
      <c r="D114" s="1717"/>
      <c r="E114" s="827"/>
      <c r="F114" s="1127"/>
      <c r="G114" s="1666"/>
      <c r="H114" s="827"/>
      <c r="I114" s="1771"/>
    </row>
    <row r="115" spans="2:9" ht="13.15" x14ac:dyDescent="0.4">
      <c r="B115" s="1841" t="str">
        <f>IF(BUDGET!A115=0,"",BUDGET!A115)</f>
        <v xml:space="preserve">   SALARIES</v>
      </c>
      <c r="C115" s="1720">
        <f>IF(BUDGET!AP115=0,"",BUDGET!AP115)</f>
        <v>696788</v>
      </c>
      <c r="D115" s="1720"/>
      <c r="E115" s="888"/>
      <c r="F115" s="1626"/>
      <c r="G115" s="1668"/>
      <c r="H115" s="888"/>
      <c r="I115" s="1774"/>
    </row>
    <row r="116" spans="2:9" ht="13.15" x14ac:dyDescent="0.4">
      <c r="B116" s="1841" t="str">
        <f>IF(BUDGET!A116=0,"",BUDGET!A116)</f>
        <v xml:space="preserve">   WAGES </v>
      </c>
      <c r="C116" s="1720">
        <f>IF(BUDGET!AP116=0,"",BUDGET!AP116)</f>
        <v>379811</v>
      </c>
      <c r="D116" s="1720"/>
      <c r="E116" s="888"/>
      <c r="F116" s="1626"/>
      <c r="G116" s="1668"/>
      <c r="H116" s="888"/>
      <c r="I116" s="1774"/>
    </row>
    <row r="117" spans="2:9" ht="13.15" x14ac:dyDescent="0.4">
      <c r="B117" s="1841" t="str">
        <f>IF(BUDGET!A117=0,"",BUDGET!A117)</f>
        <v xml:space="preserve">   OTHER</v>
      </c>
      <c r="C117" s="1720">
        <f>IF(BUDGET!AP117=0,"",BUDGET!AP117)</f>
        <v>582343</v>
      </c>
      <c r="D117" s="1720"/>
      <c r="E117" s="888"/>
      <c r="F117" s="1626"/>
      <c r="G117" s="1668"/>
      <c r="H117" s="888"/>
      <c r="I117" s="1774"/>
    </row>
    <row r="118" spans="2:9" ht="13.15" x14ac:dyDescent="0.4">
      <c r="B118" s="1841" t="str">
        <f>IF(BUDGET!A118=0,"",BUDGET!A118)</f>
        <v>RESERVE FUNDS</v>
      </c>
      <c r="C118" s="1720">
        <f>IF(BUDGET!AP118=0,"",BUDGET!AP118)</f>
        <v>100000</v>
      </c>
      <c r="D118" s="1720"/>
      <c r="E118" s="888"/>
      <c r="F118" s="1626"/>
      <c r="G118" s="1668"/>
      <c r="H118" s="888"/>
      <c r="I118" s="1774"/>
    </row>
    <row r="119" spans="2:9" ht="13.15" x14ac:dyDescent="0.4">
      <c r="B119" s="1841" t="str">
        <f>IF(BUDGET!A119=0,"",BUDGET!A119)</f>
        <v xml:space="preserve">   GASB-45</v>
      </c>
      <c r="C119" s="1720" t="str">
        <f>IF(BUDGET!AP119=0,"",BUDGET!AP119)</f>
        <v/>
      </c>
      <c r="D119" s="1720"/>
      <c r="E119" s="888"/>
      <c r="F119" s="1626"/>
      <c r="G119" s="1668"/>
      <c r="H119" s="888"/>
      <c r="I119" s="1774"/>
    </row>
    <row r="120" spans="2:9" ht="13.5" thickBot="1" x14ac:dyDescent="0.45">
      <c r="B120" s="1855" t="str">
        <f>IF(BUDGET!A120=0,"",BUDGET!A120)</f>
        <v>GENERAL GOVERN. :  SUB-TOTAL</v>
      </c>
      <c r="C120" s="1721">
        <f>IF(BUDGET!AP120=0,"",BUDGET!AP120)</f>
        <v>1758942</v>
      </c>
      <c r="D120" s="1721"/>
      <c r="E120" s="909"/>
      <c r="F120" s="1627"/>
      <c r="G120" s="1669"/>
      <c r="H120" s="909"/>
      <c r="I120" s="1775"/>
    </row>
    <row r="121" spans="2:9" ht="13.5" thickTop="1" x14ac:dyDescent="0.4">
      <c r="B121" s="1841" t="str">
        <f>IF(BUDGET!A121=0,"",BUDGET!A121)</f>
        <v>PUBLIC SAFETY</v>
      </c>
      <c r="C121" s="1707" t="str">
        <f>IF(BUDGET!AP121=0,"",BUDGET!AP121)</f>
        <v/>
      </c>
      <c r="D121" s="1712"/>
      <c r="E121" s="825"/>
      <c r="F121" s="1110"/>
      <c r="G121" s="1661"/>
      <c r="H121" s="825"/>
      <c r="I121" s="1766"/>
    </row>
    <row r="122" spans="2:9" x14ac:dyDescent="0.35">
      <c r="B122" s="1843" t="str">
        <f>IF(BUDGET!A122=0,"",BUDGET!A122)</f>
        <v>POLICE DEPARTMENT</v>
      </c>
      <c r="C122" s="1707" t="str">
        <f>IF(BUDGET!AP122=0,"",BUDGET!AP122)</f>
        <v/>
      </c>
      <c r="D122" s="1712"/>
      <c r="E122" s="825"/>
      <c r="F122" s="1110"/>
      <c r="G122" s="1661"/>
      <c r="H122" s="825"/>
      <c r="I122" s="1766"/>
    </row>
    <row r="123" spans="2:9" x14ac:dyDescent="0.35">
      <c r="B123" s="1843" t="str">
        <f>IF(BUDGET!A123=0,"",BUDGET!A123)</f>
        <v xml:space="preserve">   SALARIES </v>
      </c>
      <c r="C123" s="1733">
        <f>IF(BUDGET!AP123=0,"",BUDGET!AP123)</f>
        <v>247150</v>
      </c>
      <c r="D123" s="1709"/>
      <c r="E123" s="810"/>
      <c r="F123" s="1410"/>
      <c r="G123" s="1658"/>
      <c r="H123" s="810"/>
      <c r="I123" s="1763"/>
    </row>
    <row r="124" spans="2:9" x14ac:dyDescent="0.35">
      <c r="B124" s="1843" t="str">
        <f>IF(BUDGET!A124=0,"",BUDGET!A124)</f>
        <v xml:space="preserve">   WAGES</v>
      </c>
      <c r="C124" s="1733">
        <f>IF(BUDGET!AP124=0,"",BUDGET!AP124)</f>
        <v>1297492</v>
      </c>
      <c r="D124" s="1709"/>
      <c r="E124" s="810"/>
      <c r="F124" s="1410"/>
      <c r="G124" s="1658"/>
      <c r="H124" s="810"/>
      <c r="I124" s="1763"/>
    </row>
    <row r="125" spans="2:9" x14ac:dyDescent="0.35">
      <c r="B125" s="1843" t="str">
        <f>IF(BUDGET!A125=0,"",BUDGET!A125)</f>
        <v xml:space="preserve">   CAPITAL (LEASES)</v>
      </c>
      <c r="C125" s="1733" t="str">
        <f>IF(BUDGET!AP125=0,"",BUDGET!AP125)</f>
        <v/>
      </c>
      <c r="D125" s="1709"/>
      <c r="E125" s="810"/>
      <c r="F125" s="1410"/>
      <c r="G125" s="1658"/>
      <c r="H125" s="810"/>
      <c r="I125" s="1763"/>
    </row>
    <row r="126" spans="2:9" x14ac:dyDescent="0.35">
      <c r="B126" s="1843" t="str">
        <f>IF(BUDGET!A126=0,"",BUDGET!A126)</f>
        <v xml:space="preserve">   OTHER</v>
      </c>
      <c r="C126" s="1733">
        <f>IF(BUDGET!AP126=0,"",BUDGET!AP126)</f>
        <v>122188</v>
      </c>
      <c r="D126" s="1709"/>
      <c r="E126" s="810"/>
      <c r="F126" s="1410"/>
      <c r="G126" s="1658"/>
      <c r="H126" s="810"/>
      <c r="I126" s="1763"/>
    </row>
    <row r="127" spans="2:9" ht="13.15" x14ac:dyDescent="0.4">
      <c r="B127" s="1841" t="str">
        <f>IF(BUDGET!A127=0,"",BUDGET!A127)</f>
        <v xml:space="preserve">   TOTAL</v>
      </c>
      <c r="C127" s="1710">
        <f>IF(BUDGET!AP127=0,"",BUDGET!AP127)</f>
        <v>1666830</v>
      </c>
      <c r="D127" s="1710"/>
      <c r="E127" s="785"/>
      <c r="F127" s="820"/>
      <c r="G127" s="1659"/>
      <c r="H127" s="785"/>
      <c r="I127" s="1764"/>
    </row>
    <row r="128" spans="2:9" ht="13.15" x14ac:dyDescent="0.4">
      <c r="B128" s="1844" t="str">
        <f>IF(BUDGET!A128=0,"",BUDGET!A128)</f>
        <v/>
      </c>
      <c r="C128" s="1724" t="str">
        <f>IF(BUDGET!AP128=0,"",BUDGET!AP128)</f>
        <v/>
      </c>
      <c r="D128" s="1708"/>
      <c r="E128" s="800"/>
      <c r="F128" s="1621"/>
      <c r="G128" s="1657"/>
      <c r="H128" s="800"/>
      <c r="I128" s="1762"/>
    </row>
    <row r="129" spans="2:10" x14ac:dyDescent="0.35">
      <c r="B129" s="1843" t="str">
        <f>IF(BUDGET!A129=0,"",BUDGET!A129)</f>
        <v>FIRE DEPARTMENT</v>
      </c>
      <c r="C129" s="1707" t="str">
        <f>IF(BUDGET!AP129=0,"",BUDGET!AP129)</f>
        <v/>
      </c>
      <c r="D129" s="1712"/>
      <c r="E129" s="825"/>
      <c r="F129" s="1110"/>
      <c r="G129" s="1661"/>
      <c r="H129" s="825"/>
      <c r="I129" s="1766"/>
    </row>
    <row r="130" spans="2:10" x14ac:dyDescent="0.35">
      <c r="B130" s="1843" t="str">
        <f>IF(BUDGET!A130=0,"",BUDGET!A130)</f>
        <v xml:space="preserve">   SALARIES</v>
      </c>
      <c r="C130" s="1733">
        <f>IF(BUDGET!AP130=0,"",BUDGET!AP130)</f>
        <v>130305</v>
      </c>
      <c r="D130" s="1709"/>
      <c r="E130" s="810"/>
      <c r="F130" s="1410"/>
      <c r="G130" s="1658"/>
      <c r="H130" s="810"/>
      <c r="I130" s="1763"/>
    </row>
    <row r="131" spans="2:10" x14ac:dyDescent="0.35">
      <c r="B131" s="1843" t="str">
        <f>IF(BUDGET!A131=0,"",BUDGET!A131)</f>
        <v xml:space="preserve">   WAGES</v>
      </c>
      <c r="C131" s="1733">
        <f>IF(BUDGET!AP131=0,"",BUDGET!AP131)</f>
        <v>919989</v>
      </c>
      <c r="D131" s="1709"/>
      <c r="E131" s="810"/>
      <c r="F131" s="1410"/>
      <c r="G131" s="1658"/>
      <c r="H131" s="810"/>
      <c r="I131" s="1763"/>
    </row>
    <row r="132" spans="2:10" x14ac:dyDescent="0.35">
      <c r="B132" s="1843" t="str">
        <f>IF(BUDGET!A132=0,"",BUDGET!A132)</f>
        <v xml:space="preserve">   OTHER</v>
      </c>
      <c r="C132" s="1733">
        <f>IF(BUDGET!AP132=0,"",BUDGET!AP132)</f>
        <v>156283</v>
      </c>
      <c r="D132" s="1709"/>
      <c r="E132" s="810"/>
      <c r="F132" s="1410"/>
      <c r="G132" s="1658"/>
      <c r="H132" s="897"/>
      <c r="I132" s="1960"/>
    </row>
    <row r="133" spans="2:10" ht="13.15" x14ac:dyDescent="0.4">
      <c r="B133" s="1841" t="str">
        <f>IF(BUDGET!A133=0,"",BUDGET!A133)</f>
        <v xml:space="preserve">   TOTAL</v>
      </c>
      <c r="C133" s="1710">
        <f>IF(BUDGET!AP133=0,"",BUDGET!AP133)</f>
        <v>1206577</v>
      </c>
      <c r="D133" s="1710"/>
      <c r="E133" s="785"/>
      <c r="F133" s="820"/>
      <c r="G133" s="1659"/>
      <c r="H133" s="785"/>
      <c r="I133" s="1764"/>
    </row>
    <row r="134" spans="2:10" ht="13.15" x14ac:dyDescent="0.4">
      <c r="B134" s="1844" t="str">
        <f>IF(BUDGET!A134=0,"",BUDGET!A134)</f>
        <v/>
      </c>
      <c r="C134" s="1856" t="str">
        <f>IF(BUDGET!AP134=0,"",BUDGET!AP134)</f>
        <v/>
      </c>
      <c r="D134" s="1722"/>
      <c r="E134" s="921"/>
      <c r="F134" s="1628"/>
      <c r="G134" s="1657"/>
      <c r="H134" s="921"/>
      <c r="I134" s="1776"/>
    </row>
    <row r="135" spans="2:10" x14ac:dyDescent="0.35">
      <c r="B135" s="1843" t="str">
        <f>IF(BUDGET!A135=0,"",BUDGET!A135)</f>
        <v>AMBULANCE SERVICE</v>
      </c>
      <c r="C135" s="1964" t="str">
        <f>IF(BUDGET!AP135=0,"",BUDGET!AP135)</f>
        <v/>
      </c>
      <c r="D135" s="1965"/>
      <c r="E135" s="1966"/>
      <c r="F135" s="1967"/>
      <c r="G135" s="1968"/>
      <c r="H135" s="1966"/>
      <c r="I135" s="1969"/>
      <c r="J135">
        <v>1</v>
      </c>
    </row>
    <row r="136" spans="2:10" x14ac:dyDescent="0.35">
      <c r="B136" s="1843" t="str">
        <f>IF(BUDGET!A136=0,"",BUDGET!A136)</f>
        <v xml:space="preserve">   OTHER </v>
      </c>
      <c r="C136" s="1964" t="str">
        <f>IF(BUDGET!AP136=0,"",BUDGET!AP136)</f>
        <v/>
      </c>
      <c r="D136" s="1964"/>
      <c r="E136" s="1970"/>
      <c r="F136" s="1971"/>
      <c r="G136" s="1972"/>
      <c r="H136" s="1970"/>
      <c r="I136" s="1973"/>
      <c r="J136">
        <v>1</v>
      </c>
    </row>
    <row r="137" spans="2:10" ht="13.15" x14ac:dyDescent="0.4">
      <c r="B137" s="1841" t="str">
        <f>IF(BUDGET!A137=0,"",BUDGET!A137)</f>
        <v xml:space="preserve">   TOTAL</v>
      </c>
      <c r="C137" s="1974" t="str">
        <f>IF(BUDGET!AP137=0,"",BUDGET!AP137)</f>
        <v/>
      </c>
      <c r="D137" s="1991"/>
      <c r="E137" s="1992"/>
      <c r="F137" s="1993"/>
      <c r="G137" s="1994"/>
      <c r="H137" s="1992"/>
      <c r="I137" s="1995"/>
      <c r="J137">
        <v>1</v>
      </c>
    </row>
    <row r="138" spans="2:10" x14ac:dyDescent="0.35">
      <c r="B138" s="1845" t="str">
        <f>IF(BUDGET!A138=0,"",BUDGET!A138)</f>
        <v/>
      </c>
      <c r="C138" s="1996" t="str">
        <f>IF(BUDGET!AP138=0,"",BUDGET!AP138)</f>
        <v/>
      </c>
      <c r="D138" s="1997"/>
      <c r="E138" s="1998"/>
      <c r="F138" s="1999"/>
      <c r="G138" s="1983"/>
      <c r="H138" s="1998"/>
      <c r="I138" s="2000"/>
      <c r="J138">
        <v>1</v>
      </c>
    </row>
    <row r="139" spans="2:10" x14ac:dyDescent="0.35">
      <c r="B139" s="1843" t="str">
        <f>IF(BUDGET!A139=0,"",BUDGET!A139)</f>
        <v>INSPECTIONAL SERVICES</v>
      </c>
      <c r="C139" s="1707" t="str">
        <f>IF(BUDGET!AP139=0,"",BUDGET!AP139)</f>
        <v/>
      </c>
      <c r="D139" s="1712"/>
      <c r="E139" s="825"/>
      <c r="F139" s="1110"/>
      <c r="G139" s="1661"/>
      <c r="H139" s="825"/>
      <c r="I139" s="1766"/>
    </row>
    <row r="140" spans="2:10" x14ac:dyDescent="0.35">
      <c r="B140" s="1843" t="str">
        <f>IF(BUDGET!A140=0,"",BUDGET!A140)</f>
        <v xml:space="preserve">    SALARIES</v>
      </c>
      <c r="C140" s="1733">
        <f>IF(BUDGET!AP140=0,"",BUDGET!AP140)</f>
        <v>121150</v>
      </c>
      <c r="D140" s="1709"/>
      <c r="E140" s="810"/>
      <c r="F140" s="1410"/>
      <c r="G140" s="1658"/>
      <c r="H140" s="897"/>
      <c r="I140" s="1960"/>
    </row>
    <row r="141" spans="2:10" x14ac:dyDescent="0.35">
      <c r="B141" s="1843" t="str">
        <f>IF(BUDGET!A141=0,"",BUDGET!A141)</f>
        <v xml:space="preserve">   WAGES</v>
      </c>
      <c r="C141" s="1733">
        <f>IF(BUDGET!AP141=0,"",BUDGET!AP141)</f>
        <v>36897</v>
      </c>
      <c r="D141" s="1709"/>
      <c r="E141" s="810"/>
      <c r="F141" s="1410"/>
      <c r="G141" s="1658"/>
      <c r="H141" s="897"/>
      <c r="I141" s="1960"/>
    </row>
    <row r="142" spans="2:10" x14ac:dyDescent="0.35">
      <c r="B142" s="1843" t="str">
        <f>IF(BUDGET!A142=0,"",BUDGET!A142)</f>
        <v xml:space="preserve">   OTHER</v>
      </c>
      <c r="C142" s="1733">
        <f>IF(BUDGET!AP142=0,"",BUDGET!AP142)</f>
        <v>13465</v>
      </c>
      <c r="D142" s="1709"/>
      <c r="E142" s="810"/>
      <c r="F142" s="1410"/>
      <c r="G142" s="1658"/>
      <c r="H142" s="810"/>
      <c r="I142" s="1763"/>
    </row>
    <row r="143" spans="2:10" ht="13.15" x14ac:dyDescent="0.4">
      <c r="B143" s="1841" t="str">
        <f>IF(BUDGET!A143=0,"",BUDGET!A143)</f>
        <v xml:space="preserve">   TOTAL</v>
      </c>
      <c r="C143" s="1710">
        <f>IF(BUDGET!AP143=0,"",BUDGET!AP143)</f>
        <v>171512</v>
      </c>
      <c r="D143" s="1710"/>
      <c r="E143" s="785"/>
      <c r="F143" s="820"/>
      <c r="G143" s="1659"/>
      <c r="H143" s="785"/>
      <c r="I143" s="1764"/>
    </row>
    <row r="144" spans="2:10" ht="13.15" x14ac:dyDescent="0.4">
      <c r="B144" s="1844" t="str">
        <f>IF(BUDGET!A144=0,"",BUDGET!A144)</f>
        <v/>
      </c>
      <c r="C144" s="1724" t="str">
        <f>IF(BUDGET!AP144=0,"",BUDGET!AP144)</f>
        <v/>
      </c>
      <c r="D144" s="1724"/>
      <c r="E144" s="942"/>
      <c r="F144" s="939"/>
      <c r="G144" s="1670"/>
      <c r="H144" s="942"/>
      <c r="I144" s="1778"/>
    </row>
    <row r="145" spans="2:9" ht="13.15" x14ac:dyDescent="0.4">
      <c r="B145" s="1843" t="str">
        <f>IF(BUDGET!A145=0,"",BUDGET!A145)</f>
        <v>TREE DEPARTMENT</v>
      </c>
      <c r="C145" s="1710" t="str">
        <f>IF(BUDGET!AP145=0,"",BUDGET!AP145)</f>
        <v/>
      </c>
      <c r="D145" s="1710"/>
      <c r="E145" s="785"/>
      <c r="F145" s="820"/>
      <c r="G145" s="1659"/>
      <c r="H145" s="785"/>
      <c r="I145" s="1764"/>
    </row>
    <row r="146" spans="2:9" x14ac:dyDescent="0.35">
      <c r="B146" s="1843" t="str">
        <f>IF(BUDGET!A146=0,"",BUDGET!A146)</f>
        <v xml:space="preserve">   SALARIES</v>
      </c>
      <c r="C146" s="1733">
        <f>IF(BUDGET!AP146=0,"",BUDGET!AP146)</f>
        <v>3352</v>
      </c>
      <c r="D146" s="1709"/>
      <c r="E146" s="810"/>
      <c r="F146" s="1410"/>
      <c r="G146" s="1658"/>
      <c r="H146" s="810"/>
      <c r="I146" s="1763"/>
    </row>
    <row r="147" spans="2:9" x14ac:dyDescent="0.35">
      <c r="B147" s="1843" t="str">
        <f>IF(BUDGET!A147=0,"",BUDGET!A147)</f>
        <v xml:space="preserve">   WAGES</v>
      </c>
      <c r="C147" s="1733">
        <f>IF(BUDGET!AP147=0,"",BUDGET!AP147)</f>
        <v>3530</v>
      </c>
      <c r="D147" s="1709"/>
      <c r="E147" s="810"/>
      <c r="F147" s="1410"/>
      <c r="G147" s="1658"/>
      <c r="H147" s="810"/>
      <c r="I147" s="1763"/>
    </row>
    <row r="148" spans="2:9" x14ac:dyDescent="0.35">
      <c r="B148" s="1843" t="str">
        <f>IF(BUDGET!A148=0,"",BUDGET!A148)</f>
        <v xml:space="preserve">   OTHER</v>
      </c>
      <c r="C148" s="1733">
        <f>IF(BUDGET!AP148=0,"",BUDGET!AP148)</f>
        <v>8880</v>
      </c>
      <c r="D148" s="1709"/>
      <c r="E148" s="810"/>
      <c r="F148" s="1410"/>
      <c r="G148" s="1658"/>
      <c r="H148" s="810"/>
      <c r="I148" s="1763"/>
    </row>
    <row r="149" spans="2:9" ht="13.15" x14ac:dyDescent="0.4">
      <c r="B149" s="1841" t="str">
        <f>IF(BUDGET!A149=0,"",BUDGET!A149)</f>
        <v xml:space="preserve">   TOTAL</v>
      </c>
      <c r="C149" s="1710">
        <f>IF(BUDGET!AP149=0,"",BUDGET!AP149)</f>
        <v>15762</v>
      </c>
      <c r="D149" s="1710"/>
      <c r="E149" s="785"/>
      <c r="F149" s="820"/>
      <c r="G149" s="1659"/>
      <c r="H149" s="785"/>
      <c r="I149" s="1764"/>
    </row>
    <row r="150" spans="2:9" x14ac:dyDescent="0.35">
      <c r="B150" s="1858" t="str">
        <f>IF(BUDGET!A150=0,"",BUDGET!A150)</f>
        <v/>
      </c>
      <c r="C150" s="1745" t="str">
        <f>IF(BUDGET!AP150=0,"",BUDGET!AP150)</f>
        <v/>
      </c>
      <c r="D150" s="1711"/>
      <c r="E150" s="822"/>
      <c r="F150" s="1160"/>
      <c r="G150" s="1660"/>
      <c r="H150" s="822"/>
      <c r="I150" s="1765"/>
    </row>
    <row r="151" spans="2:9" x14ac:dyDescent="0.35">
      <c r="B151" s="1843" t="str">
        <f>IF(BUDGET!A151=0,"",BUDGET!A151)</f>
        <v>SEALER WEIGHTS &amp; MEASURE:</v>
      </c>
      <c r="C151" s="1707" t="str">
        <f>IF(BUDGET!AP151=0,"",BUDGET!AP151)</f>
        <v/>
      </c>
      <c r="D151" s="1712"/>
      <c r="E151" s="825"/>
      <c r="F151" s="1110"/>
      <c r="G151" s="1661"/>
      <c r="H151" s="825"/>
      <c r="I151" s="1766"/>
    </row>
    <row r="152" spans="2:9" x14ac:dyDescent="0.35">
      <c r="B152" s="1843" t="str">
        <f>IF(BUDGET!A152=0,"",BUDGET!A152)</f>
        <v xml:space="preserve">   SALARY</v>
      </c>
      <c r="C152" s="1733">
        <f>IF(BUDGET!AP152=0,"",BUDGET!AP152)</f>
        <v>1726</v>
      </c>
      <c r="D152" s="1709"/>
      <c r="E152" s="810"/>
      <c r="F152" s="1410"/>
      <c r="G152" s="1658"/>
      <c r="H152" s="810"/>
      <c r="I152" s="1763"/>
    </row>
    <row r="153" spans="2:9" x14ac:dyDescent="0.35">
      <c r="B153" s="1843" t="str">
        <f>IF(BUDGET!A153=0,"",BUDGET!A153)</f>
        <v xml:space="preserve">   OTHER</v>
      </c>
      <c r="C153" s="1707" t="str">
        <f>IF(BUDGET!AP153=0,"",BUDGET!AP153)</f>
        <v/>
      </c>
      <c r="D153" s="1707"/>
      <c r="E153" s="788"/>
      <c r="F153" s="841"/>
      <c r="G153" s="1656"/>
      <c r="H153" s="788"/>
      <c r="I153" s="1761"/>
    </row>
    <row r="154" spans="2:9" ht="13.15" x14ac:dyDescent="0.4">
      <c r="B154" s="1843" t="str">
        <f>IF(BUDGET!A154=0,"",BUDGET!A154)</f>
        <v xml:space="preserve">   TOTAL</v>
      </c>
      <c r="C154" s="1725">
        <f>IF(BUDGET!AP154=0,"",BUDGET!AP154)</f>
        <v>1726</v>
      </c>
      <c r="D154" s="1725"/>
      <c r="E154" s="1101"/>
      <c r="F154" s="1630"/>
      <c r="G154" s="1671"/>
      <c r="H154" s="1101"/>
      <c r="I154" s="1779"/>
    </row>
    <row r="155" spans="2:9" x14ac:dyDescent="0.35">
      <c r="B155" s="1845" t="str">
        <f>IF(BUDGET!A155=0,"",BUDGET!A155)</f>
        <v/>
      </c>
      <c r="C155" s="1857" t="str">
        <f>IF(BUDGET!AP155=0,"",BUDGET!AP155)</f>
        <v/>
      </c>
      <c r="D155" s="1723"/>
      <c r="E155" s="823"/>
      <c r="F155" s="1629"/>
      <c r="G155" s="1660"/>
      <c r="H155" s="823"/>
      <c r="I155" s="1777"/>
    </row>
    <row r="156" spans="2:9" x14ac:dyDescent="0.35">
      <c r="B156" s="1843" t="str">
        <f>IF(BUDGET!A156=0,"",BUDGET!A156)</f>
        <v>ANIMAL CONTROL OFFICER</v>
      </c>
      <c r="C156" s="1707" t="str">
        <f>IF(BUDGET!AP156=0,"",BUDGET!AP156)</f>
        <v/>
      </c>
      <c r="D156" s="1712"/>
      <c r="E156" s="825"/>
      <c r="F156" s="1110"/>
      <c r="G156" s="1661"/>
      <c r="H156" s="825"/>
      <c r="I156" s="1766"/>
    </row>
    <row r="157" spans="2:9" x14ac:dyDescent="0.35">
      <c r="B157" s="1843" t="str">
        <f>IF(BUDGET!A157=0,"",BUDGET!A157)</f>
        <v xml:space="preserve">   SALARY</v>
      </c>
      <c r="C157" s="1733">
        <f>IF(BUDGET!AP157=0,"",BUDGET!AP157)</f>
        <v>10229</v>
      </c>
      <c r="D157" s="1709"/>
      <c r="E157" s="810"/>
      <c r="F157" s="1410"/>
      <c r="G157" s="1658"/>
      <c r="H157" s="810"/>
      <c r="I157" s="1763"/>
    </row>
    <row r="158" spans="2:9" x14ac:dyDescent="0.35">
      <c r="B158" s="1843" t="str">
        <f>IF(BUDGET!A158=0,"",BUDGET!A158)</f>
        <v xml:space="preserve">   OTHER</v>
      </c>
      <c r="C158" s="1733">
        <f>IF(BUDGET!AP158=0,"",BUDGET!AP158)</f>
        <v>571</v>
      </c>
      <c r="D158" s="1709"/>
      <c r="E158" s="810"/>
      <c r="F158" s="1410"/>
      <c r="G158" s="1658"/>
      <c r="H158" s="810"/>
      <c r="I158" s="1763"/>
    </row>
    <row r="159" spans="2:9" ht="13.15" x14ac:dyDescent="0.4">
      <c r="B159" s="1841" t="str">
        <f>IF(BUDGET!A159=0,"",BUDGET!A159)</f>
        <v xml:space="preserve">   TOTAL</v>
      </c>
      <c r="C159" s="1710">
        <f>IF(BUDGET!AP159=0,"",BUDGET!AP159)</f>
        <v>10800</v>
      </c>
      <c r="D159" s="1710"/>
      <c r="E159" s="785"/>
      <c r="F159" s="820"/>
      <c r="G159" s="1659"/>
      <c r="H159" s="785"/>
      <c r="I159" s="1764"/>
    </row>
    <row r="160" spans="2:9" x14ac:dyDescent="0.35">
      <c r="B160" s="1845" t="str">
        <f>IF(BUDGET!A160=0,"",BUDGET!A160)</f>
        <v/>
      </c>
      <c r="C160" s="1857" t="str">
        <f>IF(BUDGET!AP160=0,"",BUDGET!AP160)</f>
        <v/>
      </c>
      <c r="D160" s="1723"/>
      <c r="E160" s="823"/>
      <c r="F160" s="1629"/>
      <c r="G160" s="1660"/>
      <c r="H160" s="823"/>
      <c r="I160" s="1777"/>
    </row>
    <row r="161" spans="2:9" x14ac:dyDescent="0.35">
      <c r="B161" s="1843" t="str">
        <f>IF(BUDGET!A161=0,"",BUDGET!A161)</f>
        <v>ANIMAL INSPECTOR</v>
      </c>
      <c r="C161" s="1707" t="str">
        <f>IF(BUDGET!AP161=0,"",BUDGET!AP161)</f>
        <v/>
      </c>
      <c r="D161" s="1712"/>
      <c r="E161" s="825"/>
      <c r="F161" s="1110"/>
      <c r="G161" s="1661"/>
      <c r="H161" s="825"/>
      <c r="I161" s="1766"/>
    </row>
    <row r="162" spans="2:9" x14ac:dyDescent="0.35">
      <c r="B162" s="1843" t="str">
        <f>IF(BUDGET!A162=0,"",BUDGET!A162)</f>
        <v xml:space="preserve">   SALARY</v>
      </c>
      <c r="C162" s="1733">
        <f>IF(BUDGET!AP162=0,"",BUDGET!AP162)</f>
        <v>7750</v>
      </c>
      <c r="D162" s="1709"/>
      <c r="E162" s="810"/>
      <c r="F162" s="1410"/>
      <c r="G162" s="1658"/>
      <c r="H162" s="810"/>
      <c r="I162" s="1763"/>
    </row>
    <row r="163" spans="2:9" x14ac:dyDescent="0.35">
      <c r="B163" s="1843" t="str">
        <f>IF(BUDGET!A163=0,"",BUDGET!A163)</f>
        <v xml:space="preserve">   OTHER</v>
      </c>
      <c r="C163" s="1733">
        <f>IF(BUDGET!AP163=0,"",BUDGET!AP163)</f>
        <v>1840</v>
      </c>
      <c r="D163" s="1709"/>
      <c r="E163" s="810"/>
      <c r="F163" s="1410"/>
      <c r="G163" s="1658"/>
      <c r="H163" s="810"/>
      <c r="I163" s="1763"/>
    </row>
    <row r="164" spans="2:9" ht="13.15" x14ac:dyDescent="0.4">
      <c r="B164" s="1841" t="str">
        <f>IF(BUDGET!A164=0,"",BUDGET!A164)</f>
        <v xml:space="preserve">   TOTAL</v>
      </c>
      <c r="C164" s="1710">
        <f>IF(BUDGET!AP164=0,"",BUDGET!AP164)</f>
        <v>9590</v>
      </c>
      <c r="D164" s="1710"/>
      <c r="E164" s="785"/>
      <c r="F164" s="820"/>
      <c r="G164" s="1659"/>
      <c r="H164" s="785"/>
      <c r="I164" s="1764"/>
    </row>
    <row r="165" spans="2:9" x14ac:dyDescent="0.35">
      <c r="B165" s="1845" t="str">
        <f>IF(BUDGET!A165=0,"",BUDGET!A165)</f>
        <v/>
      </c>
      <c r="C165" s="1745" t="str">
        <f>IF(BUDGET!AP165=0,"",BUDGET!AP165)</f>
        <v/>
      </c>
      <c r="D165" s="1711"/>
      <c r="E165" s="822"/>
      <c r="F165" s="1160"/>
      <c r="G165" s="1660"/>
      <c r="H165" s="822"/>
      <c r="I165" s="1765"/>
    </row>
    <row r="166" spans="2:9" ht="13.15" x14ac:dyDescent="0.4">
      <c r="B166" s="1841" t="str">
        <f>IF(BUDGET!A166=0,"",BUDGET!A166)</f>
        <v>PUBLIC SAFETY:  SUB-TOTAL</v>
      </c>
      <c r="C166" s="1707" t="str">
        <f>IF(BUDGET!AP166=0,"",BUDGET!AP166)</f>
        <v/>
      </c>
      <c r="D166" s="1712"/>
      <c r="E166" s="825"/>
      <c r="F166" s="1110"/>
      <c r="G166" s="1661"/>
      <c r="H166" s="825"/>
      <c r="I166" s="1766"/>
    </row>
    <row r="167" spans="2:9" ht="13.15" x14ac:dyDescent="0.4">
      <c r="B167" s="1841" t="str">
        <f>IF(BUDGET!A167=0,"",BUDGET!A167)</f>
        <v xml:space="preserve">   SALARIES</v>
      </c>
      <c r="C167" s="1726">
        <f>IF(BUDGET!AP167=0,"",BUDGET!AP167)</f>
        <v>521662</v>
      </c>
      <c r="D167" s="1726"/>
      <c r="E167" s="880"/>
      <c r="F167" s="1631"/>
      <c r="G167" s="1672"/>
      <c r="H167" s="880"/>
      <c r="I167" s="1780"/>
    </row>
    <row r="168" spans="2:9" ht="13.15" x14ac:dyDescent="0.4">
      <c r="B168" s="1841" t="str">
        <f>IF(BUDGET!A168=0,"",BUDGET!A168)</f>
        <v xml:space="preserve">   WAGES</v>
      </c>
      <c r="C168" s="1726">
        <f>IF(BUDGET!AP168=0,"",BUDGET!AP168)</f>
        <v>2257908</v>
      </c>
      <c r="D168" s="1726"/>
      <c r="E168" s="880"/>
      <c r="F168" s="1631"/>
      <c r="G168" s="1672"/>
      <c r="H168" s="880"/>
      <c r="I168" s="1780"/>
    </row>
    <row r="169" spans="2:9" ht="13.15" x14ac:dyDescent="0.4">
      <c r="B169" s="1841" t="str">
        <f>IF(BUDGET!A169=0,"",BUDGET!A169)</f>
        <v xml:space="preserve">   OTHER</v>
      </c>
      <c r="C169" s="1726">
        <f>IF(BUDGET!AP169=0,"",BUDGET!AP169)</f>
        <v>303227</v>
      </c>
      <c r="D169" s="1726"/>
      <c r="E169" s="880"/>
      <c r="F169" s="1631"/>
      <c r="G169" s="1672"/>
      <c r="H169" s="880"/>
      <c r="I169" s="1780"/>
    </row>
    <row r="170" spans="2:9" ht="13.5" thickBot="1" x14ac:dyDescent="0.45">
      <c r="B170" s="1855" t="str">
        <f>IF(BUDGET!A170=0,"",BUDGET!A170)</f>
        <v>PUBLIC SAFETY:  SUB-TOTAL</v>
      </c>
      <c r="C170" s="1727">
        <f>IF(BUDGET!AP170=0,"",BUDGET!AP170)</f>
        <v>3082797</v>
      </c>
      <c r="D170" s="1727"/>
      <c r="E170" s="955"/>
      <c r="F170" s="1632"/>
      <c r="G170" s="1673"/>
      <c r="H170" s="955"/>
      <c r="I170" s="1781"/>
    </row>
    <row r="171" spans="2:9" ht="13.15" thickTop="1" x14ac:dyDescent="0.35">
      <c r="B171" s="1843" t="str">
        <f>IF(BUDGET!A171=0,"",BUDGET!A171)</f>
        <v/>
      </c>
      <c r="C171" s="1707" t="str">
        <f>IF(BUDGET!AP171=0,"",BUDGET!AP171)</f>
        <v/>
      </c>
      <c r="D171" s="1712"/>
      <c r="E171" s="825"/>
      <c r="F171" s="1110"/>
      <c r="G171" s="1661"/>
      <c r="H171" s="825"/>
      <c r="I171" s="1766"/>
    </row>
    <row r="172" spans="2:9" ht="13.15" x14ac:dyDescent="0.4">
      <c r="B172" s="1841" t="str">
        <f>IF(BUDGET!A172=0,"",BUDGET!A172)</f>
        <v>EDUCATION:   ELEMENTARY SCHS</v>
      </c>
      <c r="C172" s="1707" t="str">
        <f>IF(BUDGET!AP172=0,"",BUDGET!AP172)</f>
        <v/>
      </c>
      <c r="D172" s="1707"/>
      <c r="E172" s="788"/>
      <c r="F172" s="841"/>
      <c r="G172" s="1656"/>
      <c r="H172" s="788"/>
      <c r="I172" s="1761"/>
    </row>
    <row r="173" spans="2:9" x14ac:dyDescent="0.35">
      <c r="B173" s="1843" t="str">
        <f>IF(BUDGET!A173=0,"",BUDGET!A173)</f>
        <v xml:space="preserve">  .GENERAL ADMINISTRATION</v>
      </c>
      <c r="C173" s="1707" t="str">
        <f>IF(BUDGET!AP173=0,"",BUDGET!AP173)</f>
        <v/>
      </c>
      <c r="D173" s="1707"/>
      <c r="E173" s="788"/>
      <c r="F173" s="841"/>
      <c r="G173" s="1656"/>
      <c r="H173" s="788"/>
      <c r="I173" s="1761"/>
    </row>
    <row r="174" spans="2:9" x14ac:dyDescent="0.35">
      <c r="B174" s="1843" t="str">
        <f>IF(BUDGET!A174=0,"",BUDGET!A174)</f>
        <v xml:space="preserve">  .INSTRUCTIONAL SALARIES</v>
      </c>
      <c r="C174" s="1707" t="str">
        <f>IF(BUDGET!AP174=0,"",BUDGET!AP174)</f>
        <v/>
      </c>
      <c r="D174" s="1707"/>
      <c r="E174" s="788"/>
      <c r="F174" s="841"/>
      <c r="G174" s="1656"/>
      <c r="H174" s="788"/>
      <c r="I174" s="1761"/>
    </row>
    <row r="175" spans="2:9" x14ac:dyDescent="0.35">
      <c r="B175" s="1843" t="str">
        <f>IF(BUDGET!A175=0,"",BUDGET!A175)</f>
        <v xml:space="preserve">  .INSTRUCTIONAL MATERIALS</v>
      </c>
      <c r="C175" s="1707" t="str">
        <f>IF(BUDGET!AP175=0,"",BUDGET!AP175)</f>
        <v/>
      </c>
      <c r="D175" s="1707"/>
      <c r="E175" s="788"/>
      <c r="F175" s="841"/>
      <c r="G175" s="1656"/>
      <c r="H175" s="788"/>
      <c r="I175" s="1761"/>
    </row>
    <row r="176" spans="2:9" ht="13.15" x14ac:dyDescent="0.4">
      <c r="B176" s="1843" t="str">
        <f>IF(BUDGET!A176=0,"",BUDGET!A176)</f>
        <v xml:space="preserve"> ADMIN. EXPENDITURES</v>
      </c>
      <c r="C176" s="1710" t="str">
        <f>IF(BUDGET!AP176=0,"",BUDGET!AP176)</f>
        <v/>
      </c>
      <c r="D176" s="1710"/>
      <c r="E176" s="785"/>
      <c r="F176" s="820"/>
      <c r="G176" s="1659"/>
      <c r="H176" s="785"/>
      <c r="I176" s="1764"/>
    </row>
    <row r="177" spans="2:10" ht="13.15" x14ac:dyDescent="0.4">
      <c r="B177" s="1841" t="str">
        <f>IF(BUDGET!A177=0,"",BUDGET!A177)</f>
        <v xml:space="preserve"> .TRANSPORTATION REGULAR</v>
      </c>
      <c r="C177" s="1710" t="str">
        <f>IF(BUDGET!AP177=0,"",BUDGET!AP177)</f>
        <v/>
      </c>
      <c r="D177" s="1710"/>
      <c r="E177" s="785"/>
      <c r="F177" s="820"/>
      <c r="G177" s="1659"/>
      <c r="H177" s="785"/>
      <c r="I177" s="1764"/>
    </row>
    <row r="178" spans="2:10" ht="13.15" x14ac:dyDescent="0.4">
      <c r="B178" s="1843" t="str">
        <f>IF(BUDGET!A178=0,"",BUDGET!A178)</f>
        <v xml:space="preserve">  .FUEL AND POWER</v>
      </c>
      <c r="C178" s="1710" t="str">
        <f>IF(BUDGET!AP178=0,"",BUDGET!AP178)</f>
        <v/>
      </c>
      <c r="D178" s="1710"/>
      <c r="E178" s="785"/>
      <c r="F178" s="820"/>
      <c r="G178" s="1659"/>
      <c r="H178" s="785"/>
      <c r="I178" s="1764"/>
    </row>
    <row r="179" spans="2:10" ht="13.15" x14ac:dyDescent="0.4">
      <c r="B179" s="1843" t="str">
        <f>IF(BUDGET!A179=0,"",BUDGET!A179)</f>
        <v xml:space="preserve">  .BLDG OPER. &amp; MAINTENANCE</v>
      </c>
      <c r="C179" s="1710" t="str">
        <f>IF(BUDGET!AP179=0,"",BUDGET!AP179)</f>
        <v/>
      </c>
      <c r="D179" s="1710"/>
      <c r="E179" s="785"/>
      <c r="F179" s="820"/>
      <c r="G179" s="1659"/>
      <c r="H179" s="785"/>
      <c r="I179" s="1764"/>
    </row>
    <row r="180" spans="2:10" ht="13.15" x14ac:dyDescent="0.4">
      <c r="B180" s="1843" t="str">
        <f>IF(BUDGET!A180=0,"",BUDGET!A180)</f>
        <v xml:space="preserve">  .SPECIAL NEEDS</v>
      </c>
      <c r="C180" s="1710" t="str">
        <f>IF(BUDGET!AP180=0,"",BUDGET!AP180)</f>
        <v/>
      </c>
      <c r="D180" s="1710"/>
      <c r="E180" s="785"/>
      <c r="F180" s="820"/>
      <c r="G180" s="1659"/>
      <c r="H180" s="785"/>
      <c r="I180" s="1764"/>
    </row>
    <row r="181" spans="2:10" ht="13.15" x14ac:dyDescent="0.4">
      <c r="B181" s="1843" t="str">
        <f>IF(BUDGET!A181=0,"",BUDGET!A181)</f>
        <v xml:space="preserve"> CONTRACT SERVICES</v>
      </c>
      <c r="C181" s="1710" t="str">
        <f>IF(BUDGET!AP181=0,"",BUDGET!AP181)</f>
        <v/>
      </c>
      <c r="D181" s="1710"/>
      <c r="E181" s="785"/>
      <c r="F181" s="820"/>
      <c r="G181" s="1659"/>
      <c r="H181" s="785"/>
      <c r="I181" s="1764"/>
    </row>
    <row r="182" spans="2:10" x14ac:dyDescent="0.35">
      <c r="B182" s="1859" t="str">
        <f>IF(BUDGET!A182=0,"",BUDGET!A182)</f>
        <v/>
      </c>
      <c r="C182" s="1707" t="str">
        <f>IF(BUDGET!AP182=0,"",BUDGET!AP182)</f>
        <v/>
      </c>
      <c r="D182" s="1712"/>
      <c r="E182" s="825"/>
      <c r="F182" s="1110"/>
      <c r="G182" s="1661"/>
      <c r="H182" s="825"/>
      <c r="I182" s="1766"/>
    </row>
    <row r="183" spans="2:10" ht="13.5" thickBot="1" x14ac:dyDescent="0.45">
      <c r="B183" s="1855" t="str">
        <f>IF(BUDGET!A183=0,"",BUDGET!A183)</f>
        <v>ELEM. SCHOOLS: SUB-TOTAL</v>
      </c>
      <c r="C183" s="1860">
        <f>IF(BUDGET!AP183=0,"",BUDGET!AP183)</f>
        <v>9735522.6341500022</v>
      </c>
      <c r="D183" s="1728"/>
      <c r="E183" s="977"/>
      <c r="F183" s="1633"/>
      <c r="G183" s="1674"/>
      <c r="H183" s="977"/>
      <c r="I183" s="1782"/>
    </row>
    <row r="184" spans="2:10" ht="13.5" thickTop="1" x14ac:dyDescent="0.4">
      <c r="B184" s="1841" t="str">
        <f>IF(BUDGET!A184=0,"",BUDGET!A184)</f>
        <v>PUBLIC WORKS &amp; FACILITIES</v>
      </c>
      <c r="C184" s="1861" t="str">
        <f>IF(BUDGET!AP184=0,"",BUDGET!AP184)</f>
        <v/>
      </c>
      <c r="D184" s="1729"/>
      <c r="E184" s="1618"/>
      <c r="F184" s="1634"/>
      <c r="G184" s="1675"/>
      <c r="H184" s="1618"/>
      <c r="I184" s="1783"/>
    </row>
    <row r="185" spans="2:10" x14ac:dyDescent="0.35">
      <c r="B185" s="1843" t="str">
        <f>IF(BUDGET!A185=0,"",BUDGET!A185)</f>
        <v>TOWN ENGINEER</v>
      </c>
      <c r="C185" s="1964" t="str">
        <f>IF(BUDGET!AP185=0,"",BUDGET!AP185)</f>
        <v/>
      </c>
      <c r="D185" s="1965"/>
      <c r="E185" s="1966"/>
      <c r="F185" s="1967"/>
      <c r="G185" s="1968"/>
      <c r="H185" s="1966"/>
      <c r="I185" s="1969"/>
      <c r="J185">
        <v>1</v>
      </c>
    </row>
    <row r="186" spans="2:10" x14ac:dyDescent="0.35">
      <c r="B186" s="1843" t="str">
        <f>IF(BUDGET!A186=0,"",BUDGET!A186)</f>
        <v xml:space="preserve">   SALARY</v>
      </c>
      <c r="C186" s="1964" t="str">
        <f>IF(BUDGET!AP186=0,"",BUDGET!AP186)</f>
        <v/>
      </c>
      <c r="D186" s="1964"/>
      <c r="E186" s="1970"/>
      <c r="F186" s="1971"/>
      <c r="G186" s="1972"/>
      <c r="H186" s="1970"/>
      <c r="I186" s="1973"/>
      <c r="J186">
        <v>1</v>
      </c>
    </row>
    <row r="187" spans="2:10" x14ac:dyDescent="0.35">
      <c r="B187" s="1843" t="str">
        <f>IF(BUDGET!A187=0,"",BUDGET!A187)</f>
        <v xml:space="preserve">   WAGES</v>
      </c>
      <c r="C187" s="1964" t="str">
        <f>IF(BUDGET!AP187=0,"",BUDGET!AP187)</f>
        <v/>
      </c>
      <c r="D187" s="1964"/>
      <c r="E187" s="1970"/>
      <c r="F187" s="1971"/>
      <c r="G187" s="1972"/>
      <c r="H187" s="1970"/>
      <c r="I187" s="1973"/>
      <c r="J187">
        <v>1</v>
      </c>
    </row>
    <row r="188" spans="2:10" x14ac:dyDescent="0.35">
      <c r="B188" s="1843" t="str">
        <f>IF(BUDGET!A188=0,"",BUDGET!A188)</f>
        <v xml:space="preserve">   OTHER</v>
      </c>
      <c r="C188" s="1964" t="str">
        <f>IF(BUDGET!AP188=0,"",BUDGET!AP188)</f>
        <v/>
      </c>
      <c r="D188" s="1964"/>
      <c r="E188" s="1970"/>
      <c r="F188" s="1971"/>
      <c r="G188" s="1972"/>
      <c r="H188" s="1970"/>
      <c r="I188" s="1973"/>
      <c r="J188">
        <v>1</v>
      </c>
    </row>
    <row r="189" spans="2:10" ht="13.15" x14ac:dyDescent="0.4">
      <c r="B189" s="1841" t="str">
        <f>IF(BUDGET!A189=0,"",BUDGET!A189)</f>
        <v xml:space="preserve">   TOTAL</v>
      </c>
      <c r="C189" s="1974" t="str">
        <f>IF(BUDGET!AP189=0,"",BUDGET!AP189)</f>
        <v/>
      </c>
      <c r="D189" s="1974"/>
      <c r="E189" s="1975"/>
      <c r="F189" s="1976"/>
      <c r="G189" s="1977"/>
      <c r="H189" s="1975"/>
      <c r="I189" s="1978"/>
      <c r="J189">
        <v>1</v>
      </c>
    </row>
    <row r="190" spans="2:10" ht="13.15" x14ac:dyDescent="0.4">
      <c r="B190" s="1844" t="str">
        <f>IF(BUDGET!A190=0,"",BUDGET!A190)</f>
        <v/>
      </c>
      <c r="C190" s="2001" t="str">
        <f>IF(BUDGET!AP190=0,"",BUDGET!AP190)</f>
        <v/>
      </c>
      <c r="D190" s="2001"/>
      <c r="E190" s="2002"/>
      <c r="F190" s="2003"/>
      <c r="G190" s="2004"/>
      <c r="H190" s="2002"/>
      <c r="I190" s="2005"/>
      <c r="J190">
        <v>1</v>
      </c>
    </row>
    <row r="191" spans="2:10" ht="13.15" x14ac:dyDescent="0.4">
      <c r="B191" s="1843" t="str">
        <f>IF(BUDGET!A191=0,"",BUDGET!A191)</f>
        <v xml:space="preserve">STORM WATER </v>
      </c>
      <c r="C191" s="1710" t="str">
        <f>IF(BUDGET!AP191=0,"",BUDGET!AP191)</f>
        <v/>
      </c>
      <c r="D191" s="1710"/>
      <c r="E191" s="785"/>
      <c r="F191" s="820"/>
      <c r="G191" s="1659"/>
      <c r="H191" s="785"/>
      <c r="I191" s="1764"/>
    </row>
    <row r="192" spans="2:10" ht="13.15" x14ac:dyDescent="0.4">
      <c r="B192" s="1843" t="str">
        <f>IF(BUDGET!A192=0,"",BUDGET!A192)</f>
        <v xml:space="preserve">   SALARY</v>
      </c>
      <c r="C192" s="1710" t="str">
        <f>IF(BUDGET!AP192=0,"",BUDGET!AP192)</f>
        <v/>
      </c>
      <c r="D192" s="1710"/>
      <c r="E192" s="785"/>
      <c r="F192" s="820"/>
      <c r="G192" s="1659"/>
      <c r="H192" s="785"/>
      <c r="I192" s="1764"/>
    </row>
    <row r="193" spans="2:9" x14ac:dyDescent="0.35">
      <c r="B193" s="1843" t="str">
        <f>IF(BUDGET!A193=0,"",BUDGET!A193)</f>
        <v xml:space="preserve">   WAGES</v>
      </c>
      <c r="C193" s="1733">
        <f>IF(BUDGET!AP193=0,"",BUDGET!AP193)</f>
        <v>5413</v>
      </c>
      <c r="D193" s="1709"/>
      <c r="E193" s="810"/>
      <c r="F193" s="1410"/>
      <c r="G193" s="1658"/>
      <c r="H193" s="810"/>
      <c r="I193" s="1763"/>
    </row>
    <row r="194" spans="2:9" x14ac:dyDescent="0.35">
      <c r="B194" s="1843" t="str">
        <f>IF(BUDGET!A194=0,"",BUDGET!A194)</f>
        <v xml:space="preserve">   OTHER</v>
      </c>
      <c r="C194" s="1733">
        <f>IF(BUDGET!AP194=0,"",BUDGET!AP194)</f>
        <v>10000</v>
      </c>
      <c r="D194" s="1709"/>
      <c r="E194" s="810"/>
      <c r="F194" s="1410"/>
      <c r="G194" s="1658"/>
      <c r="H194" s="810"/>
      <c r="I194" s="1763"/>
    </row>
    <row r="195" spans="2:9" ht="13.15" x14ac:dyDescent="0.4">
      <c r="B195" s="1841" t="str">
        <f>IF(BUDGET!A195=0,"",BUDGET!A195)</f>
        <v xml:space="preserve">   TOTAL</v>
      </c>
      <c r="C195" s="1710">
        <f>IF(BUDGET!AP195=0,"",BUDGET!AP195)</f>
        <v>15413</v>
      </c>
      <c r="D195" s="1710"/>
      <c r="E195" s="785"/>
      <c r="F195" s="820"/>
      <c r="G195" s="1659"/>
      <c r="H195" s="785"/>
      <c r="I195" s="1764"/>
    </row>
    <row r="196" spans="2:9" ht="13.15" x14ac:dyDescent="0.4">
      <c r="B196" s="1844" t="str">
        <f>IF(BUDGET!A196=0,"",BUDGET!A196)</f>
        <v/>
      </c>
      <c r="C196" s="1724" t="str">
        <f>IF(BUDGET!AP196=0,"",BUDGET!AP196)</f>
        <v/>
      </c>
      <c r="D196" s="1724"/>
      <c r="E196" s="942"/>
      <c r="F196" s="939"/>
      <c r="G196" s="1670"/>
      <c r="H196" s="942"/>
      <c r="I196" s="1778"/>
    </row>
    <row r="197" spans="2:9" ht="13.15" x14ac:dyDescent="0.4">
      <c r="B197" s="1843" t="str">
        <f>IF(BUDGET!A197=0,"",BUDGET!A197)</f>
        <v xml:space="preserve">MSW COLLECTION,HHW &amp; RECYCLING </v>
      </c>
      <c r="C197" s="1710" t="str">
        <f>IF(BUDGET!AP197=0,"",BUDGET!AP197)</f>
        <v/>
      </c>
      <c r="D197" s="1710"/>
      <c r="E197" s="785"/>
      <c r="F197" s="820"/>
      <c r="G197" s="1659"/>
      <c r="H197" s="785"/>
      <c r="I197" s="1764"/>
    </row>
    <row r="198" spans="2:9" x14ac:dyDescent="0.35">
      <c r="B198" s="1843" t="str">
        <f>IF(BUDGET!A198=0,"",BUDGET!A198)</f>
        <v xml:space="preserve">   SERVICES</v>
      </c>
      <c r="C198" s="1733">
        <f>IF(BUDGET!AP198=0,"",BUDGET!AP198)</f>
        <v>428915</v>
      </c>
      <c r="D198" s="1709"/>
      <c r="E198" s="810"/>
      <c r="F198" s="1410"/>
      <c r="G198" s="1658"/>
      <c r="H198" s="810"/>
      <c r="I198" s="1763"/>
    </row>
    <row r="199" spans="2:9" ht="13.15" x14ac:dyDescent="0.4">
      <c r="B199" s="1841" t="str">
        <f>IF(BUDGET!A199=0,"",BUDGET!A199)</f>
        <v xml:space="preserve">   TOTAL</v>
      </c>
      <c r="C199" s="1710">
        <f>IF(BUDGET!AP199=0,"",BUDGET!AP199)</f>
        <v>428915</v>
      </c>
      <c r="D199" s="1710"/>
      <c r="E199" s="785"/>
      <c r="F199" s="820"/>
      <c r="G199" s="1659"/>
      <c r="H199" s="785"/>
      <c r="I199" s="1764"/>
    </row>
    <row r="200" spans="2:9" ht="13.15" x14ac:dyDescent="0.4">
      <c r="B200" s="1844" t="str">
        <f>IF(BUDGET!A200=0,"",BUDGET!A200)</f>
        <v/>
      </c>
      <c r="C200" s="1724" t="str">
        <f>IF(BUDGET!AP200=0,"",BUDGET!AP200)</f>
        <v/>
      </c>
      <c r="D200" s="1724"/>
      <c r="E200" s="942"/>
      <c r="F200" s="939"/>
      <c r="G200" s="1670"/>
      <c r="H200" s="942"/>
      <c r="I200" s="1778"/>
    </row>
    <row r="201" spans="2:9" ht="13.15" x14ac:dyDescent="0.4">
      <c r="B201" s="1853" t="str">
        <f>IF(BUDGET!A201=0,"",BUDGET!A201)</f>
        <v>RECYCLING</v>
      </c>
      <c r="C201" s="1710" t="str">
        <f>IF(BUDGET!AP201=0,"",BUDGET!AP201)</f>
        <v/>
      </c>
      <c r="D201" s="1710"/>
      <c r="E201" s="785"/>
      <c r="F201" s="820"/>
      <c r="G201" s="1659"/>
      <c r="H201" s="785"/>
      <c r="I201" s="1764"/>
    </row>
    <row r="202" spans="2:9" x14ac:dyDescent="0.35">
      <c r="B202" s="1843" t="str">
        <f>IF(BUDGET!A202=0,"",BUDGET!A202)</f>
        <v xml:space="preserve">   WAGES</v>
      </c>
      <c r="C202" s="1707" t="str">
        <f>IF(BUDGET!AP202=0,"",BUDGET!AP202)</f>
        <v/>
      </c>
      <c r="D202" s="1707"/>
      <c r="E202" s="788"/>
      <c r="F202" s="841"/>
      <c r="G202" s="1656"/>
      <c r="H202" s="788"/>
      <c r="I202" s="1761"/>
    </row>
    <row r="203" spans="2:9" x14ac:dyDescent="0.35">
      <c r="B203" s="1843" t="str">
        <f>IF(BUDGET!A203=0,"",BUDGET!A203)</f>
        <v xml:space="preserve">   OTHER</v>
      </c>
      <c r="C203" s="1733">
        <f>IF(BUDGET!AP203=0,"",BUDGET!AP203)</f>
        <v>1650</v>
      </c>
      <c r="D203" s="1709"/>
      <c r="E203" s="810"/>
      <c r="F203" s="1410"/>
      <c r="G203" s="1658"/>
      <c r="H203" s="810"/>
      <c r="I203" s="1763"/>
    </row>
    <row r="204" spans="2:9" ht="13.15" x14ac:dyDescent="0.4">
      <c r="B204" s="1841" t="str">
        <f>IF(BUDGET!A204=0,"",BUDGET!A204)</f>
        <v xml:space="preserve">   TOTAL</v>
      </c>
      <c r="C204" s="1710">
        <f>IF(BUDGET!AP204=0,"",BUDGET!AP204)</f>
        <v>1650</v>
      </c>
      <c r="D204" s="1710"/>
      <c r="E204" s="785"/>
      <c r="F204" s="820"/>
      <c r="G204" s="1659"/>
      <c r="H204" s="785"/>
      <c r="I204" s="1764"/>
    </row>
    <row r="205" spans="2:9" ht="13.15" x14ac:dyDescent="0.4">
      <c r="B205" s="1845" t="str">
        <f>IF(BUDGET!A205=0,"",BUDGET!A205)</f>
        <v/>
      </c>
      <c r="C205" s="1724" t="str">
        <f>IF(BUDGET!AP205=0,"",BUDGET!AP205)</f>
        <v/>
      </c>
      <c r="D205" s="1724"/>
      <c r="E205" s="942"/>
      <c r="F205" s="939"/>
      <c r="G205" s="1670"/>
      <c r="H205" s="942"/>
      <c r="I205" s="1778"/>
    </row>
    <row r="206" spans="2:9" ht="13.15" x14ac:dyDescent="0.4">
      <c r="B206" s="1843" t="str">
        <f>IF(BUDGET!A211=0,"",BUDGET!A211)</f>
        <v>PARK AND CEMETERY</v>
      </c>
      <c r="C206" s="1710" t="str">
        <f>IF(BUDGET!AP211=0,"",BUDGET!AP211)</f>
        <v/>
      </c>
      <c r="D206" s="1710"/>
      <c r="E206" s="785"/>
      <c r="F206" s="820"/>
      <c r="G206" s="1659"/>
      <c r="H206" s="785"/>
      <c r="I206" s="1764"/>
    </row>
    <row r="207" spans="2:9" x14ac:dyDescent="0.35">
      <c r="B207" s="1843" t="str">
        <f>IF(BUDGET!A212=0,"",BUDGET!A212)</f>
        <v xml:space="preserve">   SALARY</v>
      </c>
      <c r="C207" s="1733">
        <f>IF(BUDGET!AP212=0,"",BUDGET!AP212)</f>
        <v>44708</v>
      </c>
      <c r="D207" s="1709"/>
      <c r="E207" s="810"/>
      <c r="F207" s="1410"/>
      <c r="G207" s="1658"/>
      <c r="H207" s="810"/>
      <c r="I207" s="1763"/>
    </row>
    <row r="208" spans="2:9" x14ac:dyDescent="0.35">
      <c r="B208" s="1843" t="str">
        <f>IF(BUDGET!A213=0,"",BUDGET!A213)</f>
        <v xml:space="preserve">   WAGES</v>
      </c>
      <c r="C208" s="1733">
        <f>IF(BUDGET!AP213=0,"",BUDGET!AP213)</f>
        <v>190277</v>
      </c>
      <c r="D208" s="1709"/>
      <c r="E208" s="810"/>
      <c r="F208" s="1410"/>
      <c r="G208" s="1658"/>
      <c r="H208" s="810"/>
      <c r="I208" s="1763"/>
    </row>
    <row r="209" spans="2:9" x14ac:dyDescent="0.35">
      <c r="B209" s="1843" t="str">
        <f>IF(BUDGET!A214=0,"",BUDGET!A214)</f>
        <v xml:space="preserve">   OTHER</v>
      </c>
      <c r="C209" s="1733">
        <f>IF(BUDGET!AP214=0,"",BUDGET!AP214)</f>
        <v>103670</v>
      </c>
      <c r="D209" s="1709"/>
      <c r="E209" s="810"/>
      <c r="F209" s="1410"/>
      <c r="G209" s="1658"/>
      <c r="H209" s="897"/>
      <c r="I209" s="1960"/>
    </row>
    <row r="210" spans="2:9" x14ac:dyDescent="0.35">
      <c r="B210" s="1843" t="str">
        <f>IF(BUDGET!A215=0,"",BUDGET!A215)</f>
        <v xml:space="preserve">   SALE OF LOTS</v>
      </c>
      <c r="C210" s="1707" t="str">
        <f>IF(BUDGET!AP215=0,"",BUDGET!AP215)</f>
        <v/>
      </c>
      <c r="D210" s="1707"/>
      <c r="E210" s="788"/>
      <c r="F210" s="841"/>
      <c r="G210" s="1656"/>
      <c r="H210" s="788"/>
      <c r="I210" s="1761"/>
    </row>
    <row r="211" spans="2:9" ht="13.15" x14ac:dyDescent="0.4">
      <c r="B211" s="1843" t="str">
        <f>IF(BUDGET!A216=0,"",BUDGET!A216)</f>
        <v xml:space="preserve">   PERPETUAL CARE TRUST FUND</v>
      </c>
      <c r="C211" s="1710" t="str">
        <f>IF(BUDGET!AP216=0,"",BUDGET!AP216)</f>
        <v/>
      </c>
      <c r="D211" s="1717"/>
      <c r="E211" s="827"/>
      <c r="F211" s="1127"/>
      <c r="G211" s="1666"/>
      <c r="H211" s="827"/>
      <c r="I211" s="1771"/>
    </row>
    <row r="212" spans="2:9" ht="13.15" x14ac:dyDescent="0.4">
      <c r="B212" s="1841" t="str">
        <f>IF(BUDGET!A217=0,"",BUDGET!A217)</f>
        <v xml:space="preserve">   TOTAL</v>
      </c>
      <c r="C212" s="1710">
        <f>IF(BUDGET!AP217=0,"",BUDGET!AP217)</f>
        <v>338655</v>
      </c>
      <c r="D212" s="1710"/>
      <c r="E212" s="785"/>
      <c r="F212" s="820"/>
      <c r="G212" s="1659"/>
      <c r="H212" s="785"/>
      <c r="I212" s="1764"/>
    </row>
    <row r="213" spans="2:9" ht="13.15" x14ac:dyDescent="0.4">
      <c r="B213" s="1841" t="str">
        <f>IF(BUDGET!A218=0,"",BUDGET!A218)</f>
        <v/>
      </c>
      <c r="C213" s="1710" t="str">
        <f>IF(BUDGET!AP218=0,"",BUDGET!AP218)</f>
        <v/>
      </c>
      <c r="D213" s="1710"/>
      <c r="E213" s="785"/>
      <c r="F213" s="820"/>
      <c r="G213" s="1659"/>
      <c r="H213" s="785"/>
      <c r="I213" s="1764"/>
    </row>
    <row r="214" spans="2:9" ht="13.15" x14ac:dyDescent="0.4">
      <c r="B214" s="1853" t="str">
        <f>IF(BUDGET!A219=0,"",BUDGET!A219)</f>
        <v>LANDFILL</v>
      </c>
      <c r="C214" s="1730" t="str">
        <f>IF(BUDGET!AP219=0,"",BUDGET!AP219)</f>
        <v/>
      </c>
      <c r="D214" s="1730"/>
      <c r="E214" s="1431"/>
      <c r="F214" s="1635"/>
      <c r="G214" s="1676"/>
      <c r="H214" s="1431"/>
      <c r="I214" s="1784"/>
    </row>
    <row r="215" spans="2:9" x14ac:dyDescent="0.35">
      <c r="B215" s="1843" t="str">
        <f>IF(BUDGET!A220=0,"",BUDGET!A220)</f>
        <v xml:space="preserve">   OTHER</v>
      </c>
      <c r="C215" s="1707">
        <f>IF(BUDGET!AP220=0,"",BUDGET!AP220)</f>
        <v>29600</v>
      </c>
      <c r="D215" s="1707"/>
      <c r="E215" s="788"/>
      <c r="F215" s="841"/>
      <c r="G215" s="1656"/>
      <c r="H215" s="788"/>
      <c r="I215" s="1761"/>
    </row>
    <row r="216" spans="2:9" ht="13.15" x14ac:dyDescent="0.4">
      <c r="B216" s="1841" t="str">
        <f>IF(BUDGET!A221=0,"",BUDGET!A221)</f>
        <v xml:space="preserve">   TOTAL</v>
      </c>
      <c r="C216" s="1710">
        <f>IF(BUDGET!AP221=0,"",BUDGET!AP221)</f>
        <v>29600</v>
      </c>
      <c r="D216" s="1710"/>
      <c r="E216" s="785"/>
      <c r="F216" s="820"/>
      <c r="G216" s="1659"/>
      <c r="H216" s="785"/>
      <c r="I216" s="1764"/>
    </row>
    <row r="217" spans="2:9" ht="13.15" x14ac:dyDescent="0.4">
      <c r="B217" s="1844" t="str">
        <f>IF(BUDGET!A222=0,"",BUDGET!A222)</f>
        <v/>
      </c>
      <c r="C217" s="1745" t="str">
        <f>IF(BUDGET!AP222=0,"",BUDGET!AP222)</f>
        <v/>
      </c>
      <c r="D217" s="1711"/>
      <c r="E217" s="822"/>
      <c r="F217" s="1160"/>
      <c r="G217" s="1660"/>
      <c r="H217" s="822"/>
      <c r="I217" s="1765"/>
    </row>
    <row r="218" spans="2:9" x14ac:dyDescent="0.35">
      <c r="B218" s="1843" t="str">
        <f>IF(BUDGET!A223=0,"",BUDGET!A223)</f>
        <v>GENERAL HIGHWAY</v>
      </c>
      <c r="C218" s="1707" t="str">
        <f>IF(BUDGET!AP223=0,"",BUDGET!AP223)</f>
        <v/>
      </c>
      <c r="D218" s="1712"/>
      <c r="E218" s="825"/>
      <c r="F218" s="1110"/>
      <c r="G218" s="1661"/>
      <c r="H218" s="825"/>
      <c r="I218" s="1766"/>
    </row>
    <row r="219" spans="2:9" x14ac:dyDescent="0.35">
      <c r="B219" s="1843" t="str">
        <f>IF(BUDGET!A224=0,"",BUDGET!A224)</f>
        <v xml:space="preserve">   SALARY</v>
      </c>
      <c r="C219" s="1733">
        <f>IF(BUDGET!AP224=0,"",BUDGET!AP224)</f>
        <v>66956</v>
      </c>
      <c r="D219" s="1709"/>
      <c r="E219" s="810"/>
      <c r="F219" s="1410"/>
      <c r="G219" s="1658"/>
      <c r="H219" s="810"/>
      <c r="I219" s="1763"/>
    </row>
    <row r="220" spans="2:9" x14ac:dyDescent="0.35">
      <c r="B220" s="1843" t="str">
        <f>IF(BUDGET!A225=0,"",BUDGET!A225)</f>
        <v xml:space="preserve">   WAGES</v>
      </c>
      <c r="C220" s="1733">
        <f>IF(BUDGET!AP225=0,"",BUDGET!AP225)</f>
        <v>344790</v>
      </c>
      <c r="D220" s="1709"/>
      <c r="E220" s="810"/>
      <c r="F220" s="1410"/>
      <c r="G220" s="1658"/>
      <c r="H220" s="810"/>
      <c r="I220" s="1763"/>
    </row>
    <row r="221" spans="2:9" x14ac:dyDescent="0.35">
      <c r="B221" s="1843" t="str">
        <f>IF(BUDGET!A226=0,"",BUDGET!A226)</f>
        <v xml:space="preserve">   CAPITAL  (LEASES)</v>
      </c>
      <c r="C221" s="1733" t="str">
        <f>IF(BUDGET!AP226=0,"",BUDGET!AP226)</f>
        <v/>
      </c>
      <c r="D221" s="1709"/>
      <c r="E221" s="810"/>
      <c r="F221" s="1410"/>
      <c r="G221" s="1658"/>
      <c r="H221" s="810"/>
      <c r="I221" s="1763"/>
    </row>
    <row r="222" spans="2:9" x14ac:dyDescent="0.35">
      <c r="B222" s="1843" t="str">
        <f>IF(BUDGET!A227=0,"",BUDGET!A227)</f>
        <v xml:space="preserve">   ROADS &amp; BRIDGES</v>
      </c>
      <c r="C222" s="1733">
        <f>IF(BUDGET!AP227=0,"",BUDGET!AP227)</f>
        <v>74067</v>
      </c>
      <c r="D222" s="1709"/>
      <c r="E222" s="810"/>
      <c r="F222" s="1410"/>
      <c r="G222" s="1658"/>
      <c r="H222" s="810"/>
      <c r="I222" s="1763"/>
    </row>
    <row r="223" spans="2:9" x14ac:dyDescent="0.35">
      <c r="B223" s="1843" t="str">
        <f>IF(BUDGET!A228=0,"",BUDGET!A228)</f>
        <v xml:space="preserve">   SUPPLIES, SERVICES</v>
      </c>
      <c r="C223" s="1733">
        <f>IF(BUDGET!AP228=0,"",BUDGET!AP228)</f>
        <v>118491</v>
      </c>
      <c r="D223" s="1709"/>
      <c r="E223" s="810"/>
      <c r="F223" s="1410"/>
      <c r="G223" s="1658"/>
      <c r="H223" s="810"/>
      <c r="I223" s="1763"/>
    </row>
    <row r="224" spans="2:9" x14ac:dyDescent="0.35">
      <c r="B224" s="1843" t="str">
        <f>IF(BUDGET!A229=0,"",BUDGET!A229)</f>
        <v xml:space="preserve"> DIESEL &amp; GASOLINE</v>
      </c>
      <c r="C224" s="1733">
        <f>IF(BUDGET!AP229=0,"",BUDGET!AP229)</f>
        <v>54000</v>
      </c>
      <c r="D224" s="1709"/>
      <c r="E224" s="810"/>
      <c r="F224" s="1410"/>
      <c r="G224" s="1658"/>
      <c r="H224" s="810"/>
      <c r="I224" s="1763"/>
    </row>
    <row r="225" spans="2:9" ht="13.15" x14ac:dyDescent="0.4">
      <c r="B225" s="1841" t="str">
        <f>IF(BUDGET!A230=0,"",BUDGET!A230)</f>
        <v xml:space="preserve">   TOTAL</v>
      </c>
      <c r="C225" s="1710">
        <f>IF(BUDGET!AP230=0,"",BUDGET!AP230)</f>
        <v>658304</v>
      </c>
      <c r="D225" s="1710"/>
      <c r="E225" s="785"/>
      <c r="F225" s="820"/>
      <c r="G225" s="1659"/>
      <c r="H225" s="785"/>
      <c r="I225" s="1764"/>
    </row>
    <row r="226" spans="2:9" x14ac:dyDescent="0.35">
      <c r="B226" s="1845" t="str">
        <f>IF(BUDGET!A231=0,"",BUDGET!A231)</f>
        <v xml:space="preserve"> </v>
      </c>
      <c r="C226" s="1862" t="str">
        <f>IF(BUDGET!AP231=0,"",BUDGET!AP231)</f>
        <v/>
      </c>
      <c r="D226" s="1731"/>
      <c r="E226" s="797"/>
      <c r="F226" s="1636"/>
      <c r="G226" s="1677"/>
      <c r="H226" s="797"/>
      <c r="I226" s="1785"/>
    </row>
    <row r="227" spans="2:9" x14ac:dyDescent="0.35">
      <c r="B227" s="1843" t="str">
        <f>IF(BUDGET!A232=0,"",BUDGET!A232)</f>
        <v>SNOW AND ICE</v>
      </c>
      <c r="C227" s="1707" t="str">
        <f>IF(BUDGET!AP232=0,"",BUDGET!AP232)</f>
        <v/>
      </c>
      <c r="D227" s="1712"/>
      <c r="E227" s="825"/>
      <c r="F227" s="1110"/>
      <c r="G227" s="1661"/>
      <c r="H227" s="825"/>
      <c r="I227" s="1766"/>
    </row>
    <row r="228" spans="2:9" x14ac:dyDescent="0.35">
      <c r="B228" s="1863" t="str">
        <f>IF(BUDGET!A233=0,"",BUDGET!A233)</f>
        <v xml:space="preserve">   WAGES</v>
      </c>
      <c r="C228" s="1733">
        <f>IF(BUDGET!AP233=0,"",BUDGET!AP233)</f>
        <v>38870</v>
      </c>
      <c r="D228" s="1709"/>
      <c r="E228" s="810"/>
      <c r="F228" s="1410"/>
      <c r="G228" s="1658"/>
      <c r="H228" s="810"/>
      <c r="I228" s="1763"/>
    </row>
    <row r="229" spans="2:9" x14ac:dyDescent="0.35">
      <c r="B229" s="1843" t="str">
        <f>IF(BUDGET!A234=0,"",BUDGET!A234)</f>
        <v xml:space="preserve">   OTHER</v>
      </c>
      <c r="C229" s="1733">
        <f>IF(BUDGET!AP234=0,"",BUDGET!AP234)</f>
        <v>176845</v>
      </c>
      <c r="D229" s="1709"/>
      <c r="E229" s="810"/>
      <c r="F229" s="1410"/>
      <c r="G229" s="1658"/>
      <c r="H229" s="810"/>
      <c r="I229" s="1763"/>
    </row>
    <row r="230" spans="2:9" ht="13.15" x14ac:dyDescent="0.4">
      <c r="B230" s="1841" t="str">
        <f>IF(BUDGET!A235=0,"",BUDGET!A235)</f>
        <v xml:space="preserve">   TOTAL</v>
      </c>
      <c r="C230" s="1710">
        <f>IF(BUDGET!AP235=0,"",BUDGET!AP235)</f>
        <v>215715</v>
      </c>
      <c r="D230" s="1710"/>
      <c r="E230" s="785"/>
      <c r="F230" s="820"/>
      <c r="G230" s="1659"/>
      <c r="H230" s="785"/>
      <c r="I230" s="1764"/>
    </row>
    <row r="231" spans="2:9" ht="13.15" x14ac:dyDescent="0.4">
      <c r="B231" s="1844" t="str">
        <f>IF(BUDGET!A236=0,"",BUDGET!A236)</f>
        <v>5-YR ROLLING AVG</v>
      </c>
      <c r="C231" s="1862" t="str">
        <f>IF(BUDGET!AP236=0,"",BUDGET!AP236)</f>
        <v/>
      </c>
      <c r="D231" s="1731"/>
      <c r="E231" s="797"/>
      <c r="F231" s="1636"/>
      <c r="G231" s="1677"/>
      <c r="H231" s="797"/>
      <c r="I231" s="1785"/>
    </row>
    <row r="232" spans="2:9" x14ac:dyDescent="0.35">
      <c r="B232" s="1843" t="str">
        <f>IF(BUDGET!A237=0,"",BUDGET!A237)</f>
        <v>STREET LIGHTS</v>
      </c>
      <c r="C232" s="1707" t="str">
        <f>IF(BUDGET!AP237=0,"",BUDGET!AP237)</f>
        <v/>
      </c>
      <c r="D232" s="1712"/>
      <c r="E232" s="825"/>
      <c r="F232" s="1110"/>
      <c r="G232" s="1661"/>
      <c r="H232" s="825"/>
      <c r="I232" s="1766"/>
    </row>
    <row r="233" spans="2:9" x14ac:dyDescent="0.35">
      <c r="B233" s="1843" t="str">
        <f>IF(BUDGET!A238=0,"",BUDGET!A238)</f>
        <v xml:space="preserve">   SERVICES</v>
      </c>
      <c r="C233" s="1707" t="str">
        <f>IF(BUDGET!AP238=0,"",BUDGET!AP238)</f>
        <v/>
      </c>
      <c r="D233" s="1707"/>
      <c r="E233" s="788"/>
      <c r="F233" s="841"/>
      <c r="G233" s="1656"/>
      <c r="H233" s="788"/>
      <c r="I233" s="1761"/>
    </row>
    <row r="234" spans="2:9" x14ac:dyDescent="0.35">
      <c r="B234" s="1843" t="str">
        <f>IF(BUDGET!A239=0,"",BUDGET!A239)</f>
        <v xml:space="preserve">   OTHER</v>
      </c>
      <c r="C234" s="1733">
        <f>IF(BUDGET!AP239=0,"",BUDGET!AP239)</f>
        <v>30000</v>
      </c>
      <c r="D234" s="1709"/>
      <c r="E234" s="810"/>
      <c r="F234" s="1410"/>
      <c r="G234" s="1658"/>
      <c r="H234" s="810"/>
      <c r="I234" s="1763"/>
    </row>
    <row r="235" spans="2:9" ht="13.15" x14ac:dyDescent="0.4">
      <c r="B235" s="1849" t="str">
        <f>IF(BUDGET!A240=0,"",BUDGET!A240)</f>
        <v xml:space="preserve">   TOTAL</v>
      </c>
      <c r="C235" s="1710">
        <f>IF(BUDGET!AP240=0,"",BUDGET!AP240)</f>
        <v>30000</v>
      </c>
      <c r="D235" s="1710"/>
      <c r="E235" s="785"/>
      <c r="F235" s="820"/>
      <c r="G235" s="1659"/>
      <c r="H235" s="785"/>
      <c r="I235" s="1764"/>
    </row>
    <row r="236" spans="2:9" ht="13.15" x14ac:dyDescent="0.4">
      <c r="B236" s="1844" t="str">
        <f>IF(BUDGET!A241=0,"",BUDGET!A241)</f>
        <v/>
      </c>
      <c r="C236" s="1862" t="str">
        <f>IF(BUDGET!AP241=0,"",BUDGET!AP241)</f>
        <v/>
      </c>
      <c r="D236" s="1731"/>
      <c r="E236" s="797"/>
      <c r="F236" s="1636"/>
      <c r="G236" s="1677"/>
      <c r="H236" s="797"/>
      <c r="I236" s="1785"/>
    </row>
    <row r="237" spans="2:9" ht="13.15" x14ac:dyDescent="0.4">
      <c r="B237" s="1841" t="str">
        <f>IF(BUDGET!A242=0,"",BUDGET!A242)</f>
        <v>PUBLIC WKS &amp; FACIL.:  SUB-TOTAL</v>
      </c>
      <c r="C237" s="1707" t="str">
        <f>IF(BUDGET!AP242=0,"",BUDGET!AP242)</f>
        <v/>
      </c>
      <c r="D237" s="1712"/>
      <c r="E237" s="825"/>
      <c r="F237" s="1110"/>
      <c r="G237" s="1661"/>
      <c r="H237" s="825"/>
      <c r="I237" s="1766"/>
    </row>
    <row r="238" spans="2:9" ht="13.15" x14ac:dyDescent="0.4">
      <c r="B238" s="1841" t="str">
        <f>IF(BUDGET!A243=0,"",BUDGET!A243)</f>
        <v xml:space="preserve">   SALARIES</v>
      </c>
      <c r="C238" s="1720">
        <f>IF(BUDGET!AP243=0,"",BUDGET!AP243)</f>
        <v>111664</v>
      </c>
      <c r="D238" s="1720"/>
      <c r="E238" s="888"/>
      <c r="F238" s="1626"/>
      <c r="G238" s="1668"/>
      <c r="H238" s="888"/>
      <c r="I238" s="1774"/>
    </row>
    <row r="239" spans="2:9" ht="13.15" x14ac:dyDescent="0.4">
      <c r="B239" s="1841" t="str">
        <f>IF(BUDGET!A244=0,"",BUDGET!A244)</f>
        <v xml:space="preserve">   WAGES</v>
      </c>
      <c r="C239" s="1720">
        <f>IF(BUDGET!AP244=0,"",BUDGET!AP244)</f>
        <v>579350</v>
      </c>
      <c r="D239" s="1720"/>
      <c r="E239" s="888"/>
      <c r="F239" s="1626"/>
      <c r="G239" s="1668"/>
      <c r="H239" s="888"/>
      <c r="I239" s="1774"/>
    </row>
    <row r="240" spans="2:9" ht="13.15" x14ac:dyDescent="0.4">
      <c r="B240" s="1841" t="str">
        <f>IF(BUDGET!A245=0,"",BUDGET!A245)</f>
        <v xml:space="preserve">   OTHER</v>
      </c>
      <c r="C240" s="1732">
        <f>IF(BUDGET!AP245=0,"",BUDGET!AP245)</f>
        <v>1027238</v>
      </c>
      <c r="D240" s="1732"/>
      <c r="E240" s="845"/>
      <c r="F240" s="1074"/>
      <c r="G240" s="1668"/>
      <c r="H240" s="845"/>
      <c r="I240" s="1786"/>
    </row>
    <row r="241" spans="2:10" ht="13.15" x14ac:dyDescent="0.4">
      <c r="B241" s="1841" t="str">
        <f>IF(BUDGET!A246=0,"",BUDGET!A246)</f>
        <v>CAPITAL EQUIP.</v>
      </c>
      <c r="C241" s="1733" t="str">
        <f>IF(BUDGET!AP246=0,"",BUDGET!AP246)</f>
        <v/>
      </c>
      <c r="D241" s="1733"/>
      <c r="E241" s="1453"/>
      <c r="F241" s="1637"/>
      <c r="G241" s="1678"/>
      <c r="H241" s="1453"/>
      <c r="I241" s="1787"/>
    </row>
    <row r="242" spans="2:10" ht="13.5" thickBot="1" x14ac:dyDescent="0.45">
      <c r="B242" s="1855" t="str">
        <f>IF(BUDGET!A247=0,"",BUDGET!A247)</f>
        <v>PUBLIC WKS &amp; FACIL: SUB-TOTAL</v>
      </c>
      <c r="C242" s="1734">
        <f>IF(BUDGET!AP247=0,"",BUDGET!AP247)</f>
        <v>1718252</v>
      </c>
      <c r="D242" s="1734"/>
      <c r="E242" s="1017"/>
      <c r="F242" s="1638"/>
      <c r="G242" s="1669"/>
      <c r="H242" s="1017"/>
      <c r="I242" s="1788"/>
    </row>
    <row r="243" spans="2:10" ht="13.5" thickTop="1" x14ac:dyDescent="0.4">
      <c r="B243" s="1841" t="str">
        <f>IF(BUDGET!A248=0,"",BUDGET!A248)</f>
        <v>HUMAN SERVICES</v>
      </c>
      <c r="C243" s="1707" t="str">
        <f>IF(BUDGET!AP248=0,"",BUDGET!AP248)</f>
        <v/>
      </c>
      <c r="D243" s="1712"/>
      <c r="E243" s="825"/>
      <c r="F243" s="1110"/>
      <c r="G243" s="1661"/>
      <c r="H243" s="825"/>
      <c r="I243" s="1766"/>
    </row>
    <row r="244" spans="2:10" x14ac:dyDescent="0.35">
      <c r="B244" s="1843" t="str">
        <f>IF(BUDGET!A249=0,"",BUDGET!A249)</f>
        <v>BOARD OF HEALTH</v>
      </c>
      <c r="C244" s="1707" t="str">
        <f>IF(BUDGET!AP249=0,"",BUDGET!AP249)</f>
        <v/>
      </c>
      <c r="D244" s="1707"/>
      <c r="E244" s="788"/>
      <c r="F244" s="841"/>
      <c r="G244" s="1656"/>
      <c r="H244" s="788"/>
      <c r="I244" s="1761"/>
    </row>
    <row r="245" spans="2:10" x14ac:dyDescent="0.35">
      <c r="B245" s="1843" t="str">
        <f>IF(BUDGET!A250=0,"",BUDGET!A250)</f>
        <v xml:space="preserve">   SALARIES</v>
      </c>
      <c r="C245" s="1733">
        <f>IF(BUDGET!AP250=0,"",BUDGET!AP250)</f>
        <v>70763</v>
      </c>
      <c r="D245" s="1709"/>
      <c r="E245" s="810"/>
      <c r="F245" s="1410"/>
      <c r="G245" s="1658"/>
      <c r="H245" s="810"/>
      <c r="I245" s="1763"/>
    </row>
    <row r="246" spans="2:10" x14ac:dyDescent="0.35">
      <c r="B246" s="1843" t="str">
        <f>IF(BUDGET!A251=0,"",BUDGET!A251)</f>
        <v xml:space="preserve">   WAGES</v>
      </c>
      <c r="C246" s="1733">
        <f>IF(BUDGET!AP251=0,"",BUDGET!AP251)</f>
        <v>29743</v>
      </c>
      <c r="D246" s="1709"/>
      <c r="E246" s="810"/>
      <c r="F246" s="1410"/>
      <c r="G246" s="1658"/>
      <c r="H246" s="810"/>
      <c r="I246" s="1763"/>
    </row>
    <row r="247" spans="2:10" x14ac:dyDescent="0.35">
      <c r="B247" s="1843" t="str">
        <f>IF(BUDGET!A252=0,"",BUDGET!A252)</f>
        <v xml:space="preserve">   OTHER</v>
      </c>
      <c r="C247" s="1733">
        <f>IF(BUDGET!AP252=0,"",BUDGET!AP252)</f>
        <v>36576</v>
      </c>
      <c r="D247" s="1709"/>
      <c r="E247" s="810"/>
      <c r="F247" s="1410"/>
      <c r="G247" s="1658"/>
      <c r="H247" s="810"/>
      <c r="I247" s="1763"/>
    </row>
    <row r="248" spans="2:10" ht="13.15" x14ac:dyDescent="0.4">
      <c r="B248" s="1841" t="str">
        <f>IF(BUDGET!A253=0,"",BUDGET!A253)</f>
        <v xml:space="preserve">   TOTAL</v>
      </c>
      <c r="C248" s="1710">
        <f>IF(BUDGET!AP253=0,"",BUDGET!AP253)</f>
        <v>137082</v>
      </c>
      <c r="D248" s="1710"/>
      <c r="E248" s="785"/>
      <c r="F248" s="820"/>
      <c r="G248" s="1659"/>
      <c r="H248" s="785"/>
      <c r="I248" s="1764"/>
    </row>
    <row r="249" spans="2:10" ht="13.15" x14ac:dyDescent="0.4">
      <c r="B249" s="1844" t="str">
        <f>IF(BUDGET!A254=0,"",BUDGET!A254)</f>
        <v/>
      </c>
      <c r="C249" s="1745" t="str">
        <f>IF(BUDGET!AP254=0,"",BUDGET!AP254)</f>
        <v/>
      </c>
      <c r="D249" s="1711"/>
      <c r="E249" s="822"/>
      <c r="F249" s="1160"/>
      <c r="G249" s="1660"/>
      <c r="H249" s="822"/>
      <c r="I249" s="1765"/>
    </row>
    <row r="250" spans="2:10" x14ac:dyDescent="0.35">
      <c r="B250" s="1843" t="str">
        <f>IF(BUDGET!A255=0,"",BUDGET!A255)</f>
        <v>MOSQUITO CONTROL</v>
      </c>
      <c r="C250" s="1964" t="str">
        <f>IF(BUDGET!AP255=0,"",BUDGET!AP255)</f>
        <v/>
      </c>
      <c r="D250" s="1965"/>
      <c r="E250" s="1966"/>
      <c r="F250" s="1967"/>
      <c r="G250" s="1968"/>
      <c r="H250" s="1966"/>
      <c r="I250" s="1969"/>
      <c r="J250">
        <v>1</v>
      </c>
    </row>
    <row r="251" spans="2:10" x14ac:dyDescent="0.35">
      <c r="B251" s="1843" t="str">
        <f>IF(BUDGET!A256=0,"",BUDGET!A256)</f>
        <v>WAGES</v>
      </c>
      <c r="C251" s="1964" t="str">
        <f>IF(BUDGET!AP256=0,"",BUDGET!AP256)</f>
        <v/>
      </c>
      <c r="D251" s="1965"/>
      <c r="E251" s="1966"/>
      <c r="F251" s="1967"/>
      <c r="G251" s="1968"/>
      <c r="H251" s="1966"/>
      <c r="I251" s="1969"/>
      <c r="J251">
        <v>1</v>
      </c>
    </row>
    <row r="252" spans="2:10" x14ac:dyDescent="0.35">
      <c r="B252" s="1843" t="str">
        <f>IF(BUDGET!A257=0,"",BUDGET!A257)</f>
        <v xml:space="preserve">OTHER </v>
      </c>
      <c r="C252" s="1964" t="str">
        <f>IF(BUDGET!AP257=0,"",BUDGET!AP257)</f>
        <v/>
      </c>
      <c r="D252" s="1965"/>
      <c r="E252" s="1966"/>
      <c r="F252" s="1967"/>
      <c r="G252" s="1968"/>
      <c r="H252" s="1966"/>
      <c r="I252" s="1969"/>
      <c r="J252">
        <v>1</v>
      </c>
    </row>
    <row r="253" spans="2:10" ht="13.15" x14ac:dyDescent="0.4">
      <c r="B253" s="1841" t="str">
        <f>IF(BUDGET!A258=0,"",BUDGET!A258)</f>
        <v>TOTAL</v>
      </c>
      <c r="C253" s="1974" t="str">
        <f>IF(BUDGET!AP258=0,"",BUDGET!AP258)</f>
        <v/>
      </c>
      <c r="D253" s="1974"/>
      <c r="E253" s="1975"/>
      <c r="F253" s="1976"/>
      <c r="G253" s="1977"/>
      <c r="H253" s="1975"/>
      <c r="I253" s="1978"/>
      <c r="J253">
        <v>1</v>
      </c>
    </row>
    <row r="254" spans="2:10" ht="13.15" x14ac:dyDescent="0.4">
      <c r="B254" s="1844" t="str">
        <f>IF(BUDGET!A259=0,"",BUDGET!A259)</f>
        <v/>
      </c>
      <c r="C254" s="1979" t="str">
        <f>IF(BUDGET!AP259=0,"",BUDGET!AP259)</f>
        <v/>
      </c>
      <c r="D254" s="1980"/>
      <c r="E254" s="1981"/>
      <c r="F254" s="1982"/>
      <c r="G254" s="1983"/>
      <c r="H254" s="1981"/>
      <c r="I254" s="1984"/>
      <c r="J254">
        <v>1</v>
      </c>
    </row>
    <row r="255" spans="2:10" x14ac:dyDescent="0.35">
      <c r="B255" s="1843" t="str">
        <f>IF(BUDGET!A260=0,"",BUDGET!A260)</f>
        <v xml:space="preserve">MSW COLLECTION,HHW &amp; RECYCLING </v>
      </c>
      <c r="C255" s="1714" t="str">
        <f>IF(BUDGET!AP260=0,"",BUDGET!AP260)</f>
        <v/>
      </c>
      <c r="D255" s="1714"/>
      <c r="E255" s="1030"/>
      <c r="F255" s="1420"/>
      <c r="G255" s="1663"/>
      <c r="H255" s="1030"/>
      <c r="I255" s="1768"/>
      <c r="J255">
        <v>1</v>
      </c>
    </row>
    <row r="256" spans="2:10" x14ac:dyDescent="0.35">
      <c r="B256" s="1843" t="str">
        <f>IF(BUDGET!A261=0,"",BUDGET!A261)</f>
        <v xml:space="preserve">   SERVICES</v>
      </c>
      <c r="C256" s="1735" t="str">
        <f>IF(BUDGET!AP261=0,"",BUDGET!AP261)</f>
        <v/>
      </c>
      <c r="D256" s="1735"/>
      <c r="E256" s="1031"/>
      <c r="F256" s="1031"/>
      <c r="G256" s="1679"/>
      <c r="H256" s="1031"/>
      <c r="I256" s="1789"/>
      <c r="J256">
        <v>1</v>
      </c>
    </row>
    <row r="257" spans="2:10" ht="13.15" x14ac:dyDescent="0.4">
      <c r="B257" s="1841" t="str">
        <f>IF(BUDGET!A262=0,"",BUDGET!A262)</f>
        <v xml:space="preserve">   TOTAL</v>
      </c>
      <c r="C257" s="1864" t="str">
        <f>IF(BUDGET!AP262=0,"",BUDGET!AP262)</f>
        <v/>
      </c>
      <c r="D257" s="1736"/>
      <c r="E257" s="1033"/>
      <c r="F257" s="1033"/>
      <c r="G257" s="1680"/>
      <c r="H257" s="1033"/>
      <c r="I257" s="1790"/>
      <c r="J257">
        <v>1</v>
      </c>
    </row>
    <row r="258" spans="2:10" x14ac:dyDescent="0.35">
      <c r="B258" s="1845" t="str">
        <f>IF(BUDGET!A263=0,"",BUDGET!A263)</f>
        <v/>
      </c>
      <c r="C258" s="1847" t="str">
        <f>IF(BUDGET!AP263=0,"",BUDGET!AP263)</f>
        <v/>
      </c>
      <c r="D258" s="1716"/>
      <c r="E258" s="1034"/>
      <c r="F258" s="1624"/>
      <c r="G258" s="1665"/>
      <c r="H258" s="1034"/>
      <c r="I258" s="1770"/>
      <c r="J258">
        <v>1</v>
      </c>
    </row>
    <row r="259" spans="2:10" x14ac:dyDescent="0.35">
      <c r="B259" s="1853" t="str">
        <f>IF(BUDGET!A264=0,"",BUDGET!A264)</f>
        <v>RECYCLING</v>
      </c>
      <c r="C259" s="1714" t="str">
        <f>IF(BUDGET!AP264=0,"",BUDGET!AP264)</f>
        <v/>
      </c>
      <c r="D259" s="1714"/>
      <c r="E259" s="1030"/>
      <c r="F259" s="1420"/>
      <c r="G259" s="1663"/>
      <c r="H259" s="1030"/>
      <c r="I259" s="1768"/>
      <c r="J259">
        <v>1</v>
      </c>
    </row>
    <row r="260" spans="2:10" x14ac:dyDescent="0.35">
      <c r="B260" s="1843" t="str">
        <f>IF(BUDGET!A265=0,"",BUDGET!A265)</f>
        <v xml:space="preserve">   WAGES</v>
      </c>
      <c r="C260" s="1864" t="str">
        <f>IF(BUDGET!AP265=0,"",BUDGET!AP265)</f>
        <v/>
      </c>
      <c r="D260" s="1736"/>
      <c r="E260" s="1033"/>
      <c r="F260" s="1033"/>
      <c r="G260" s="1680"/>
      <c r="H260" s="1033"/>
      <c r="I260" s="1790"/>
      <c r="J260">
        <v>1</v>
      </c>
    </row>
    <row r="261" spans="2:10" x14ac:dyDescent="0.35">
      <c r="B261" s="1843" t="str">
        <f>IF(BUDGET!A266=0,"",BUDGET!A266)</f>
        <v xml:space="preserve">   OTHER</v>
      </c>
      <c r="C261" s="1864" t="str">
        <f>IF(BUDGET!AP266=0,"",BUDGET!AP266)</f>
        <v/>
      </c>
      <c r="D261" s="1736"/>
      <c r="E261" s="1033"/>
      <c r="F261" s="1033"/>
      <c r="G261" s="1680"/>
      <c r="H261" s="1033"/>
      <c r="I261" s="1790"/>
      <c r="J261">
        <v>1</v>
      </c>
    </row>
    <row r="262" spans="2:10" ht="13.15" x14ac:dyDescent="0.4">
      <c r="B262" s="1841" t="str">
        <f>IF(BUDGET!A267=0,"",BUDGET!A267)</f>
        <v xml:space="preserve">   TOTAL</v>
      </c>
      <c r="C262" s="1864" t="str">
        <f>IF(BUDGET!AP267=0,"",BUDGET!AP267)</f>
        <v/>
      </c>
      <c r="D262" s="1736"/>
      <c r="E262" s="1033"/>
      <c r="F262" s="1033"/>
      <c r="G262" s="1680"/>
      <c r="H262" s="1033"/>
      <c r="I262" s="1790"/>
      <c r="J262">
        <v>1</v>
      </c>
    </row>
    <row r="263" spans="2:10" x14ac:dyDescent="0.35">
      <c r="B263" s="1845" t="str">
        <f>IF(BUDGET!A268=0,"",BUDGET!A268)</f>
        <v/>
      </c>
      <c r="C263" s="1847" t="str">
        <f>IF(BUDGET!AP268=0,"",BUDGET!AP268)</f>
        <v/>
      </c>
      <c r="D263" s="1716"/>
      <c r="E263" s="1034"/>
      <c r="F263" s="1624"/>
      <c r="G263" s="1665"/>
      <c r="H263" s="1034"/>
      <c r="I263" s="1770"/>
      <c r="J263">
        <v>1</v>
      </c>
    </row>
    <row r="264" spans="2:10" x14ac:dyDescent="0.35">
      <c r="B264" s="1843" t="str">
        <f>IF(BUDGET!A269=0,"",BUDGET!A269)</f>
        <v>COUNCIL ON AGING</v>
      </c>
      <c r="C264" s="1707" t="str">
        <f>IF(BUDGET!AP269=0,"",BUDGET!AP269)</f>
        <v/>
      </c>
      <c r="D264" s="1707"/>
      <c r="E264" s="788"/>
      <c r="F264" s="841"/>
      <c r="G264" s="1656"/>
      <c r="H264" s="788"/>
      <c r="I264" s="1761"/>
    </row>
    <row r="265" spans="2:10" x14ac:dyDescent="0.35">
      <c r="B265" s="1843" t="str">
        <f>IF(BUDGET!A270=0,"",BUDGET!A270)</f>
        <v xml:space="preserve">   SALARIES </v>
      </c>
      <c r="C265" s="1733">
        <f>IF(BUDGET!AP270=0,"",BUDGET!AP270)</f>
        <v>70763</v>
      </c>
      <c r="D265" s="1709"/>
      <c r="E265" s="810"/>
      <c r="F265" s="1410"/>
      <c r="G265" s="1658"/>
      <c r="H265" s="810"/>
      <c r="I265" s="1763"/>
    </row>
    <row r="266" spans="2:10" x14ac:dyDescent="0.35">
      <c r="B266" s="1843" t="str">
        <f>IF(BUDGET!A271=0,"",BUDGET!A271)</f>
        <v xml:space="preserve">   WAGES</v>
      </c>
      <c r="C266" s="1733">
        <f>IF(BUDGET!AP271=0,"",BUDGET!AP271)</f>
        <v>64076</v>
      </c>
      <c r="D266" s="1709"/>
      <c r="E266" s="810"/>
      <c r="F266" s="1410"/>
      <c r="G266" s="1658"/>
      <c r="H266" s="810"/>
      <c r="I266" s="1763"/>
    </row>
    <row r="267" spans="2:10" x14ac:dyDescent="0.35">
      <c r="B267" s="1843" t="str">
        <f>IF(BUDGET!A272=0,"",BUDGET!A272)</f>
        <v xml:space="preserve">   OTHER</v>
      </c>
      <c r="C267" s="1733">
        <f>IF(BUDGET!AP272=0,"",BUDGET!AP272)</f>
        <v>5561</v>
      </c>
      <c r="D267" s="1709"/>
      <c r="E267" s="810"/>
      <c r="F267" s="1410"/>
      <c r="G267" s="1658"/>
      <c r="H267" s="810"/>
      <c r="I267" s="1763"/>
    </row>
    <row r="268" spans="2:10" ht="13.15" x14ac:dyDescent="0.4">
      <c r="B268" s="1841" t="str">
        <f>IF(BUDGET!A273=0,"",BUDGET!A273)</f>
        <v xml:space="preserve">   TOTAL</v>
      </c>
      <c r="C268" s="1710">
        <f>IF(BUDGET!AP273=0,"",BUDGET!AP273)</f>
        <v>140400</v>
      </c>
      <c r="D268" s="1710"/>
      <c r="E268" s="785"/>
      <c r="F268" s="820"/>
      <c r="G268" s="1659"/>
      <c r="H268" s="785"/>
      <c r="I268" s="1764"/>
    </row>
    <row r="269" spans="2:10" x14ac:dyDescent="0.35">
      <c r="B269" s="1845" t="str">
        <f>IF(BUDGET!A274=0,"",BUDGET!A274)</f>
        <v/>
      </c>
      <c r="C269" s="1745" t="str">
        <f>IF(BUDGET!AP274=0,"",BUDGET!AP274)</f>
        <v/>
      </c>
      <c r="D269" s="1711"/>
      <c r="E269" s="822"/>
      <c r="F269" s="1160"/>
      <c r="G269" s="1660"/>
      <c r="H269" s="822"/>
      <c r="I269" s="1765"/>
    </row>
    <row r="270" spans="2:10" x14ac:dyDescent="0.35">
      <c r="B270" s="1843" t="str">
        <f>IF(BUDGET!A275=0,"",BUDGET!A275)</f>
        <v>TRI-TOWN COUNCIL</v>
      </c>
      <c r="C270" s="1964" t="str">
        <f>IF(BUDGET!AP275=0,"",BUDGET!AP275)</f>
        <v/>
      </c>
      <c r="D270" s="1964"/>
      <c r="E270" s="1970"/>
      <c r="F270" s="1971"/>
      <c r="G270" s="1972"/>
      <c r="H270" s="1970"/>
      <c r="I270" s="1973"/>
      <c r="J270">
        <v>1</v>
      </c>
    </row>
    <row r="271" spans="2:10" x14ac:dyDescent="0.35">
      <c r="B271" s="1843" t="str">
        <f>IF(BUDGET!A276=0,"",BUDGET!A276)</f>
        <v xml:space="preserve">   SERVICES</v>
      </c>
      <c r="C271" s="1964" t="str">
        <f>IF(BUDGET!AP276=0,"",BUDGET!AP276)</f>
        <v/>
      </c>
      <c r="D271" s="1965"/>
      <c r="E271" s="1966"/>
      <c r="F271" s="1967"/>
      <c r="G271" s="1968"/>
      <c r="H271" s="1966"/>
      <c r="I271" s="1969"/>
      <c r="J271">
        <v>1</v>
      </c>
    </row>
    <row r="272" spans="2:10" ht="13.15" x14ac:dyDescent="0.4">
      <c r="B272" s="1841" t="str">
        <f>IF(BUDGET!A277=0,"",BUDGET!A277)</f>
        <v xml:space="preserve">   TOTAL</v>
      </c>
      <c r="C272" s="1974" t="str">
        <f>IF(BUDGET!AP277=0,"",BUDGET!AP277)</f>
        <v/>
      </c>
      <c r="D272" s="1974"/>
      <c r="E272" s="1975"/>
      <c r="F272" s="1976"/>
      <c r="G272" s="1977"/>
      <c r="H272" s="1975"/>
      <c r="I272" s="1978"/>
      <c r="J272">
        <v>1</v>
      </c>
    </row>
    <row r="273" spans="2:10" ht="13.15" x14ac:dyDescent="0.4">
      <c r="B273" s="1844" t="str">
        <f>IF(BUDGET!A278=0,"",BUDGET!A278)</f>
        <v/>
      </c>
      <c r="C273" s="2001" t="str">
        <f>IF(BUDGET!AP278=0,"",BUDGET!AP278)</f>
        <v/>
      </c>
      <c r="D273" s="2006"/>
      <c r="E273" s="2007"/>
      <c r="F273" s="2008"/>
      <c r="G273" s="2009"/>
      <c r="H273" s="2007"/>
      <c r="I273" s="2010"/>
      <c r="J273">
        <v>1</v>
      </c>
    </row>
    <row r="274" spans="2:10" x14ac:dyDescent="0.35">
      <c r="B274" s="1843" t="str">
        <f>IF(BUDGET!A279=0,"",BUDGET!A279)</f>
        <v>HAWC</v>
      </c>
      <c r="C274" s="1964" t="str">
        <f>IF(BUDGET!AP279=0,"",BUDGET!AP279)</f>
        <v/>
      </c>
      <c r="D274" s="1964"/>
      <c r="E274" s="1970"/>
      <c r="F274" s="1971"/>
      <c r="G274" s="1972"/>
      <c r="H274" s="1970"/>
      <c r="I274" s="1973"/>
      <c r="J274">
        <v>1</v>
      </c>
    </row>
    <row r="275" spans="2:10" x14ac:dyDescent="0.35">
      <c r="B275" s="1843" t="str">
        <f>IF(BUDGET!A280=0,"",BUDGET!A280)</f>
        <v xml:space="preserve">  OTHER</v>
      </c>
      <c r="C275" s="1964" t="str">
        <f>IF(BUDGET!AP280=0,"",BUDGET!AP280)</f>
        <v/>
      </c>
      <c r="D275" s="1965"/>
      <c r="E275" s="1966"/>
      <c r="F275" s="1967"/>
      <c r="G275" s="1968"/>
      <c r="H275" s="1966"/>
      <c r="I275" s="1969"/>
      <c r="J275">
        <v>1</v>
      </c>
    </row>
    <row r="276" spans="2:10" ht="13.15" x14ac:dyDescent="0.4">
      <c r="B276" s="1844" t="str">
        <f>IF(BUDGET!A281=0,"",BUDGET!A281)</f>
        <v xml:space="preserve">  TOTAL</v>
      </c>
      <c r="C276" s="1974" t="str">
        <f>IF(BUDGET!AP281=0,"",BUDGET!AP281)</f>
        <v/>
      </c>
      <c r="D276" s="1991"/>
      <c r="E276" s="1992"/>
      <c r="F276" s="1993"/>
      <c r="G276" s="1994"/>
      <c r="H276" s="1992"/>
      <c r="I276" s="1995"/>
      <c r="J276">
        <v>1</v>
      </c>
    </row>
    <row r="277" spans="2:10" x14ac:dyDescent="0.35">
      <c r="B277" s="1843" t="str">
        <f>IF(BUDGET!A282=0,"",BUDGET!A282)</f>
        <v>VETERANS BENEFITS</v>
      </c>
      <c r="C277" s="1707" t="str">
        <f>IF(BUDGET!AP282=0,"",BUDGET!AP282)</f>
        <v/>
      </c>
      <c r="D277" s="1707"/>
      <c r="E277" s="788"/>
      <c r="F277" s="841"/>
      <c r="G277" s="1656"/>
      <c r="H277" s="788"/>
      <c r="I277" s="1761"/>
    </row>
    <row r="278" spans="2:10" x14ac:dyDescent="0.35">
      <c r="B278" s="1843" t="str">
        <f>IF(BUDGET!A283=0,"",BUDGET!A283)</f>
        <v xml:space="preserve">   VET. BNFTS</v>
      </c>
      <c r="C278" s="1733">
        <f>IF(BUDGET!AP283=0,"",BUDGET!AP283)</f>
        <v>20960</v>
      </c>
      <c r="D278" s="1709"/>
      <c r="E278" s="810"/>
      <c r="F278" s="1410"/>
      <c r="G278" s="1658"/>
      <c r="H278" s="810"/>
      <c r="I278" s="1763"/>
    </row>
    <row r="279" spans="2:10" ht="13.15" x14ac:dyDescent="0.4">
      <c r="B279" s="1841" t="str">
        <f>IF(BUDGET!A284=0,"",BUDGET!A284)</f>
        <v xml:space="preserve">   TOTAL</v>
      </c>
      <c r="C279" s="1710">
        <f>IF(BUDGET!AP284=0,"",BUDGET!AP284)</f>
        <v>20960</v>
      </c>
      <c r="D279" s="1710"/>
      <c r="E279" s="785"/>
      <c r="F279" s="820"/>
      <c r="G279" s="1659"/>
      <c r="H279" s="785"/>
      <c r="I279" s="1764"/>
    </row>
    <row r="280" spans="2:10" x14ac:dyDescent="0.35">
      <c r="B280" s="1845" t="str">
        <f>IF(BUDGET!A285=0,"",BUDGET!A285)</f>
        <v/>
      </c>
      <c r="C280" s="1745" t="str">
        <f>IF(BUDGET!AP285=0,"",BUDGET!AP285)</f>
        <v/>
      </c>
      <c r="D280" s="1711"/>
      <c r="E280" s="822"/>
      <c r="F280" s="1160"/>
      <c r="G280" s="1660"/>
      <c r="H280" s="822"/>
      <c r="I280" s="1765"/>
    </row>
    <row r="281" spans="2:10" x14ac:dyDescent="0.35">
      <c r="B281" s="1843" t="str">
        <f>IF(BUDGET!A286=0,"",BUDGET!A286)</f>
        <v>SOLDIERS &amp; SAILORS GRAVES</v>
      </c>
      <c r="C281" s="1707" t="str">
        <f>IF(BUDGET!AP286=0,"",BUDGET!AP286)</f>
        <v/>
      </c>
      <c r="D281" s="1707"/>
      <c r="E281" s="788"/>
      <c r="F281" s="841"/>
      <c r="G281" s="1656"/>
      <c r="H281" s="788"/>
      <c r="I281" s="1761"/>
    </row>
    <row r="282" spans="2:10" x14ac:dyDescent="0.35">
      <c r="B282" s="1843" t="str">
        <f>IF(BUDGET!A287=0,"",BUDGET!A287)</f>
        <v xml:space="preserve">   OTHER</v>
      </c>
      <c r="C282" s="1733">
        <f>IF(BUDGET!AP287=0,"",BUDGET!AP287)</f>
        <v>1000</v>
      </c>
      <c r="D282" s="1709"/>
      <c r="E282" s="810"/>
      <c r="F282" s="1410"/>
      <c r="G282" s="1658"/>
      <c r="H282" s="810"/>
      <c r="I282" s="1763"/>
    </row>
    <row r="283" spans="2:10" ht="13.15" x14ac:dyDescent="0.4">
      <c r="B283" s="1841" t="str">
        <f>IF(BUDGET!A288=0,"",BUDGET!A288)</f>
        <v xml:space="preserve">   TOTAL</v>
      </c>
      <c r="C283" s="1710">
        <f>IF(BUDGET!AP288=0,"",BUDGET!AP288)</f>
        <v>1000</v>
      </c>
      <c r="D283" s="1710"/>
      <c r="E283" s="785"/>
      <c r="F283" s="820"/>
      <c r="G283" s="1659"/>
      <c r="H283" s="785"/>
      <c r="I283" s="1764"/>
    </row>
    <row r="284" spans="2:10" x14ac:dyDescent="0.35">
      <c r="B284" s="1845" t="str">
        <f>IF(BUDGET!A289=0,"",BUDGET!A289)</f>
        <v/>
      </c>
      <c r="C284" s="1745" t="str">
        <f>IF(BUDGET!AP289=0,"",BUDGET!AP289)</f>
        <v/>
      </c>
      <c r="D284" s="1711"/>
      <c r="E284" s="822"/>
      <c r="F284" s="1160"/>
      <c r="G284" s="1660"/>
      <c r="H284" s="822"/>
      <c r="I284" s="1765"/>
    </row>
    <row r="285" spans="2:10" ht="13.15" x14ac:dyDescent="0.4">
      <c r="B285" s="1841" t="str">
        <f>IF(BUDGET!A290=0,"",BUDGET!A290)</f>
        <v>SUBTOTAL:    HUMAN SERVICES</v>
      </c>
      <c r="C285" s="1710" t="str">
        <f>IF(BUDGET!AP290=0,"",BUDGET!AP290)</f>
        <v/>
      </c>
      <c r="D285" s="1717"/>
      <c r="E285" s="827"/>
      <c r="F285" s="1127"/>
      <c r="G285" s="1666"/>
      <c r="H285" s="827"/>
      <c r="I285" s="1771"/>
    </row>
    <row r="286" spans="2:10" ht="13.15" x14ac:dyDescent="0.4">
      <c r="B286" s="1841" t="str">
        <f>IF(BUDGET!A291=0,"",BUDGET!A291)</f>
        <v xml:space="preserve">   SALARIES</v>
      </c>
      <c r="C286" s="1720">
        <f>IF(BUDGET!AP291=0,"",BUDGET!AP291)</f>
        <v>141526</v>
      </c>
      <c r="D286" s="1720"/>
      <c r="E286" s="888"/>
      <c r="F286" s="1626"/>
      <c r="G286" s="1668"/>
      <c r="H286" s="888"/>
      <c r="I286" s="1774"/>
    </row>
    <row r="287" spans="2:10" ht="13.15" x14ac:dyDescent="0.4">
      <c r="B287" s="1841" t="str">
        <f>IF(BUDGET!A292=0,"",BUDGET!A292)</f>
        <v xml:space="preserve">   WAGES</v>
      </c>
      <c r="C287" s="1720">
        <f>IF(BUDGET!AP292=0,"",BUDGET!AP292)</f>
        <v>93819</v>
      </c>
      <c r="D287" s="1720"/>
      <c r="E287" s="888"/>
      <c r="F287" s="1626"/>
      <c r="G287" s="1668"/>
      <c r="H287" s="888"/>
      <c r="I287" s="1774"/>
    </row>
    <row r="288" spans="2:10" ht="13.15" x14ac:dyDescent="0.4">
      <c r="B288" s="1841" t="str">
        <f>IF(BUDGET!A293=0,"",BUDGET!A293)</f>
        <v xml:space="preserve">   SERVICES</v>
      </c>
      <c r="C288" s="1720" t="str">
        <f>IF(BUDGET!AP293=0,"",BUDGET!AP293)</f>
        <v/>
      </c>
      <c r="D288" s="1720"/>
      <c r="E288" s="888"/>
      <c r="F288" s="1626"/>
      <c r="G288" s="1668"/>
      <c r="H288" s="888"/>
      <c r="I288" s="1774"/>
    </row>
    <row r="289" spans="2:9" ht="13.15" x14ac:dyDescent="0.4">
      <c r="B289" s="1841" t="str">
        <f>IF(BUDGET!A294=0,"",BUDGET!A294)</f>
        <v xml:space="preserve">   OTHER</v>
      </c>
      <c r="C289" s="1720">
        <f>IF(BUDGET!AP294=0,"",BUDGET!AP294)</f>
        <v>43137</v>
      </c>
      <c r="D289" s="1720"/>
      <c r="E289" s="888"/>
      <c r="F289" s="1626"/>
      <c r="G289" s="1668"/>
      <c r="H289" s="888"/>
      <c r="I289" s="1774"/>
    </row>
    <row r="290" spans="2:9" ht="13.15" x14ac:dyDescent="0.4">
      <c r="B290" s="1841" t="str">
        <f>IF(BUDGET!A295=0,"",BUDGET!A295)</f>
        <v>VET'S BENEFITS</v>
      </c>
      <c r="C290" s="1720">
        <f>IF(BUDGET!AP295=0,"",BUDGET!AP295)</f>
        <v>20960</v>
      </c>
      <c r="D290" s="1720"/>
      <c r="E290" s="888"/>
      <c r="F290" s="1626"/>
      <c r="G290" s="1668"/>
      <c r="H290" s="888"/>
      <c r="I290" s="1774"/>
    </row>
    <row r="291" spans="2:9" ht="13.5" thickBot="1" x14ac:dyDescent="0.45">
      <c r="B291" s="1855" t="str">
        <f>IF(BUDGET!A296=0,"",BUDGET!A296)</f>
        <v>HUMAN SERVICES:  SUB-TOTAL</v>
      </c>
      <c r="C291" s="1734">
        <f>IF(BUDGET!AP296=0,"",BUDGET!AP296)</f>
        <v>299442</v>
      </c>
      <c r="D291" s="1734"/>
      <c r="E291" s="1017"/>
      <c r="F291" s="1638"/>
      <c r="G291" s="1669"/>
      <c r="H291" s="1017"/>
      <c r="I291" s="1788"/>
    </row>
    <row r="292" spans="2:9" ht="13.5" thickTop="1" x14ac:dyDescent="0.4">
      <c r="B292" s="1841" t="str">
        <f>IF(BUDGET!A297=0,"",BUDGET!A297)</f>
        <v>CULTURE AND RECREATION</v>
      </c>
      <c r="C292" s="1707" t="str">
        <f>IF(BUDGET!AP297=0,"",BUDGET!AP297)</f>
        <v/>
      </c>
      <c r="D292" s="1712"/>
      <c r="E292" s="825"/>
      <c r="F292" s="1110"/>
      <c r="G292" s="1661"/>
      <c r="H292" s="825"/>
      <c r="I292" s="1766"/>
    </row>
    <row r="293" spans="2:9" x14ac:dyDescent="0.35">
      <c r="B293" s="1843" t="str">
        <f>IF(BUDGET!A298=0,"",BUDGET!A298)</f>
        <v>LIBRARY</v>
      </c>
      <c r="C293" s="1707" t="str">
        <f>IF(BUDGET!AP298=0,"",BUDGET!AP298)</f>
        <v/>
      </c>
      <c r="D293" s="1707"/>
      <c r="E293" s="788"/>
      <c r="F293" s="841"/>
      <c r="G293" s="1656"/>
      <c r="H293" s="788"/>
      <c r="I293" s="1761"/>
    </row>
    <row r="294" spans="2:9" x14ac:dyDescent="0.35">
      <c r="B294" s="1843" t="str">
        <f>IF(BUDGET!A299=0,"",BUDGET!A299)</f>
        <v xml:space="preserve">   SALARIES</v>
      </c>
      <c r="C294" s="1733">
        <f>IF(BUDGET!AP299=0,"",BUDGET!AP299)</f>
        <v>269364</v>
      </c>
      <c r="D294" s="1709"/>
      <c r="E294" s="810"/>
      <c r="F294" s="1410"/>
      <c r="G294" s="1658"/>
      <c r="H294" s="810"/>
      <c r="I294" s="1763"/>
    </row>
    <row r="295" spans="2:9" x14ac:dyDescent="0.35">
      <c r="B295" s="1843" t="str">
        <f>IF(BUDGET!A300=0,"",BUDGET!A300)</f>
        <v xml:space="preserve">   WAGES</v>
      </c>
      <c r="C295" s="1733">
        <f>IF(BUDGET!AP300=0,"",BUDGET!AP300)</f>
        <v>220889</v>
      </c>
      <c r="D295" s="1709"/>
      <c r="E295" s="810"/>
      <c r="F295" s="1410"/>
      <c r="G295" s="1658"/>
      <c r="H295" s="810"/>
      <c r="I295" s="1763"/>
    </row>
    <row r="296" spans="2:9" x14ac:dyDescent="0.35">
      <c r="B296" s="1843" t="str">
        <f>IF(BUDGET!A301=0,"",BUDGET!A301)</f>
        <v xml:space="preserve">   OTHER</v>
      </c>
      <c r="C296" s="1733">
        <f>IF(BUDGET!AP301=0,"",BUDGET!AP301)</f>
        <v>176656</v>
      </c>
      <c r="D296" s="1709"/>
      <c r="E296" s="810"/>
      <c r="F296" s="1410"/>
      <c r="G296" s="1658"/>
      <c r="H296" s="897"/>
      <c r="I296" s="1960"/>
    </row>
    <row r="297" spans="2:9" x14ac:dyDescent="0.35">
      <c r="B297" s="1843" t="str">
        <f>IF(BUDGET!A302=0,"",BUDGET!A302)</f>
        <v xml:space="preserve">   MISC.</v>
      </c>
      <c r="C297" s="1707" t="str">
        <f>IF(BUDGET!AP302=0,"",BUDGET!AP302)</f>
        <v/>
      </c>
      <c r="D297" s="1707"/>
      <c r="E297" s="788"/>
      <c r="F297" s="841"/>
      <c r="G297" s="1656"/>
      <c r="H297" s="788"/>
      <c r="I297" s="1761"/>
    </row>
    <row r="298" spans="2:9" x14ac:dyDescent="0.35">
      <c r="B298" s="1843" t="str">
        <f>IF(BUDGET!A303=0,"",BUDGET!A303)</f>
        <v xml:space="preserve">   SUB-TOTAL</v>
      </c>
      <c r="C298" s="1737">
        <f>IF(BUDGET!AP303=0,"",BUDGET!AP303)</f>
        <v>666909</v>
      </c>
      <c r="D298" s="1737"/>
      <c r="E298" s="1454"/>
      <c r="F298" s="1639"/>
      <c r="G298" s="1681"/>
      <c r="H298" s="1454"/>
      <c r="I298" s="1791"/>
    </row>
    <row r="299" spans="2:9" ht="13.15" x14ac:dyDescent="0.4">
      <c r="B299" s="1843" t="str">
        <f>IF(BUDGET!A304=0,"",BUDGET!A304)</f>
        <v xml:space="preserve">   TRUST FUNDS</v>
      </c>
      <c r="C299" s="1865" t="str">
        <f>IF(BUDGET!AP304=0,"",BUDGET!AP304)</f>
        <v/>
      </c>
      <c r="D299" s="1738"/>
      <c r="E299" s="863"/>
      <c r="F299" s="1128"/>
      <c r="G299" s="1682"/>
      <c r="H299" s="863"/>
      <c r="I299" s="1792"/>
    </row>
    <row r="300" spans="2:9" ht="13.15" x14ac:dyDescent="0.4">
      <c r="B300" s="1841" t="str">
        <f>IF(BUDGET!A305=0,"",BUDGET!A305)</f>
        <v xml:space="preserve">   TOTAL</v>
      </c>
      <c r="C300" s="1710">
        <f>IF(BUDGET!AP305=0,"",BUDGET!AP305)</f>
        <v>666909</v>
      </c>
      <c r="D300" s="1710"/>
      <c r="E300" s="785"/>
      <c r="F300" s="820"/>
      <c r="G300" s="1659"/>
      <c r="H300" s="785"/>
      <c r="I300" s="1764"/>
    </row>
    <row r="301" spans="2:9" x14ac:dyDescent="0.35">
      <c r="B301" s="1845" t="str">
        <f>IF(BUDGET!A306=0,"",BUDGET!A306)</f>
        <v/>
      </c>
      <c r="C301" s="1745" t="str">
        <f>IF(BUDGET!AP306=0,"",BUDGET!AP306)</f>
        <v/>
      </c>
      <c r="D301" s="1711"/>
      <c r="E301" s="822"/>
      <c r="F301" s="1160"/>
      <c r="G301" s="1660"/>
      <c r="H301" s="822"/>
      <c r="I301" s="1765"/>
    </row>
    <row r="302" spans="2:9" x14ac:dyDescent="0.35">
      <c r="B302" s="1843" t="str">
        <f>IF(BUDGET!A307=0,"",BUDGET!A307)</f>
        <v>RECREATION</v>
      </c>
      <c r="C302" s="1707" t="str">
        <f>IF(BUDGET!AP307=0,"",BUDGET!AP307)</f>
        <v/>
      </c>
      <c r="D302" s="1712"/>
      <c r="E302" s="825"/>
      <c r="F302" s="1110"/>
      <c r="G302" s="1661"/>
      <c r="H302" s="825"/>
      <c r="I302" s="1766"/>
    </row>
    <row r="303" spans="2:9" x14ac:dyDescent="0.35">
      <c r="B303" s="1843" t="str">
        <f>IF(BUDGET!A308=0,"",BUDGET!A308)</f>
        <v xml:space="preserve">   SALARY</v>
      </c>
      <c r="C303" s="1707" t="str">
        <f>IF(BUDGET!AP308=0,"",BUDGET!AP308)</f>
        <v/>
      </c>
      <c r="D303" s="1712"/>
      <c r="E303" s="825"/>
      <c r="F303" s="1110"/>
      <c r="G303" s="1661"/>
      <c r="H303" s="825"/>
      <c r="I303" s="1766"/>
    </row>
    <row r="304" spans="2:9" x14ac:dyDescent="0.35">
      <c r="B304" s="1843" t="str">
        <f>IF(BUDGET!A309=0,"",BUDGET!A309)</f>
        <v xml:space="preserve">   WAGES</v>
      </c>
      <c r="C304" s="1707">
        <f>IF(BUDGET!AP309=0,"",BUDGET!AP309)</f>
        <v>31708</v>
      </c>
      <c r="D304" s="1712"/>
      <c r="E304" s="825"/>
      <c r="F304" s="1110"/>
      <c r="G304" s="1661"/>
      <c r="H304" s="825"/>
      <c r="I304" s="1766"/>
    </row>
    <row r="305" spans="2:10" x14ac:dyDescent="0.35">
      <c r="B305" s="1843" t="str">
        <f>IF(BUDGET!A310=0,"",BUDGET!A310)</f>
        <v xml:space="preserve">   OTHER</v>
      </c>
      <c r="C305" s="1707">
        <f>IF(BUDGET!AP310=0,"",BUDGET!AP310)</f>
        <v>2000</v>
      </c>
      <c r="D305" s="1712"/>
      <c r="E305" s="825"/>
      <c r="F305" s="1110"/>
      <c r="G305" s="1661"/>
      <c r="H305" s="825"/>
      <c r="I305" s="1766"/>
    </row>
    <row r="306" spans="2:10" ht="13.15" x14ac:dyDescent="0.4">
      <c r="B306" s="1841" t="str">
        <f>IF(BUDGET!A311=0,"",BUDGET!A311)</f>
        <v xml:space="preserve">   TOTAL</v>
      </c>
      <c r="C306" s="1710">
        <f>IF(BUDGET!AP311=0,"",BUDGET!AP311)</f>
        <v>33708</v>
      </c>
      <c r="D306" s="1717"/>
      <c r="E306" s="827"/>
      <c r="F306" s="1127"/>
      <c r="G306" s="1666"/>
      <c r="H306" s="827"/>
      <c r="I306" s="1771"/>
    </row>
    <row r="307" spans="2:10" x14ac:dyDescent="0.35">
      <c r="B307" s="1845" t="str">
        <f>IF(BUDGET!A312=0,"",BUDGET!A312)</f>
        <v/>
      </c>
      <c r="C307" s="1745" t="str">
        <f>IF(BUDGET!AP312=0,"",BUDGET!AP312)</f>
        <v/>
      </c>
      <c r="D307" s="1711"/>
      <c r="E307" s="822"/>
      <c r="F307" s="1160"/>
      <c r="G307" s="1660"/>
      <c r="H307" s="822"/>
      <c r="I307" s="1765"/>
    </row>
    <row r="308" spans="2:10" x14ac:dyDescent="0.35">
      <c r="B308" s="1843" t="str">
        <f>IF(BUDGET!A313=0,"",BUDGET!A313)</f>
        <v/>
      </c>
      <c r="C308" s="1964" t="str">
        <f>IF(BUDGET!AP313=0,"",BUDGET!AP313)</f>
        <v/>
      </c>
      <c r="D308" s="1965"/>
      <c r="E308" s="1966"/>
      <c r="F308" s="1967"/>
      <c r="G308" s="1968"/>
      <c r="H308" s="1966"/>
      <c r="I308" s="1969"/>
      <c r="J308">
        <v>1</v>
      </c>
    </row>
    <row r="309" spans="2:10" x14ac:dyDescent="0.35">
      <c r="B309" s="1843" t="str">
        <f>IF(BUDGET!A314=0,"",BUDGET!A314)</f>
        <v/>
      </c>
      <c r="C309" s="1964" t="str">
        <f>IF(BUDGET!AP314=0,"",BUDGET!AP314)</f>
        <v/>
      </c>
      <c r="D309" s="1965"/>
      <c r="E309" s="1966"/>
      <c r="F309" s="1967"/>
      <c r="G309" s="1968"/>
      <c r="H309" s="1966"/>
      <c r="I309" s="1969"/>
      <c r="J309">
        <v>1</v>
      </c>
    </row>
    <row r="310" spans="2:10" x14ac:dyDescent="0.35">
      <c r="B310" s="1843" t="str">
        <f>IF(BUDGET!A315=0,"",BUDGET!A315)</f>
        <v>PARK AND CEMETERY</v>
      </c>
      <c r="C310" s="1714" t="str">
        <f>IF(BUDGET!AP315=0,"",BUDGET!AP315)</f>
        <v/>
      </c>
      <c r="D310" s="1714"/>
      <c r="E310" s="1030"/>
      <c r="F310" s="1420"/>
      <c r="G310" s="1663"/>
      <c r="H310" s="1030"/>
      <c r="I310" s="1768"/>
      <c r="J310">
        <v>1</v>
      </c>
    </row>
    <row r="311" spans="2:10" x14ac:dyDescent="0.35">
      <c r="B311" s="1843" t="str">
        <f>IF(BUDGET!A316=0,"",BUDGET!A316)</f>
        <v xml:space="preserve">   SALARY</v>
      </c>
      <c r="C311" s="1735" t="str">
        <f>IF(BUDGET!AP316=0,"",BUDGET!AP316)</f>
        <v/>
      </c>
      <c r="D311" s="1735"/>
      <c r="E311" s="1031"/>
      <c r="F311" s="1031"/>
      <c r="G311" s="1679"/>
      <c r="H311" s="1031"/>
      <c r="I311" s="1789"/>
      <c r="J311">
        <v>1</v>
      </c>
    </row>
    <row r="312" spans="2:10" x14ac:dyDescent="0.35">
      <c r="B312" s="1843" t="str">
        <f>IF(BUDGET!A317=0,"",BUDGET!A317)</f>
        <v xml:space="preserve">   WAGES</v>
      </c>
      <c r="C312" s="1735" t="str">
        <f>IF(BUDGET!AP317=0,"",BUDGET!AP317)</f>
        <v/>
      </c>
      <c r="D312" s="1735"/>
      <c r="E312" s="1031"/>
      <c r="F312" s="1031"/>
      <c r="G312" s="1679"/>
      <c r="H312" s="1031"/>
      <c r="I312" s="1789"/>
      <c r="J312">
        <v>1</v>
      </c>
    </row>
    <row r="313" spans="2:10" x14ac:dyDescent="0.35">
      <c r="B313" s="1843" t="str">
        <f>IF(BUDGET!A318=0,"",BUDGET!A318)</f>
        <v xml:space="preserve">   OTHER</v>
      </c>
      <c r="C313" s="1735" t="str">
        <f>IF(BUDGET!AP318=0,"",BUDGET!AP318)</f>
        <v/>
      </c>
      <c r="D313" s="1735"/>
      <c r="E313" s="1031"/>
      <c r="F313" s="1031"/>
      <c r="G313" s="1679"/>
      <c r="H313" s="1031"/>
      <c r="I313" s="1789"/>
      <c r="J313">
        <v>1</v>
      </c>
    </row>
    <row r="314" spans="2:10" x14ac:dyDescent="0.35">
      <c r="B314" s="1843" t="str">
        <f>IF(BUDGET!A319=0,"",BUDGET!A319)</f>
        <v xml:space="preserve">   SALE OF LOTS</v>
      </c>
      <c r="C314" s="1735" t="str">
        <f>IF(BUDGET!AP319=0,"",BUDGET!AP319)</f>
        <v/>
      </c>
      <c r="D314" s="1735"/>
      <c r="E314" s="1031"/>
      <c r="F314" s="1031"/>
      <c r="G314" s="1679"/>
      <c r="H314" s="1031"/>
      <c r="I314" s="1789"/>
      <c r="J314">
        <v>1</v>
      </c>
    </row>
    <row r="315" spans="2:10" x14ac:dyDescent="0.35">
      <c r="B315" s="1843" t="str">
        <f>IF(BUDGET!A320=0,"",BUDGET!A320)</f>
        <v xml:space="preserve">   PERPETUAL CARE TRUST FUND</v>
      </c>
      <c r="C315" s="1735" t="str">
        <f>IF(BUDGET!AP320=0,"",BUDGET!AP320)</f>
        <v/>
      </c>
      <c r="D315" s="1735"/>
      <c r="E315" s="1031"/>
      <c r="F315" s="1031"/>
      <c r="G315" s="1679"/>
      <c r="H315" s="1031"/>
      <c r="I315" s="1789"/>
      <c r="J315">
        <v>1</v>
      </c>
    </row>
    <row r="316" spans="2:10" ht="13.15" x14ac:dyDescent="0.4">
      <c r="B316" s="1841" t="str">
        <f>IF(BUDGET!A321=0,"",BUDGET!A321)</f>
        <v xml:space="preserve">   TOTAL</v>
      </c>
      <c r="C316" s="1735" t="str">
        <f>IF(BUDGET!AP321=0,"",BUDGET!AP321)</f>
        <v/>
      </c>
      <c r="D316" s="1735"/>
      <c r="E316" s="1031"/>
      <c r="F316" s="1031"/>
      <c r="G316" s="1679"/>
      <c r="H316" s="1031"/>
      <c r="I316" s="1789"/>
      <c r="J316">
        <v>1</v>
      </c>
    </row>
    <row r="317" spans="2:10" x14ac:dyDescent="0.35">
      <c r="B317" s="1845" t="str">
        <f>IF(BUDGET!A322=0,"",BUDGET!A322)</f>
        <v/>
      </c>
      <c r="C317" s="1847" t="str">
        <f>IF(BUDGET!AP322=0,"",BUDGET!AP322)</f>
        <v/>
      </c>
      <c r="D317" s="1716"/>
      <c r="E317" s="1034"/>
      <c r="F317" s="1624"/>
      <c r="G317" s="1665"/>
      <c r="H317" s="1034"/>
      <c r="I317" s="1770"/>
      <c r="J317">
        <v>1</v>
      </c>
    </row>
    <row r="318" spans="2:10" x14ac:dyDescent="0.35">
      <c r="B318" s="1843" t="str">
        <f>IF(BUDGET!A323=0,"",BUDGET!A323)</f>
        <v>TREE DEPARTMENT</v>
      </c>
      <c r="C318" s="1714" t="str">
        <f>IF(BUDGET!AP323=0,"",BUDGET!AP323)</f>
        <v/>
      </c>
      <c r="D318" s="1714"/>
      <c r="E318" s="1030"/>
      <c r="F318" s="1420"/>
      <c r="G318" s="1663"/>
      <c r="H318" s="1030"/>
      <c r="I318" s="1768"/>
      <c r="J318">
        <v>1</v>
      </c>
    </row>
    <row r="319" spans="2:10" x14ac:dyDescent="0.35">
      <c r="B319" s="1843" t="str">
        <f>IF(BUDGET!A324=0,"",BUDGET!A324)</f>
        <v xml:space="preserve">   SALARIES</v>
      </c>
      <c r="C319" s="1735" t="str">
        <f>IF(BUDGET!AP324=0,"",BUDGET!AP324)</f>
        <v/>
      </c>
      <c r="D319" s="1735"/>
      <c r="E319" s="1031"/>
      <c r="F319" s="1031"/>
      <c r="G319" s="1679"/>
      <c r="H319" s="1031"/>
      <c r="I319" s="1789"/>
      <c r="J319">
        <v>1</v>
      </c>
    </row>
    <row r="320" spans="2:10" x14ac:dyDescent="0.35">
      <c r="B320" s="1843" t="str">
        <f>IF(BUDGET!A325=0,"",BUDGET!A325)</f>
        <v xml:space="preserve">   WAGES</v>
      </c>
      <c r="C320" s="1735" t="str">
        <f>IF(BUDGET!AP325=0,"",BUDGET!AP325)</f>
        <v/>
      </c>
      <c r="D320" s="1735"/>
      <c r="E320" s="1031"/>
      <c r="F320" s="1031"/>
      <c r="G320" s="1679"/>
      <c r="H320" s="1031"/>
      <c r="I320" s="1789"/>
      <c r="J320">
        <v>1</v>
      </c>
    </row>
    <row r="321" spans="2:10" x14ac:dyDescent="0.35">
      <c r="B321" s="1843" t="str">
        <f>IF(BUDGET!A326=0,"",BUDGET!A326)</f>
        <v xml:space="preserve">   OTHER</v>
      </c>
      <c r="C321" s="1735" t="str">
        <f>IF(BUDGET!AP326=0,"",BUDGET!AP326)</f>
        <v/>
      </c>
      <c r="D321" s="1735"/>
      <c r="E321" s="1031"/>
      <c r="F321" s="1031"/>
      <c r="G321" s="1679"/>
      <c r="H321" s="1031"/>
      <c r="I321" s="1789"/>
      <c r="J321">
        <v>1</v>
      </c>
    </row>
    <row r="322" spans="2:10" ht="13.15" x14ac:dyDescent="0.4">
      <c r="B322" s="1841" t="str">
        <f>IF(BUDGET!A327=0,"",BUDGET!A327)</f>
        <v xml:space="preserve">   TOTAL</v>
      </c>
      <c r="C322" s="1735" t="str">
        <f>IF(BUDGET!AP327=0,"",BUDGET!AP327)</f>
        <v/>
      </c>
      <c r="D322" s="1735"/>
      <c r="E322" s="1031"/>
      <c r="F322" s="1031"/>
      <c r="G322" s="1679"/>
      <c r="H322" s="1031"/>
      <c r="I322" s="1789"/>
      <c r="J322">
        <v>1</v>
      </c>
    </row>
    <row r="323" spans="2:10" x14ac:dyDescent="0.35">
      <c r="B323" s="1845" t="str">
        <f>IF(BUDGET!A328=0,"",BUDGET!A328)</f>
        <v/>
      </c>
      <c r="C323" s="1847" t="str">
        <f>IF(BUDGET!AP328=0,"",BUDGET!AP328)</f>
        <v/>
      </c>
      <c r="D323" s="1716"/>
      <c r="E323" s="1034"/>
      <c r="F323" s="1624"/>
      <c r="G323" s="1665"/>
      <c r="H323" s="1034"/>
      <c r="I323" s="1770"/>
      <c r="J323">
        <v>1</v>
      </c>
    </row>
    <row r="324" spans="2:10" x14ac:dyDescent="0.35">
      <c r="B324" s="1843" t="str">
        <f>IF(BUDGET!A329=0,"",BUDGET!A329)</f>
        <v>MEMORIAL DAY &amp; VETERANS DAY</v>
      </c>
      <c r="C324" s="1707" t="str">
        <f>IF(BUDGET!AP329=0,"",BUDGET!AP329)</f>
        <v/>
      </c>
      <c r="D324" s="1707"/>
      <c r="E324" s="788"/>
      <c r="F324" s="841"/>
      <c r="G324" s="1656"/>
      <c r="H324" s="788"/>
      <c r="I324" s="1761"/>
    </row>
    <row r="325" spans="2:10" x14ac:dyDescent="0.35">
      <c r="B325" s="1843" t="str">
        <f>IF(BUDGET!A330=0,"",BUDGET!A330)</f>
        <v xml:space="preserve">   OTHER</v>
      </c>
      <c r="C325" s="1733">
        <f>IF(BUDGET!AP330=0,"",BUDGET!AP330)</f>
        <v>1850</v>
      </c>
      <c r="D325" s="1709"/>
      <c r="E325" s="810"/>
      <c r="F325" s="1410"/>
      <c r="G325" s="1658"/>
      <c r="H325" s="810"/>
      <c r="I325" s="1763"/>
    </row>
    <row r="326" spans="2:10" ht="13.15" x14ac:dyDescent="0.4">
      <c r="B326" s="1841" t="str">
        <f>IF(BUDGET!A331=0,"",BUDGET!A331)</f>
        <v xml:space="preserve">   TOTAL</v>
      </c>
      <c r="C326" s="1718">
        <f>IF(BUDGET!AP331=0,"",BUDGET!AP331)</f>
        <v>1850</v>
      </c>
      <c r="D326" s="1718"/>
      <c r="E326" s="819"/>
      <c r="F326" s="1057"/>
      <c r="G326" s="1659"/>
      <c r="H326" s="819"/>
      <c r="I326" s="1772"/>
    </row>
    <row r="327" spans="2:10" x14ac:dyDescent="0.35">
      <c r="B327" s="1845" t="str">
        <f>IF(BUDGET!A332=0,"",BUDGET!A332)</f>
        <v/>
      </c>
      <c r="C327" s="1745" t="str">
        <f>IF(BUDGET!AP332=0,"",BUDGET!AP332)</f>
        <v/>
      </c>
      <c r="D327" s="1711"/>
      <c r="E327" s="822"/>
      <c r="F327" s="1160"/>
      <c r="G327" s="1660"/>
      <c r="H327" s="822"/>
      <c r="I327" s="1765"/>
    </row>
    <row r="328" spans="2:10" x14ac:dyDescent="0.35">
      <c r="B328" s="1843" t="str">
        <f>IF(BUDGET!A333=0,"",BUDGET!A333)</f>
        <v>HISTORICAL COMMISSION</v>
      </c>
      <c r="C328" s="1707" t="str">
        <f>IF(BUDGET!AP333=0,"",BUDGET!AP333)</f>
        <v/>
      </c>
      <c r="D328" s="1707"/>
      <c r="E328" s="788"/>
      <c r="F328" s="841"/>
      <c r="G328" s="1656"/>
      <c r="H328" s="788"/>
      <c r="I328" s="1761"/>
    </row>
    <row r="329" spans="2:10" x14ac:dyDescent="0.35">
      <c r="B329" s="1843" t="str">
        <f>IF(BUDGET!A334=0,"",BUDGET!A334)</f>
        <v xml:space="preserve">   WAGES</v>
      </c>
      <c r="C329" s="1707" t="str">
        <f>IF(BUDGET!AP334=0,"",BUDGET!AP334)</f>
        <v/>
      </c>
      <c r="D329" s="1707"/>
      <c r="E329" s="788"/>
      <c r="F329" s="841"/>
      <c r="G329" s="1656"/>
      <c r="H329" s="788"/>
      <c r="I329" s="1761"/>
    </row>
    <row r="330" spans="2:10" x14ac:dyDescent="0.35">
      <c r="B330" s="1843" t="str">
        <f>IF(BUDGET!A335=0,"",BUDGET!A335)</f>
        <v xml:space="preserve">   OTHER</v>
      </c>
      <c r="C330" s="1733">
        <f>IF(BUDGET!AP335=0,"",BUDGET!AP335)</f>
        <v>300</v>
      </c>
      <c r="D330" s="1709"/>
      <c r="E330" s="810"/>
      <c r="F330" s="1410"/>
      <c r="G330" s="1658"/>
      <c r="H330" s="810"/>
      <c r="I330" s="1763"/>
    </row>
    <row r="331" spans="2:10" ht="13.15" x14ac:dyDescent="0.4">
      <c r="B331" s="1841" t="str">
        <f>IF(BUDGET!A336=0,"",BUDGET!A336)</f>
        <v xml:space="preserve">   TOTAL</v>
      </c>
      <c r="C331" s="1718">
        <f>IF(BUDGET!AP336=0,"",BUDGET!AP336)</f>
        <v>300</v>
      </c>
      <c r="D331" s="1718"/>
      <c r="E331" s="819"/>
      <c r="F331" s="1057"/>
      <c r="G331" s="1659"/>
      <c r="H331" s="819"/>
      <c r="I331" s="1772"/>
    </row>
    <row r="332" spans="2:10" ht="13.15" x14ac:dyDescent="0.4">
      <c r="B332" s="1844" t="str">
        <f>IF(BUDGET!A337=0,"",BUDGET!A337)</f>
        <v/>
      </c>
      <c r="C332" s="1724" t="str">
        <f>IF(BUDGET!AP337=0,"",BUDGET!AP337)</f>
        <v/>
      </c>
      <c r="D332" s="1708"/>
      <c r="E332" s="800"/>
      <c r="F332" s="1621"/>
      <c r="G332" s="1657"/>
      <c r="H332" s="800"/>
      <c r="I332" s="1762"/>
    </row>
    <row r="333" spans="2:10" ht="13.15" x14ac:dyDescent="0.4">
      <c r="B333" s="1841" t="str">
        <f>IF(BUDGET!A338=0,"",BUDGET!A338)</f>
        <v>CULTURAL COUNCIL</v>
      </c>
      <c r="C333" s="1964" t="str">
        <f>IF(BUDGET!AP338=0,"",BUDGET!AP338)</f>
        <v/>
      </c>
      <c r="D333" s="1964"/>
      <c r="E333" s="1970"/>
      <c r="F333" s="1971"/>
      <c r="G333" s="1972"/>
      <c r="H333" s="1970"/>
      <c r="I333" s="1973"/>
      <c r="J333">
        <v>1</v>
      </c>
    </row>
    <row r="334" spans="2:10" ht="13.15" x14ac:dyDescent="0.4">
      <c r="B334" s="1843" t="str">
        <f>IF(BUDGET!A339=0,"",BUDGET!A339)</f>
        <v xml:space="preserve">   OTHER</v>
      </c>
      <c r="C334" s="1974" t="str">
        <f>IF(BUDGET!AP339=0,"",BUDGET!AP339)</f>
        <v/>
      </c>
      <c r="D334" s="1991"/>
      <c r="E334" s="1992"/>
      <c r="F334" s="1993"/>
      <c r="G334" s="1994"/>
      <c r="H334" s="1992"/>
      <c r="I334" s="1995"/>
      <c r="J334">
        <v>1</v>
      </c>
    </row>
    <row r="335" spans="2:10" ht="13.15" x14ac:dyDescent="0.4">
      <c r="B335" s="1841" t="str">
        <f>IF(BUDGET!A340=0,"",BUDGET!A340)</f>
        <v xml:space="preserve">   TOTAL</v>
      </c>
      <c r="C335" s="1974" t="str">
        <f>IF(BUDGET!AP340=0,"",BUDGET!AP340)</f>
        <v/>
      </c>
      <c r="D335" s="1991"/>
      <c r="E335" s="1992"/>
      <c r="F335" s="1993"/>
      <c r="G335" s="1994"/>
      <c r="H335" s="1992"/>
      <c r="I335" s="1995"/>
      <c r="J335">
        <v>1</v>
      </c>
    </row>
    <row r="336" spans="2:10" ht="13.15" x14ac:dyDescent="0.4">
      <c r="B336" s="1845" t="str">
        <f>IF(BUDGET!A341=0,"",BUDGET!A341)</f>
        <v/>
      </c>
      <c r="C336" s="2001" t="str">
        <f>IF(BUDGET!AP341=0,"",BUDGET!AP341)</f>
        <v/>
      </c>
      <c r="D336" s="2006"/>
      <c r="E336" s="2007"/>
      <c r="F336" s="2008"/>
      <c r="G336" s="2009"/>
      <c r="H336" s="2007"/>
      <c r="I336" s="2010"/>
      <c r="J336">
        <v>1</v>
      </c>
    </row>
    <row r="337" spans="2:9" ht="13.15" x14ac:dyDescent="0.4">
      <c r="B337" s="1841" t="str">
        <f>IF(BUDGET!A342=0,"",BUDGET!A342)</f>
        <v>CULTURAL &amp; RECREATION:  TOTAL</v>
      </c>
      <c r="C337" s="1710" t="str">
        <f>IF(BUDGET!AP342=0,"",BUDGET!AP342)</f>
        <v/>
      </c>
      <c r="D337" s="1717"/>
      <c r="E337" s="827"/>
      <c r="F337" s="1127"/>
      <c r="G337" s="1666"/>
      <c r="H337" s="827"/>
      <c r="I337" s="1771"/>
    </row>
    <row r="338" spans="2:9" ht="13.15" x14ac:dyDescent="0.4">
      <c r="B338" s="1841" t="str">
        <f>IF(BUDGET!A343=0,"",BUDGET!A343)</f>
        <v xml:space="preserve">   SALARIES</v>
      </c>
      <c r="C338" s="1732">
        <f>IF(BUDGET!AP343=0,"",BUDGET!AP343)</f>
        <v>269364</v>
      </c>
      <c r="D338" s="1732"/>
      <c r="E338" s="845"/>
      <c r="F338" s="1074"/>
      <c r="G338" s="1668"/>
      <c r="H338" s="845"/>
      <c r="I338" s="1786"/>
    </row>
    <row r="339" spans="2:9" ht="13.15" x14ac:dyDescent="0.4">
      <c r="B339" s="1841" t="str">
        <f>IF(BUDGET!A344=0,"",BUDGET!A344)</f>
        <v xml:space="preserve">   WAGES</v>
      </c>
      <c r="C339" s="1732">
        <f>IF(BUDGET!AP344=0,"",BUDGET!AP344)</f>
        <v>252597</v>
      </c>
      <c r="D339" s="1732"/>
      <c r="E339" s="845"/>
      <c r="F339" s="1074"/>
      <c r="G339" s="1668"/>
      <c r="H339" s="845"/>
      <c r="I339" s="1786"/>
    </row>
    <row r="340" spans="2:9" ht="13.15" x14ac:dyDescent="0.4">
      <c r="B340" s="1841" t="str">
        <f>IF(BUDGET!A345=0,"",BUDGET!A345)</f>
        <v xml:space="preserve">   OTHER</v>
      </c>
      <c r="C340" s="1732">
        <f>IF(BUDGET!AP345=0,"",BUDGET!AP345)</f>
        <v>180806</v>
      </c>
      <c r="D340" s="1732"/>
      <c r="E340" s="845"/>
      <c r="F340" s="1074"/>
      <c r="G340" s="1668"/>
      <c r="H340" s="845"/>
      <c r="I340" s="1786"/>
    </row>
    <row r="341" spans="2:9" ht="13.15" x14ac:dyDescent="0.4">
      <c r="B341" s="1841" t="str">
        <f>IF(BUDGET!A346=0,"",BUDGET!A346)</f>
        <v xml:space="preserve">   BOOKS</v>
      </c>
      <c r="C341" s="1710" t="str">
        <f>IF(BUDGET!AP346=0,"",BUDGET!AP346)</f>
        <v/>
      </c>
      <c r="D341" s="1710"/>
      <c r="E341" s="785"/>
      <c r="F341" s="820"/>
      <c r="G341" s="1659"/>
      <c r="H341" s="785"/>
      <c r="I341" s="1764"/>
    </row>
    <row r="342" spans="2:9" ht="13.15" x14ac:dyDescent="0.4">
      <c r="B342" s="1841" t="str">
        <f>IF(BUDGET!A347=0,"",BUDGET!A347)</f>
        <v xml:space="preserve">   SUB-TOTAL</v>
      </c>
      <c r="C342" s="1720">
        <f>IF(BUDGET!AP347=0,"",BUDGET!AP347)</f>
        <v>702767</v>
      </c>
      <c r="D342" s="1720"/>
      <c r="E342" s="888"/>
      <c r="F342" s="1626"/>
      <c r="G342" s="1668"/>
      <c r="H342" s="888"/>
      <c r="I342" s="1774"/>
    </row>
    <row r="343" spans="2:9" ht="13.15" x14ac:dyDescent="0.4">
      <c r="B343" s="1841" t="str">
        <f>IF(BUDGET!A348=0,"",BUDGET!A348)</f>
        <v xml:space="preserve">   TRUST FUNDS</v>
      </c>
      <c r="C343" s="1710" t="str">
        <f>IF(BUDGET!AP348=0,"",BUDGET!AP348)</f>
        <v/>
      </c>
      <c r="D343" s="1710"/>
      <c r="E343" s="785"/>
      <c r="F343" s="820"/>
      <c r="G343" s="1659"/>
      <c r="H343" s="785"/>
      <c r="I343" s="1764"/>
    </row>
    <row r="344" spans="2:9" ht="13.15" x14ac:dyDescent="0.4">
      <c r="B344" s="1841" t="str">
        <f>IF(BUDGET!A349=0,"",BUDGET!A349)</f>
        <v xml:space="preserve">   SALE OF LOTS</v>
      </c>
      <c r="C344" s="1710" t="str">
        <f>IF(BUDGET!AP349=0,"",BUDGET!AP349)</f>
        <v/>
      </c>
      <c r="D344" s="1710"/>
      <c r="E344" s="785"/>
      <c r="F344" s="820"/>
      <c r="G344" s="1659"/>
      <c r="H344" s="785"/>
      <c r="I344" s="1764"/>
    </row>
    <row r="345" spans="2:9" ht="13.5" thickBot="1" x14ac:dyDescent="0.45">
      <c r="B345" s="1855" t="str">
        <f>IF(BUDGET!A350=0,"",BUDGET!A350)</f>
        <v>CULTURE &amp; REC. : SUB-TOTAL</v>
      </c>
      <c r="C345" s="1721">
        <f>IF(BUDGET!AP350=0,"",BUDGET!AP350)</f>
        <v>702767</v>
      </c>
      <c r="D345" s="1721"/>
      <c r="E345" s="909"/>
      <c r="F345" s="1627"/>
      <c r="G345" s="1669"/>
      <c r="H345" s="909"/>
      <c r="I345" s="1775"/>
    </row>
    <row r="346" spans="2:9" ht="13.5" thickTop="1" x14ac:dyDescent="0.4">
      <c r="B346" s="1841" t="str">
        <f>IF(BUDGET!A351=0,"",BUDGET!A351)</f>
        <v>DEBT SERVICE</v>
      </c>
      <c r="C346" s="1707" t="str">
        <f>IF(BUDGET!AP351=0,"",BUDGET!AP351)</f>
        <v/>
      </c>
      <c r="D346" s="1712"/>
      <c r="E346" s="825"/>
      <c r="F346" s="1110"/>
      <c r="G346" s="1661"/>
      <c r="H346" s="825"/>
      <c r="I346" s="1766"/>
    </row>
    <row r="347" spans="2:9" x14ac:dyDescent="0.35">
      <c r="B347" s="1843" t="str">
        <f>IF(BUDGET!A352=0,"",BUDGET!A352)</f>
        <v>LONG-TERM DEBT PRINCIPAL</v>
      </c>
      <c r="C347" s="1707" t="str">
        <f>IF(BUDGET!AP352=0,"",BUDGET!AP352)</f>
        <v/>
      </c>
      <c r="D347" s="1712"/>
      <c r="E347" s="825"/>
      <c r="F347" s="1110"/>
      <c r="G347" s="1661"/>
      <c r="H347" s="825"/>
      <c r="I347" s="1766"/>
    </row>
    <row r="348" spans="2:9" x14ac:dyDescent="0.35">
      <c r="B348" s="1843" t="str">
        <f>IF(BUDGET!A353=0,"",BUDGET!A353)</f>
        <v xml:space="preserve">      TOWN MAPS/ELEM. SCH RENOVA.     </v>
      </c>
      <c r="C348" s="1707" t="str">
        <f>IF(BUDGET!AP353=0,"",BUDGET!AP353)</f>
        <v/>
      </c>
      <c r="D348" s="1712"/>
      <c r="E348" s="825"/>
      <c r="F348" s="1110"/>
      <c r="G348" s="1661"/>
      <c r="H348" s="825"/>
      <c r="I348" s="1766"/>
    </row>
    <row r="349" spans="2:9" x14ac:dyDescent="0.35">
      <c r="B349" s="1843" t="str">
        <f>IF(BUDGET!A354=0,"",BUDGET!A354)</f>
        <v xml:space="preserve">       MULTI-PURPOSE MARCH 2001</v>
      </c>
      <c r="C349" s="1707" t="str">
        <f>IF(BUDGET!AP354=0,"",BUDGET!AP354)</f>
        <v/>
      </c>
      <c r="D349" s="1707"/>
      <c r="E349" s="788"/>
      <c r="F349" s="841"/>
      <c r="G349" s="1656"/>
      <c r="H349" s="788"/>
      <c r="I349" s="1761"/>
    </row>
    <row r="350" spans="2:9" x14ac:dyDescent="0.35">
      <c r="B350" s="1866" t="str">
        <f>IF(BUDGET!A355=0,"",BUDGET!A355)</f>
        <v xml:space="preserve">       MULTIPURPOSE  MARCH 2002</v>
      </c>
      <c r="C350" s="1739" t="str">
        <f>IF(BUDGET!AP355=0,"",BUDGET!AP355)</f>
        <v/>
      </c>
      <c r="D350" s="1739"/>
      <c r="E350" s="891"/>
      <c r="F350" s="1080"/>
      <c r="G350" s="1656"/>
      <c r="H350" s="891"/>
      <c r="I350" s="1793"/>
    </row>
    <row r="351" spans="2:9" x14ac:dyDescent="0.35">
      <c r="B351" s="1866" t="str">
        <f>IF(BUDGET!A356=0,"",BUDGET!A356)</f>
        <v>MULTIPURPOSE 2011</v>
      </c>
      <c r="C351" s="1707" t="str">
        <f>IF(BUDGET!AP356=0,"",BUDGET!AP356)</f>
        <v/>
      </c>
      <c r="D351" s="1707"/>
      <c r="E351" s="788"/>
      <c r="F351" s="841"/>
      <c r="G351" s="1656"/>
      <c r="H351" s="788"/>
      <c r="I351" s="1761"/>
    </row>
    <row r="352" spans="2:9" x14ac:dyDescent="0.35">
      <c r="B352" s="1866" t="str">
        <f>IF(BUDGET!A357=0,"",BUDGET!A357)</f>
        <v>MULTIPURPOSE 2012</v>
      </c>
      <c r="C352" s="1707" t="str">
        <f>IF(BUDGET!AP357=0,"",BUDGET!AP357)</f>
        <v/>
      </c>
      <c r="D352" s="1707"/>
      <c r="E352" s="788"/>
      <c r="F352" s="841"/>
      <c r="G352" s="1656"/>
      <c r="H352" s="788"/>
      <c r="I352" s="1761"/>
    </row>
    <row r="353" spans="2:9" x14ac:dyDescent="0.35">
      <c r="B353" s="1866" t="str">
        <f>IF(BUDGET!A358=0,"",BUDGET!A358)</f>
        <v>MULTIPURPOSE 2015+2016 Principal Paydown</v>
      </c>
      <c r="C353" s="1707" t="str">
        <f>IF(BUDGET!AP358=0,"",BUDGET!AP358)</f>
        <v/>
      </c>
      <c r="D353" s="1707"/>
      <c r="E353" s="788"/>
      <c r="F353" s="841"/>
      <c r="G353" s="1656"/>
      <c r="H353" s="788"/>
      <c r="I353" s="1761"/>
    </row>
    <row r="354" spans="2:9" x14ac:dyDescent="0.35">
      <c r="B354" s="1866" t="str">
        <f>IF(BUDGET!A359=0,"",BUDGET!A359)</f>
        <v>MULTIPURPOSE 2018</v>
      </c>
      <c r="C354" s="1707">
        <f>IF(BUDGET!AP359=0,"",BUDGET!AP359)</f>
        <v>155000</v>
      </c>
      <c r="D354" s="1707"/>
      <c r="E354" s="788"/>
      <c r="F354" s="841"/>
      <c r="G354" s="1656"/>
      <c r="H354" s="788"/>
      <c r="I354" s="1761"/>
    </row>
    <row r="355" spans="2:9" x14ac:dyDescent="0.35">
      <c r="B355" s="1863" t="str">
        <f>IF(BUDGET!A360=0,"",BUDGET!A360)</f>
        <v>MULTIPURPOSE 2019</v>
      </c>
      <c r="C355" s="1707">
        <f>IF(BUDGET!AP360=0,"",BUDGET!AP360)</f>
        <v>305000</v>
      </c>
      <c r="D355" s="1707"/>
      <c r="E355" s="788"/>
      <c r="F355" s="841"/>
      <c r="G355" s="1656"/>
      <c r="H355" s="788"/>
      <c r="I355" s="1761"/>
    </row>
    <row r="356" spans="2:9" x14ac:dyDescent="0.35">
      <c r="B356" s="1863" t="str">
        <f>IF(BUDGET!A361=0,"",BUDGET!A361)</f>
        <v>MULTIPUPRPOSE 2020</v>
      </c>
      <c r="C356" s="1707">
        <f>IF(BUDGET!AP361=0,"",BUDGET!AP361)</f>
        <v>130000</v>
      </c>
      <c r="D356" s="1707"/>
      <c r="E356" s="788"/>
      <c r="F356" s="841"/>
      <c r="G356" s="1656"/>
      <c r="H356" s="788"/>
      <c r="I356" s="1761"/>
    </row>
    <row r="357" spans="2:9" ht="13.15" x14ac:dyDescent="0.4">
      <c r="B357" s="1867" t="str">
        <f>IF(BUDGET!A362=0,"",BUDGET!A362)</f>
        <v/>
      </c>
      <c r="C357" s="1707" t="str">
        <f>IF(BUDGET!AP362=0,"",BUDGET!AP362)</f>
        <v/>
      </c>
      <c r="D357" s="1707"/>
      <c r="E357" s="788"/>
      <c r="F357" s="841"/>
      <c r="G357" s="1656"/>
      <c r="H357" s="788"/>
      <c r="I357" s="1761"/>
    </row>
    <row r="358" spans="2:9" ht="13.15" x14ac:dyDescent="0.4">
      <c r="B358" s="1841" t="str">
        <f>IF(BUDGET!A363=0,"",BUDGET!A363)</f>
        <v xml:space="preserve">       TOTAL</v>
      </c>
      <c r="C358" s="1710">
        <f>IF(BUDGET!AP363=0,"",BUDGET!AP363)</f>
        <v>590000</v>
      </c>
      <c r="D358" s="1710"/>
      <c r="E358" s="785"/>
      <c r="F358" s="820"/>
      <c r="G358" s="1659"/>
      <c r="H358" s="785"/>
      <c r="I358" s="1764"/>
    </row>
    <row r="359" spans="2:9" x14ac:dyDescent="0.35">
      <c r="B359" s="1845" t="str">
        <f>IF(BUDGET!A364=0,"",BUDGET!A364)</f>
        <v/>
      </c>
      <c r="C359" s="1857" t="str">
        <f>IF(BUDGET!AP364=0,"",BUDGET!AP364)</f>
        <v/>
      </c>
      <c r="D359" s="1723"/>
      <c r="E359" s="823"/>
      <c r="F359" s="1629"/>
      <c r="G359" s="1660"/>
      <c r="H359" s="823"/>
      <c r="I359" s="1777"/>
    </row>
    <row r="360" spans="2:9" x14ac:dyDescent="0.35">
      <c r="B360" s="1843" t="str">
        <f>IF(BUDGET!A365=0,"",BUDGET!A365)</f>
        <v xml:space="preserve">    LONG-TERM DEBT INTEREST</v>
      </c>
      <c r="C360" s="1707" t="str">
        <f>IF(BUDGET!AP365=0,"",BUDGET!AP365)</f>
        <v/>
      </c>
      <c r="D360" s="1712"/>
      <c r="E360" s="825"/>
      <c r="F360" s="1110"/>
      <c r="G360" s="1661"/>
      <c r="H360" s="825"/>
      <c r="I360" s="1766"/>
    </row>
    <row r="361" spans="2:9" x14ac:dyDescent="0.35">
      <c r="B361" s="1863" t="str">
        <f>IF(BUDGET!A366=0,"",BUDGET!A366)</f>
        <v xml:space="preserve">       TOWN MAPS/ELEM. SCH RENOVA.</v>
      </c>
      <c r="C361" s="1707" t="str">
        <f>IF(BUDGET!AP366=0,"",BUDGET!AP366)</f>
        <v/>
      </c>
      <c r="D361" s="1712"/>
      <c r="E361" s="825"/>
      <c r="F361" s="1110"/>
      <c r="G361" s="1661"/>
      <c r="H361" s="825"/>
      <c r="I361" s="1766"/>
    </row>
    <row r="362" spans="2:9" x14ac:dyDescent="0.35">
      <c r="B362" s="1863" t="str">
        <f>IF(BUDGET!A367=0,"",BUDGET!A367)</f>
        <v xml:space="preserve">       MULTIPURPOSE MARCH 2001</v>
      </c>
      <c r="C362" s="1707" t="str">
        <f>IF(BUDGET!AP367=0,"",BUDGET!AP367)</f>
        <v/>
      </c>
      <c r="D362" s="1712"/>
      <c r="E362" s="825"/>
      <c r="F362" s="1110"/>
      <c r="G362" s="1661"/>
      <c r="H362" s="825"/>
      <c r="I362" s="1766"/>
    </row>
    <row r="363" spans="2:9" x14ac:dyDescent="0.35">
      <c r="B363" s="1863" t="str">
        <f>IF(BUDGET!A368=0,"",BUDGET!A368)</f>
        <v xml:space="preserve">       MULTIPURPOSE MARCH 2002</v>
      </c>
      <c r="C363" s="1707" t="str">
        <f>IF(BUDGET!AP368=0,"",BUDGET!AP368)</f>
        <v/>
      </c>
      <c r="D363" s="1707"/>
      <c r="E363" s="788"/>
      <c r="F363" s="841"/>
      <c r="G363" s="1656"/>
      <c r="H363" s="788"/>
      <c r="I363" s="1761"/>
    </row>
    <row r="364" spans="2:9" x14ac:dyDescent="0.35">
      <c r="B364" s="1863" t="str">
        <f>IF(BUDGET!A369=0,"",BUDGET!A369)</f>
        <v>MULTIPURPOSE 2011</v>
      </c>
      <c r="C364" s="1740" t="str">
        <f>IF(BUDGET!AP369=0,"",BUDGET!AP369)</f>
        <v/>
      </c>
      <c r="D364" s="1740"/>
      <c r="E364" s="1543"/>
      <c r="F364" s="1640"/>
      <c r="G364" s="1683"/>
      <c r="H364" s="1543"/>
      <c r="I364" s="1794"/>
    </row>
    <row r="365" spans="2:9" x14ac:dyDescent="0.35">
      <c r="B365" s="1863" t="str">
        <f>IF(BUDGET!A370=0,"",BUDGET!A370)</f>
        <v>MULTIPURPOSE 2012</v>
      </c>
      <c r="C365" s="1740" t="str">
        <f>IF(BUDGET!AP370=0,"",BUDGET!AP370)</f>
        <v/>
      </c>
      <c r="D365" s="1740"/>
      <c r="E365" s="1543"/>
      <c r="F365" s="1640"/>
      <c r="G365" s="1683"/>
      <c r="H365" s="1543"/>
      <c r="I365" s="1794"/>
    </row>
    <row r="366" spans="2:9" x14ac:dyDescent="0.35">
      <c r="B366" s="1863" t="str">
        <f>IF(BUDGET!A371=0,"",BUDGET!A371)</f>
        <v>MULTIPURPOSE 2015</v>
      </c>
      <c r="C366" s="1740" t="str">
        <f>IF(BUDGET!AP371=0,"",BUDGET!AP371)</f>
        <v/>
      </c>
      <c r="D366" s="1740"/>
      <c r="E366" s="1543"/>
      <c r="F366" s="1640"/>
      <c r="G366" s="1683"/>
      <c r="H366" s="1543"/>
      <c r="I366" s="1794"/>
    </row>
    <row r="367" spans="2:9" x14ac:dyDescent="0.35">
      <c r="B367" s="1863" t="str">
        <f>IF(BUDGET!A372=0,"",BUDGET!A372)</f>
        <v>MULTIPURPOSE 2018</v>
      </c>
      <c r="C367" s="1740">
        <f>IF(BUDGET!AP372=0,"",BUDGET!AP372)</f>
        <v>78143.760000000009</v>
      </c>
      <c r="D367" s="1740"/>
      <c r="E367" s="1543"/>
      <c r="F367" s="1640"/>
      <c r="G367" s="1683"/>
      <c r="H367" s="1543"/>
      <c r="I367" s="1794"/>
    </row>
    <row r="368" spans="2:9" x14ac:dyDescent="0.35">
      <c r="B368" s="1863" t="str">
        <f>IF(BUDGET!A373=0,"",BUDGET!A373)</f>
        <v>MULTIPURPOSE 2019</v>
      </c>
      <c r="C368" s="1740">
        <f>IF(BUDGET!AP373=0,"",BUDGET!AP373)</f>
        <v>317712.5</v>
      </c>
      <c r="D368" s="1740"/>
      <c r="E368" s="1543"/>
      <c r="F368" s="1640"/>
      <c r="G368" s="1683"/>
      <c r="H368" s="1543"/>
      <c r="I368" s="1794"/>
    </row>
    <row r="369" spans="2:9" x14ac:dyDescent="0.35">
      <c r="B369" s="1863" t="str">
        <f>IF(BUDGET!A374=0,"",BUDGET!A374)</f>
        <v>MULTIPURPOSE 2020</v>
      </c>
      <c r="C369" s="1740">
        <f>IF(BUDGET!AP374=0,"",BUDGET!AP374)</f>
        <v>108506.5</v>
      </c>
      <c r="D369" s="1740"/>
      <c r="E369" s="1543"/>
      <c r="F369" s="1640"/>
      <c r="G369" s="1683"/>
      <c r="H369" s="1543"/>
      <c r="I369" s="1794"/>
    </row>
    <row r="370" spans="2:9" x14ac:dyDescent="0.35">
      <c r="B370" s="1863" t="str">
        <f>IF(BUDGET!A375=0,"",BUDGET!A375)</f>
        <v/>
      </c>
      <c r="C370" s="1740" t="str">
        <f>IF(BUDGET!AP375=0,"",BUDGET!AP375)</f>
        <v/>
      </c>
      <c r="D370" s="1740"/>
      <c r="E370" s="1543"/>
      <c r="F370" s="1640"/>
      <c r="G370" s="1683"/>
      <c r="H370" s="1543"/>
      <c r="I370" s="1794"/>
    </row>
    <row r="371" spans="2:9" ht="13.15" x14ac:dyDescent="0.4">
      <c r="B371" s="1849" t="str">
        <f>IF(BUDGET!A376=0,"",BUDGET!A376)</f>
        <v xml:space="preserve">       TOTAL</v>
      </c>
      <c r="C371" s="1741">
        <f>IF(BUDGET!AP376=0,"",BUDGET!AP376)</f>
        <v>504362.76</v>
      </c>
      <c r="D371" s="1741"/>
      <c r="E371" s="1545"/>
      <c r="F371" s="1641"/>
      <c r="G371" s="1684"/>
      <c r="H371" s="1545"/>
      <c r="I371" s="1795"/>
    </row>
    <row r="372" spans="2:9" ht="13.15" x14ac:dyDescent="0.4">
      <c r="B372" s="1844" t="str">
        <f>IF(BUDGET!A377=0,"",BUDGET!A377)</f>
        <v/>
      </c>
      <c r="C372" s="1745" t="str">
        <f>IF(BUDGET!AP377=0,"",BUDGET!AP377)</f>
        <v/>
      </c>
      <c r="D372" s="1711"/>
      <c r="E372" s="822"/>
      <c r="F372" s="1160"/>
      <c r="G372" s="1660"/>
      <c r="H372" s="822"/>
      <c r="I372" s="1765"/>
    </row>
    <row r="373" spans="2:9" x14ac:dyDescent="0.35">
      <c r="B373" s="1843" t="str">
        <f>IF(BUDGET!A378=0,"",BUDGET!A378)</f>
        <v>INTEREST FOR TEMPORARY LOANS</v>
      </c>
      <c r="C373" s="1707" t="str">
        <f>IF(BUDGET!AP378=0,"",BUDGET!AP378)</f>
        <v/>
      </c>
      <c r="D373" s="1712"/>
      <c r="E373" s="825"/>
      <c r="F373" s="1110"/>
      <c r="G373" s="1661"/>
      <c r="H373" s="825"/>
      <c r="I373" s="1766"/>
    </row>
    <row r="374" spans="2:9" x14ac:dyDescent="0.35">
      <c r="B374" s="1843" t="str">
        <f>IF(BUDGET!A379=0,"",BUDGET!A379)</f>
        <v xml:space="preserve">       DEBT SERVICE</v>
      </c>
      <c r="C374" s="1868" t="str">
        <f>IF(BUDGET!AP379=0,"",BUDGET!AP379)</f>
        <v/>
      </c>
      <c r="D374" s="1742"/>
      <c r="E374" s="1544"/>
      <c r="F374" s="1642"/>
      <c r="G374" s="1685"/>
      <c r="H374" s="1544"/>
      <c r="I374" s="1796"/>
    </row>
    <row r="375" spans="2:9" ht="13.15" x14ac:dyDescent="0.4">
      <c r="B375" s="1841" t="str">
        <f>IF(BUDGET!A380=0,"",BUDGET!A380)</f>
        <v xml:space="preserve">       TOTAL</v>
      </c>
      <c r="C375" s="1741" t="str">
        <f>IF(BUDGET!AP380=0,"",BUDGET!AP380)</f>
        <v/>
      </c>
      <c r="D375" s="1741"/>
      <c r="E375" s="1545"/>
      <c r="F375" s="1641"/>
      <c r="G375" s="1684"/>
      <c r="H375" s="1545"/>
      <c r="I375" s="1795"/>
    </row>
    <row r="376" spans="2:9" x14ac:dyDescent="0.35">
      <c r="B376" s="1845" t="str">
        <f>IF(BUDGET!A381=0,"",BUDGET!A381)</f>
        <v/>
      </c>
      <c r="C376" s="1869" t="str">
        <f>IF(BUDGET!AP381=0,"",BUDGET!AP381)</f>
        <v/>
      </c>
      <c r="D376" s="1743"/>
      <c r="E376" s="1546"/>
      <c r="F376" s="1643"/>
      <c r="G376" s="1686"/>
      <c r="H376" s="1546"/>
      <c r="I376" s="1797"/>
    </row>
    <row r="377" spans="2:9" x14ac:dyDescent="0.35">
      <c r="B377" s="1843" t="str">
        <f>IF(BUDGET!A382=0,"",BUDGET!A382)</f>
        <v>BANK DISCLOSURE ISSUE COST</v>
      </c>
      <c r="C377" s="1740">
        <f>IF(BUDGET!AP382=0,"",BUDGET!AP382)</f>
        <v>2500</v>
      </c>
      <c r="D377" s="1744"/>
      <c r="E377" s="1547"/>
      <c r="F377" s="1644"/>
      <c r="G377" s="1687"/>
      <c r="H377" s="1547"/>
      <c r="I377" s="1798"/>
    </row>
    <row r="378" spans="2:9" ht="13.15" x14ac:dyDescent="0.4">
      <c r="B378" s="1841" t="str">
        <f>IF(BUDGET!A383=0,"",BUDGET!A383)</f>
        <v>CERTIFICATION  of NOTES</v>
      </c>
      <c r="C378" s="1740" t="str">
        <f>IF(BUDGET!AP383=0,"",BUDGET!AP383)</f>
        <v/>
      </c>
      <c r="D378" s="1744"/>
      <c r="E378" s="1547"/>
      <c r="F378" s="1644"/>
      <c r="G378" s="1687"/>
      <c r="H378" s="1547"/>
      <c r="I378" s="1798"/>
    </row>
    <row r="379" spans="2:9" ht="13.15" x14ac:dyDescent="0.4">
      <c r="B379" s="1841" t="str">
        <f>IF(BUDGET!A384=0,"",BUDGET!A384)</f>
        <v xml:space="preserve">      TOTAL</v>
      </c>
      <c r="C379" s="1741">
        <f>IF(BUDGET!AP384=0,"",BUDGET!AP384)</f>
        <v>2500</v>
      </c>
      <c r="D379" s="1741"/>
      <c r="E379" s="1545"/>
      <c r="F379" s="1641"/>
      <c r="G379" s="1684"/>
      <c r="H379" s="1545"/>
      <c r="I379" s="1795"/>
    </row>
    <row r="380" spans="2:9" ht="13.15" x14ac:dyDescent="0.4">
      <c r="B380" s="1843" t="str">
        <f>IF(BUDGET!A385=0,"",BUDGET!A385)</f>
        <v/>
      </c>
      <c r="C380" s="1710" t="str">
        <f>IF(BUDGET!AP385=0,"",BUDGET!AP385)</f>
        <v/>
      </c>
      <c r="D380" s="1717"/>
      <c r="E380" s="827"/>
      <c r="F380" s="1127"/>
      <c r="G380" s="1666"/>
      <c r="H380" s="827"/>
      <c r="I380" s="1771"/>
    </row>
    <row r="381" spans="2:9" ht="13.5" thickBot="1" x14ac:dyDescent="0.45">
      <c r="B381" s="1855" t="str">
        <f>IF(BUDGET!A386=0,"",BUDGET!A386)</f>
        <v>DEBT SERVICE:  SUB-TOTAL</v>
      </c>
      <c r="C381" s="1734">
        <f>IF(BUDGET!AP386=0,"",BUDGET!AP386)</f>
        <v>1096862.76</v>
      </c>
      <c r="D381" s="1734"/>
      <c r="E381" s="1017"/>
      <c r="F381" s="1638"/>
      <c r="G381" s="1669"/>
      <c r="H381" s="1017"/>
      <c r="I381" s="1788"/>
    </row>
    <row r="382" spans="2:9" ht="13.5" thickTop="1" x14ac:dyDescent="0.4">
      <c r="B382" s="1841" t="str">
        <f>IF(BUDGET!A387=0,"",BUDGET!A387)</f>
        <v>OTHER EXPENDITURES</v>
      </c>
      <c r="C382" s="1707" t="str">
        <f>IF(BUDGET!AP387=0,"",BUDGET!AP387)</f>
        <v/>
      </c>
      <c r="D382" s="1712"/>
      <c r="E382" s="825"/>
      <c r="F382" s="1110"/>
      <c r="G382" s="1661"/>
      <c r="H382" s="825"/>
      <c r="I382" s="1766"/>
    </row>
    <row r="383" spans="2:9" x14ac:dyDescent="0.35">
      <c r="B383" s="1843" t="str">
        <f>IF(BUDGET!A388=0,"",BUDGET!A388)</f>
        <v xml:space="preserve">   PENSIONS</v>
      </c>
      <c r="C383" s="1707" t="str">
        <f>IF(BUDGET!AP388=0,"",BUDGET!AP388)</f>
        <v/>
      </c>
      <c r="D383" s="1707"/>
      <c r="E383" s="788"/>
      <c r="F383" s="841"/>
      <c r="G383" s="1656"/>
      <c r="H383" s="788"/>
      <c r="I383" s="1761"/>
    </row>
    <row r="384" spans="2:9" x14ac:dyDescent="0.35">
      <c r="B384" s="1843" t="str">
        <f>IF(BUDGET!A389=0,"",BUDGET!A389)</f>
        <v xml:space="preserve">        CH. 412</v>
      </c>
      <c r="C384" s="1707" t="str">
        <f>IF(BUDGET!AP389=0,"",BUDGET!AP389)</f>
        <v/>
      </c>
      <c r="D384" s="1707"/>
      <c r="E384" s="788"/>
      <c r="F384" s="841"/>
      <c r="G384" s="1656"/>
      <c r="H384" s="788"/>
      <c r="I384" s="1761"/>
    </row>
    <row r="385" spans="2:9" x14ac:dyDescent="0.35">
      <c r="B385" s="1843" t="str">
        <f>IF(BUDGET!A390=0,"",BUDGET!A390)</f>
        <v xml:space="preserve">        ESSEX RETIREMENT</v>
      </c>
      <c r="C385" s="1707">
        <f>IF(BUDGET!AP390=0,"",BUDGET!AP390)</f>
        <v>1547146</v>
      </c>
      <c r="D385" s="1712"/>
      <c r="E385" s="825"/>
      <c r="F385" s="1110"/>
      <c r="G385" s="1661"/>
      <c r="H385" s="825"/>
      <c r="I385" s="1766"/>
    </row>
    <row r="386" spans="2:9" ht="13.15" x14ac:dyDescent="0.4">
      <c r="B386" s="1841" t="str">
        <f>IF(BUDGET!A391=0,"",BUDGET!A391)</f>
        <v xml:space="preserve">        TOTAL</v>
      </c>
      <c r="C386" s="1710">
        <f>IF(BUDGET!AP391=0,"",BUDGET!AP391)</f>
        <v>1547146</v>
      </c>
      <c r="D386" s="1710"/>
      <c r="E386" s="785"/>
      <c r="F386" s="820"/>
      <c r="G386" s="1659"/>
      <c r="H386" s="785"/>
      <c r="I386" s="1764"/>
    </row>
    <row r="387" spans="2:9" x14ac:dyDescent="0.35">
      <c r="B387" s="1845" t="str">
        <f>IF(BUDGET!A392=0,"",BUDGET!A392)</f>
        <v xml:space="preserve">        </v>
      </c>
      <c r="C387" s="1745" t="str">
        <f>IF(BUDGET!AP392=0,"",BUDGET!AP392)</f>
        <v/>
      </c>
      <c r="D387" s="1711"/>
      <c r="E387" s="822"/>
      <c r="F387" s="1160"/>
      <c r="G387" s="1660"/>
      <c r="H387" s="822"/>
      <c r="I387" s="1765"/>
    </row>
    <row r="388" spans="2:9" x14ac:dyDescent="0.35">
      <c r="B388" s="1843" t="str">
        <f>IF(BUDGET!A393=0,"",BUDGET!A393)</f>
        <v xml:space="preserve">   INSURANCE</v>
      </c>
      <c r="C388" s="1707" t="str">
        <f>IF(BUDGET!AP393=0,"",BUDGET!AP393)</f>
        <v/>
      </c>
      <c r="D388" s="1707"/>
      <c r="E388" s="788"/>
      <c r="F388" s="841"/>
      <c r="G388" s="1656"/>
      <c r="H388" s="788"/>
      <c r="I388" s="1761"/>
    </row>
    <row r="389" spans="2:9" x14ac:dyDescent="0.35">
      <c r="B389" s="1843" t="str">
        <f>IF(BUDGET!A394=0,"",BUDGET!A394)</f>
        <v xml:space="preserve">   LIAB./ACC./WORKM'S COMP., S.BONDS</v>
      </c>
      <c r="C389" s="1707">
        <f>IF(BUDGET!AP394=0,"",BUDGET!AP394)</f>
        <v>412500</v>
      </c>
      <c r="D389" s="1712"/>
      <c r="E389" s="825"/>
      <c r="F389" s="1110"/>
      <c r="G389" s="1661"/>
      <c r="H389" s="825"/>
      <c r="I389" s="1766"/>
    </row>
    <row r="390" spans="2:9" x14ac:dyDescent="0.35">
      <c r="B390" s="1843" t="str">
        <f>IF(BUDGET!A395=0,"",BUDGET!A395)</f>
        <v/>
      </c>
      <c r="C390" s="1707" t="str">
        <f>IF(BUDGET!AP395=0,"",BUDGET!AP395)</f>
        <v/>
      </c>
      <c r="D390" s="1707"/>
      <c r="E390" s="788"/>
      <c r="F390" s="841"/>
      <c r="G390" s="1656"/>
      <c r="H390" s="788"/>
      <c r="I390" s="1761"/>
    </row>
    <row r="391" spans="2:9" x14ac:dyDescent="0.35">
      <c r="B391" s="1843" t="str">
        <f>IF(BUDGET!A396=0,"",BUDGET!A396)</f>
        <v xml:space="preserve">   LIFE/MEDICAL/MEDICARE</v>
      </c>
      <c r="C391" s="1707">
        <f>IF(BUDGET!AP396=0,"",BUDGET!AP396)</f>
        <v>2351187</v>
      </c>
      <c r="D391" s="1712"/>
      <c r="E391" s="825"/>
      <c r="F391" s="1110"/>
      <c r="G391" s="1661"/>
      <c r="H391" s="825"/>
      <c r="I391" s="1766"/>
    </row>
    <row r="392" spans="2:9" x14ac:dyDescent="0.35">
      <c r="B392" s="1843" t="str">
        <f>IF(BUDGET!A397=0,"",BUDGET!A397)</f>
        <v xml:space="preserve">  UNEMPLOYMENT</v>
      </c>
      <c r="C392" s="1707" t="str">
        <f>IF(BUDGET!AP397=0,"",BUDGET!AP397)</f>
        <v/>
      </c>
      <c r="D392" s="1712"/>
      <c r="E392" s="825"/>
      <c r="F392" s="1110"/>
      <c r="G392" s="1661"/>
      <c r="H392" s="825"/>
      <c r="I392" s="1766"/>
    </row>
    <row r="393" spans="2:9" ht="13.15" x14ac:dyDescent="0.4">
      <c r="B393" s="1841" t="str">
        <f>IF(BUDGET!A398=0,"",BUDGET!A398)</f>
        <v xml:space="preserve">        TOTAL</v>
      </c>
      <c r="C393" s="1710">
        <f>IF(BUDGET!AP398=0,"",BUDGET!AP398)</f>
        <v>2763687</v>
      </c>
      <c r="D393" s="1717"/>
      <c r="E393" s="827"/>
      <c r="F393" s="1127"/>
      <c r="G393" s="1666"/>
      <c r="H393" s="827"/>
      <c r="I393" s="1771"/>
    </row>
    <row r="394" spans="2:9" ht="13.15" x14ac:dyDescent="0.4">
      <c r="B394" s="1844" t="str">
        <f>IF(BUDGET!A399=0,"",BUDGET!A399)</f>
        <v/>
      </c>
      <c r="C394" s="1745" t="str">
        <f>IF(BUDGET!AP399=0,"",BUDGET!AP399)</f>
        <v/>
      </c>
      <c r="D394" s="1745"/>
      <c r="E394" s="1099"/>
      <c r="F394" s="1645"/>
      <c r="G394" s="1688"/>
      <c r="H394" s="1099"/>
      <c r="I394" s="1799"/>
    </row>
    <row r="395" spans="2:9" x14ac:dyDescent="0.35">
      <c r="B395" s="1843" t="str">
        <f>IF(BUDGET!A400=0,"",BUDGET!A400)</f>
        <v>SALARY RESERVE</v>
      </c>
      <c r="C395" s="1707" t="str">
        <f>IF(BUDGET!AP400=0,"",BUDGET!AP400)</f>
        <v/>
      </c>
      <c r="D395" s="1707"/>
      <c r="E395" s="788"/>
      <c r="F395" s="841"/>
      <c r="G395" s="1656"/>
      <c r="H395" s="788"/>
      <c r="I395" s="1761"/>
    </row>
    <row r="396" spans="2:9" ht="13.15" x14ac:dyDescent="0.4">
      <c r="B396" s="1870" t="str">
        <f>IF(BUDGET!A401=0,"",BUDGET!A401)</f>
        <v>TOTAL</v>
      </c>
      <c r="C396" s="1710">
        <f>IF(BUDGET!AP401=0,"",BUDGET!AP401)</f>
        <v>25000</v>
      </c>
      <c r="D396" s="1710"/>
      <c r="E396" s="785"/>
      <c r="F396" s="820"/>
      <c r="G396" s="1659"/>
      <c r="H396" s="785"/>
      <c r="I396" s="1764"/>
    </row>
    <row r="397" spans="2:9" ht="13.15" x14ac:dyDescent="0.4">
      <c r="B397" s="1844" t="str">
        <f>IF(BUDGET!A402=0,"",BUDGET!A402)</f>
        <v/>
      </c>
      <c r="C397" s="1745" t="str">
        <f>IF(BUDGET!AP402=0,"",BUDGET!AP402)</f>
        <v/>
      </c>
      <c r="D397" s="1745"/>
      <c r="E397" s="1099"/>
      <c r="F397" s="1645"/>
      <c r="G397" s="1688"/>
      <c r="H397" s="1099"/>
      <c r="I397" s="1799"/>
    </row>
    <row r="398" spans="2:9" x14ac:dyDescent="0.35">
      <c r="B398" s="1871" t="str">
        <f>IF(BUDGET!A403=0,"",BUDGET!A403)</f>
        <v>TRANSFERS TO FUNDS</v>
      </c>
      <c r="C398" s="1707" t="str">
        <f>IF(BUDGET!AP403=0,"",BUDGET!AP403)</f>
        <v/>
      </c>
      <c r="D398" s="1707"/>
      <c r="E398" s="788"/>
      <c r="F398" s="841"/>
      <c r="G398" s="1656"/>
      <c r="H398" s="788"/>
      <c r="I398" s="1761"/>
    </row>
    <row r="399" spans="2:9" x14ac:dyDescent="0.35">
      <c r="B399" s="1843" t="str">
        <f>IF(BUDGET!A404=0,"",BUDGET!A404)</f>
        <v xml:space="preserve">  UNEMPLOYMENT</v>
      </c>
      <c r="C399" s="1707" t="str">
        <f>IF(BUDGET!AP404=0,"",BUDGET!AP404)</f>
        <v/>
      </c>
      <c r="D399" s="1707"/>
      <c r="E399" s="788"/>
      <c r="F399" s="841"/>
      <c r="G399" s="1656"/>
      <c r="H399" s="788"/>
      <c r="I399" s="1761"/>
    </row>
    <row r="400" spans="2:9" x14ac:dyDescent="0.35">
      <c r="B400" s="1843" t="str">
        <f>IF(BUDGET!A405=0,"",BUDGET!A405)</f>
        <v xml:space="preserve"> COMPENSATED ABSENSES</v>
      </c>
      <c r="C400" s="1707" t="str">
        <f>IF(BUDGET!AP405=0,"",BUDGET!AP405)</f>
        <v/>
      </c>
      <c r="D400" s="1707"/>
      <c r="E400" s="788"/>
      <c r="F400" s="841"/>
      <c r="G400" s="1656"/>
      <c r="H400" s="788"/>
      <c r="I400" s="1761"/>
    </row>
    <row r="401" spans="2:9" x14ac:dyDescent="0.35">
      <c r="B401" s="1843" t="str">
        <f>IF(BUDGET!A406=0,"",BUDGET!A406)</f>
        <v xml:space="preserve"> POLICE/FIRE INDEMNITY</v>
      </c>
      <c r="C401" s="1707" t="str">
        <f>IF(BUDGET!AP406=0,"",BUDGET!AP406)</f>
        <v/>
      </c>
      <c r="D401" s="1707"/>
      <c r="E401" s="788"/>
      <c r="F401" s="841"/>
      <c r="G401" s="1656"/>
      <c r="H401" s="788"/>
      <c r="I401" s="1761"/>
    </row>
    <row r="402" spans="2:9" ht="13.15" x14ac:dyDescent="0.4">
      <c r="B402" s="1870" t="str">
        <f>IF(BUDGET!A407=0,"",BUDGET!A407)</f>
        <v>TOTAL</v>
      </c>
      <c r="C402" s="1710" t="str">
        <f>IF(BUDGET!AP407=0,"",BUDGET!AP407)</f>
        <v/>
      </c>
      <c r="D402" s="1710"/>
      <c r="E402" s="785"/>
      <c r="F402" s="820"/>
      <c r="G402" s="1659"/>
      <c r="H402" s="785"/>
      <c r="I402" s="1764"/>
    </row>
    <row r="403" spans="2:9" ht="13.15" x14ac:dyDescent="0.4">
      <c r="B403" s="1844" t="str">
        <f>IF(BUDGET!A408=0,"",BUDGET!A408)</f>
        <v/>
      </c>
      <c r="C403" s="1745" t="str">
        <f>IF(BUDGET!AP408=0,"",BUDGET!AP408)</f>
        <v/>
      </c>
      <c r="D403" s="1745"/>
      <c r="E403" s="1099"/>
      <c r="F403" s="1645"/>
      <c r="G403" s="1688"/>
      <c r="H403" s="1099"/>
      <c r="I403" s="1799"/>
    </row>
    <row r="404" spans="2:9" x14ac:dyDescent="0.35">
      <c r="B404" s="1871" t="str">
        <f>IF(BUDGET!A409=0,"",BUDGET!A409)</f>
        <v xml:space="preserve">   MAPC</v>
      </c>
      <c r="C404" s="1707" t="str">
        <f>IF(BUDGET!AP409=0,"",BUDGET!AP409)</f>
        <v/>
      </c>
      <c r="D404" s="1707"/>
      <c r="E404" s="788"/>
      <c r="F404" s="841"/>
      <c r="G404" s="1656"/>
      <c r="H404" s="788"/>
      <c r="I404" s="1761"/>
    </row>
    <row r="405" spans="2:9" ht="13.15" x14ac:dyDescent="0.4">
      <c r="B405" s="1841" t="str">
        <f>IF(BUDGET!A410=0,"",BUDGET!A410)</f>
        <v xml:space="preserve">             TOTAL</v>
      </c>
      <c r="C405" s="1710" t="str">
        <f>IF(BUDGET!AP410=0,"",BUDGET!AP410)</f>
        <v/>
      </c>
      <c r="D405" s="1717"/>
      <c r="E405" s="827"/>
      <c r="F405" s="1127"/>
      <c r="G405" s="1666"/>
      <c r="H405" s="827"/>
      <c r="I405" s="1771"/>
    </row>
    <row r="406" spans="2:9" ht="13.15" x14ac:dyDescent="0.4">
      <c r="B406" s="1843" t="str">
        <f>IF(BUDGET!A411=0,"",BUDGET!A411)</f>
        <v/>
      </c>
      <c r="C406" s="1710" t="str">
        <f>IF(BUDGET!AP411=0,"",BUDGET!AP411)</f>
        <v/>
      </c>
      <c r="D406" s="1717"/>
      <c r="E406" s="827"/>
      <c r="F406" s="1127"/>
      <c r="G406" s="1666"/>
      <c r="H406" s="827"/>
      <c r="I406" s="1771"/>
    </row>
    <row r="407" spans="2:9" ht="13.5" thickBot="1" x14ac:dyDescent="0.45">
      <c r="B407" s="1855" t="str">
        <f>IF(BUDGET!A412=0,"",BUDGET!A412)</f>
        <v>OTHER EXPEND.:  SUB-TOTAL</v>
      </c>
      <c r="C407" s="1746">
        <f>IF(BUDGET!AP412=0,"",BUDGET!AP412)</f>
        <v>4335833</v>
      </c>
      <c r="D407" s="1746"/>
      <c r="E407" s="1066"/>
      <c r="F407" s="1646"/>
      <c r="G407" s="1689"/>
      <c r="H407" s="1066"/>
      <c r="I407" s="1800"/>
    </row>
    <row r="408" spans="2:9" ht="13.9" thickTop="1" thickBot="1" x14ac:dyDescent="0.45">
      <c r="B408" s="1855" t="str">
        <f>IF(BUDGET!A413=0,"",BUDGET!A413)</f>
        <v>TOTAL ART 3RD OPERATING BGT</v>
      </c>
      <c r="C408" s="1747">
        <f>IF(BUDGET!AP413=0,"",BUDGET!AP413)</f>
        <v>22730418.394150004</v>
      </c>
      <c r="D408" s="1747"/>
      <c r="E408" s="1108"/>
      <c r="F408" s="1647"/>
      <c r="G408" s="1690"/>
      <c r="H408" s="1108"/>
      <c r="I408" s="1801"/>
    </row>
    <row r="409" spans="2:9" ht="13.15" thickTop="1" x14ac:dyDescent="0.35">
      <c r="B409" s="1833" t="str">
        <f>IF(BUDGET!A414=0,"",BUDGET!A414)</f>
        <v xml:space="preserve"> </v>
      </c>
      <c r="C409" s="1872" t="str">
        <f>IF(BUDGET!AP414=0,"",BUDGET!AP414)</f>
        <v/>
      </c>
      <c r="D409" s="1748"/>
      <c r="E409" s="1110"/>
      <c r="F409" s="1110"/>
      <c r="G409" s="1691"/>
      <c r="H409" s="1110"/>
      <c r="I409" s="1766"/>
    </row>
    <row r="410" spans="2:9" x14ac:dyDescent="0.35">
      <c r="B410" s="1833" t="str">
        <f>IF(BUDGET!A415=0,"",BUDGET!A415)</f>
        <v/>
      </c>
      <c r="C410" s="1873" t="str">
        <f>IF(BUDGET!AP415=0,"",BUDGET!AP415)</f>
        <v/>
      </c>
      <c r="D410" s="1749"/>
      <c r="E410" s="979"/>
      <c r="F410" s="979"/>
      <c r="G410" s="1692"/>
      <c r="H410" s="979"/>
      <c r="I410" s="1760"/>
    </row>
    <row r="411" spans="2:9" ht="13.15" x14ac:dyDescent="0.4">
      <c r="B411" s="1874" t="str">
        <f>IF(BUDGET!A416=0,"",BUDGET!A416)</f>
        <v>ART. 4TH: WATER DEP'T (ENTERPRISE)</v>
      </c>
      <c r="C411" s="1875" t="str">
        <f>IF(BUDGET!AP416=0,"",BUDGET!AP416)</f>
        <v/>
      </c>
      <c r="D411" s="1750"/>
      <c r="E411" s="1114"/>
      <c r="F411" s="1648"/>
      <c r="G411" s="1693"/>
      <c r="H411" s="1114"/>
      <c r="I411" s="1802"/>
    </row>
    <row r="412" spans="2:9" x14ac:dyDescent="0.35">
      <c r="B412" s="1853" t="str">
        <f>IF(BUDGET!A417=0,"",BUDGET!A417)</f>
        <v xml:space="preserve">   SALARIES</v>
      </c>
      <c r="C412" s="1707">
        <f>IF(BUDGET!AP417=0,"",BUDGET!AP417)</f>
        <v>111664</v>
      </c>
      <c r="D412" s="1707"/>
      <c r="E412" s="788"/>
      <c r="F412" s="841"/>
      <c r="G412" s="1656"/>
      <c r="H412" s="788"/>
      <c r="I412" s="1761"/>
    </row>
    <row r="413" spans="2:9" x14ac:dyDescent="0.35">
      <c r="B413" s="1843" t="str">
        <f>IF(BUDGET!A418=0,"",BUDGET!A418)</f>
        <v xml:space="preserve">   WAGES</v>
      </c>
      <c r="C413" s="1707">
        <f>IF(BUDGET!AP418=0,"",BUDGET!AP418)</f>
        <v>285549.25</v>
      </c>
      <c r="D413" s="1707"/>
      <c r="E413" s="788"/>
      <c r="F413" s="841"/>
      <c r="G413" s="1656"/>
      <c r="H413" s="788"/>
      <c r="I413" s="1761"/>
    </row>
    <row r="414" spans="2:9" x14ac:dyDescent="0.35">
      <c r="B414" s="1843" t="str">
        <f>IF(BUDGET!A419=0,"",BUDGET!A419)</f>
        <v xml:space="preserve">   OTHER</v>
      </c>
      <c r="C414" s="1707">
        <f>IF(BUDGET!AP419=0,"",BUDGET!AP419)</f>
        <v>419550</v>
      </c>
      <c r="D414" s="1707"/>
      <c r="E414" s="788"/>
      <c r="F414" s="841"/>
      <c r="G414" s="1656"/>
      <c r="H414" s="788"/>
      <c r="I414" s="1761"/>
    </row>
    <row r="415" spans="2:9" x14ac:dyDescent="0.35">
      <c r="B415" s="1843" t="str">
        <f>IF(BUDGET!A420=0,"",BUDGET!A420)</f>
        <v xml:space="preserve">   OTHER:  PUBLIC WORKS BLDG</v>
      </c>
      <c r="C415" s="1707" t="str">
        <f>IF(BUDGET!AP420=0,"",BUDGET!AP420)</f>
        <v/>
      </c>
      <c r="D415" s="1707"/>
      <c r="E415" s="788"/>
      <c r="F415" s="841"/>
      <c r="G415" s="1656"/>
      <c r="H415" s="788"/>
      <c r="I415" s="1761"/>
    </row>
    <row r="416" spans="2:9" x14ac:dyDescent="0.35">
      <c r="B416" s="1843" t="str">
        <f>IF(BUDGET!A421=0,"",BUDGET!A421)</f>
        <v xml:space="preserve">   SPECIAL MAINTENANCE FUND</v>
      </c>
      <c r="C416" s="1707" t="str">
        <f>IF(BUDGET!AP421=0,"",BUDGET!AP421)</f>
        <v/>
      </c>
      <c r="D416" s="1707"/>
      <c r="E416" s="788"/>
      <c r="F416" s="841"/>
      <c r="G416" s="1656"/>
      <c r="H416" s="788"/>
      <c r="I416" s="1761"/>
    </row>
    <row r="417" spans="2:9" x14ac:dyDescent="0.35">
      <c r="B417" s="1843" t="str">
        <f>IF(BUDGET!A422=0,"",BUDGET!A422)</f>
        <v xml:space="preserve">   DEBT SVS LONG-TERM DEBT PRIN.</v>
      </c>
      <c r="C417" s="1707">
        <f>IF(BUDGET!AP422=0,"",BUDGET!AP422)</f>
        <v>652300</v>
      </c>
      <c r="D417" s="1707"/>
      <c r="E417" s="788"/>
      <c r="F417" s="841"/>
      <c r="G417" s="1656"/>
      <c r="H417" s="788"/>
      <c r="I417" s="1761"/>
    </row>
    <row r="418" spans="2:9" x14ac:dyDescent="0.35">
      <c r="B418" s="1843" t="str">
        <f>IF(BUDGET!A423=0,"",BUDGET!A423)</f>
        <v xml:space="preserve">   S.T. PRINC. PAY-DOWN</v>
      </c>
      <c r="C418" s="1707" t="str">
        <f>IF(BUDGET!AP423=0,"",BUDGET!AP423)</f>
        <v/>
      </c>
      <c r="D418" s="1707"/>
      <c r="E418" s="788"/>
      <c r="F418" s="841"/>
      <c r="G418" s="1656"/>
      <c r="H418" s="788"/>
      <c r="I418" s="1761"/>
    </row>
    <row r="419" spans="2:9" x14ac:dyDescent="0.35">
      <c r="B419" s="1843" t="str">
        <f>IF(BUDGET!A424=0,"",BUDGET!A424)</f>
        <v xml:space="preserve">  DEBT SVS LONG-TERM DEBT INT.</v>
      </c>
      <c r="C419" s="1707">
        <f>IF(BUDGET!AP424=0,"",BUDGET!AP424)</f>
        <v>337856</v>
      </c>
      <c r="D419" s="1707"/>
      <c r="E419" s="788"/>
      <c r="F419" s="841"/>
      <c r="G419" s="1656"/>
      <c r="H419" s="788"/>
      <c r="I419" s="1761"/>
    </row>
    <row r="420" spans="2:9" x14ac:dyDescent="0.35">
      <c r="B420" s="1843" t="str">
        <f>IF(BUDGET!A425=0,"",BUDGET!A425)</f>
        <v xml:space="preserve">  DEBT INSURANCE</v>
      </c>
      <c r="C420" s="1707" t="str">
        <f>IF(BUDGET!AP425=0,"",BUDGET!AP425)</f>
        <v/>
      </c>
      <c r="D420" s="1707"/>
      <c r="E420" s="788"/>
      <c r="F420" s="841"/>
      <c r="G420" s="1656"/>
      <c r="H420" s="788"/>
      <c r="I420" s="1761"/>
    </row>
    <row r="421" spans="2:9" x14ac:dyDescent="0.35">
      <c r="B421" s="1843" t="str">
        <f>IF(BUDGET!A426=0,"",BUDGET!A426)</f>
        <v xml:space="preserve">   DEBT SVS INT. FOR TEMP. LOANS</v>
      </c>
      <c r="C421" s="1707" t="str">
        <f>IF(BUDGET!AP426=0,"",BUDGET!AP426)</f>
        <v/>
      </c>
      <c r="D421" s="1707"/>
      <c r="E421" s="788"/>
      <c r="F421" s="841"/>
      <c r="G421" s="1656"/>
      <c r="H421" s="788"/>
      <c r="I421" s="1761"/>
    </row>
    <row r="422" spans="2:9" ht="13.15" x14ac:dyDescent="0.4">
      <c r="B422" s="1843" t="str">
        <f>IF(BUDGET!A427=0,"",BUDGET!A427)</f>
        <v>SUBTOTAL DEBT SERVICE</v>
      </c>
      <c r="C422" s="1751">
        <f>IF(BUDGET!AP427=0,"",BUDGET!AP427)</f>
        <v>990156</v>
      </c>
      <c r="D422" s="1751"/>
      <c r="E422" s="1123"/>
      <c r="F422" s="1649"/>
      <c r="G422" s="1694"/>
      <c r="H422" s="1123"/>
      <c r="I422" s="1803"/>
    </row>
    <row r="423" spans="2:9" x14ac:dyDescent="0.35">
      <c r="B423" s="1843" t="str">
        <f>IF(BUDGET!A428=0,"",BUDGET!A428)</f>
        <v xml:space="preserve">   RESERVE FUND</v>
      </c>
      <c r="C423" s="1707">
        <f>IF(BUDGET!AP428=0,"",BUDGET!AP428)</f>
        <v>125000</v>
      </c>
      <c r="D423" s="1707"/>
      <c r="E423" s="788"/>
      <c r="F423" s="841"/>
      <c r="G423" s="1656"/>
      <c r="H423" s="788"/>
      <c r="I423" s="1761"/>
    </row>
    <row r="424" spans="2:9" x14ac:dyDescent="0.35">
      <c r="B424" s="1843" t="str">
        <f>IF(BUDGET!A429=0,"",BUDGET!A429)</f>
        <v xml:space="preserve">   UNANTICIPATED EMERGENCY</v>
      </c>
      <c r="C424" s="1707">
        <f>IF(BUDGET!AP429=0,"",BUDGET!AP429)</f>
        <v>125000</v>
      </c>
      <c r="D424" s="1707"/>
      <c r="E424" s="788"/>
      <c r="F424" s="841"/>
      <c r="G424" s="1656"/>
      <c r="H424" s="788"/>
      <c r="I424" s="1761"/>
    </row>
    <row r="425" spans="2:9" x14ac:dyDescent="0.35">
      <c r="B425" s="1843" t="str">
        <f>IF(BUDGET!A430=0,"",BUDGET!A430)</f>
        <v xml:space="preserve">         AMOUNT TRANSFERED*</v>
      </c>
      <c r="C425" s="1707" t="str">
        <f>IF(BUDGET!AP430=0,"",BUDGET!AP430)</f>
        <v/>
      </c>
      <c r="D425" s="1712"/>
      <c r="E425" s="825"/>
      <c r="F425" s="1110"/>
      <c r="G425" s="1661"/>
      <c r="H425" s="825"/>
      <c r="I425" s="1766"/>
    </row>
    <row r="426" spans="2:9" ht="13.5" thickBot="1" x14ac:dyDescent="0.45">
      <c r="B426" s="1855" t="str">
        <f>IF(BUDGET!A431=0,"",BUDGET!A431)</f>
        <v>ART. 4TH WATER DEPT:  TOTAL</v>
      </c>
      <c r="C426" s="1752">
        <f>IF(BUDGET!AP431=0,"",BUDGET!AP431)</f>
        <v>2056919.25</v>
      </c>
      <c r="D426" s="1752"/>
      <c r="E426" s="1105"/>
      <c r="F426" s="1650"/>
      <c r="G426" s="1695"/>
      <c r="H426" s="1105"/>
      <c r="I426" s="1804"/>
    </row>
    <row r="427" spans="2:9" ht="13.5" thickTop="1" x14ac:dyDescent="0.4">
      <c r="B427" s="1876" t="str">
        <f>IF(BUDGET!A432=0,"",BUDGET!A432)</f>
        <v/>
      </c>
      <c r="C427" s="1877" t="str">
        <f>IF(BUDGET!AP432=0,"",BUDGET!AP432)</f>
        <v/>
      </c>
      <c r="D427" s="1753"/>
      <c r="E427" s="1127"/>
      <c r="F427" s="1127"/>
      <c r="G427" s="1696"/>
      <c r="H427" s="1127"/>
      <c r="I427" s="1771"/>
    </row>
    <row r="428" spans="2:9" ht="13.5" thickBot="1" x14ac:dyDescent="0.45">
      <c r="B428" s="1855" t="str">
        <f>IF(BUDGET!A433=0,"",BUDGET!A433)</f>
        <v>ART. 8TH NORTH SHORE VO-TECH</v>
      </c>
      <c r="C428" s="1878">
        <f>IF(BUDGET!AP433=0,"",BUDGET!AP433)</f>
        <v>442571</v>
      </c>
      <c r="D428" s="1754"/>
      <c r="E428" s="976"/>
      <c r="F428" s="1651"/>
      <c r="G428" s="1697"/>
      <c r="H428" s="976"/>
      <c r="I428" s="1805"/>
    </row>
    <row r="429" spans="2:9" ht="13.9" thickTop="1" thickBot="1" x14ac:dyDescent="0.45">
      <c r="B429" s="1879" t="str">
        <f>IF(BUDGET!A434=0,"",BUDGET!A434)</f>
        <v/>
      </c>
      <c r="C429" s="1880" t="str">
        <f>IF(BUDGET!AP434=0,"",BUDGET!AP434)</f>
        <v/>
      </c>
      <c r="D429" s="1755"/>
      <c r="E429" s="1138"/>
      <c r="F429" s="1138"/>
      <c r="G429" s="1698"/>
      <c r="H429" s="1138"/>
      <c r="I429" s="1806"/>
    </row>
    <row r="430" spans="2:9" ht="13.15" x14ac:dyDescent="0.4">
      <c r="B430" s="1881" t="str">
        <f>IF(BUDGET!A435=0,"",BUDGET!A435)</f>
        <v xml:space="preserve">ART.5TH MASCONOMET </v>
      </c>
      <c r="C430" s="1710" t="str">
        <f>IF(BUDGET!AP435=0,"",BUDGET!AP435)</f>
        <v/>
      </c>
      <c r="D430" s="1717"/>
      <c r="E430" s="827"/>
      <c r="F430" s="1127"/>
      <c r="G430" s="1666"/>
      <c r="H430" s="827"/>
      <c r="I430" s="1771"/>
    </row>
    <row r="431" spans="2:9" ht="13.15" x14ac:dyDescent="0.4">
      <c r="B431" s="1881" t="str">
        <f>IF(BUDGET!A436=0,"",BUDGET!A436)</f>
        <v xml:space="preserve">  SHARE OF OPER &amp; MAIN.</v>
      </c>
      <c r="C431" s="1882">
        <f>IF(BUDGET!AP436=0,"",BUDGET!AP436)</f>
        <v>8776844</v>
      </c>
      <c r="D431" s="1756"/>
      <c r="E431" s="1149"/>
      <c r="F431" s="1652"/>
      <c r="G431" s="1699"/>
      <c r="H431" s="1149"/>
      <c r="I431" s="1807"/>
    </row>
    <row r="432" spans="2:9" ht="13.15" x14ac:dyDescent="0.4">
      <c r="B432" s="1883" t="str">
        <f>IF(BUDGET!A437=0,"",BUDGET!A437)</f>
        <v xml:space="preserve">  DEBT SERVICE</v>
      </c>
      <c r="C432" s="1710" t="str">
        <f>IF(BUDGET!AP437=0,"",BUDGET!AP437)</f>
        <v/>
      </c>
      <c r="D432" s="1717"/>
      <c r="E432" s="827"/>
      <c r="F432" s="1127"/>
      <c r="G432" s="1666"/>
      <c r="H432" s="827"/>
      <c r="I432" s="1771"/>
    </row>
    <row r="433" spans="2:9" ht="13.5" thickBot="1" x14ac:dyDescent="0.45">
      <c r="B433" s="1884" t="str">
        <f>IF(BUDGET!A438=0,"",BUDGET!A438)</f>
        <v>TOTAL MASCO FIN COM ASSMNT</v>
      </c>
      <c r="C433" s="1752">
        <f>IF(BUDGET!AP438=0,"",BUDGET!AP438)</f>
        <v>8776844</v>
      </c>
      <c r="D433" s="1752"/>
      <c r="E433" s="1105"/>
      <c r="F433" s="1650"/>
      <c r="G433" s="1695"/>
      <c r="H433" s="1105"/>
      <c r="I433" s="1804"/>
    </row>
    <row r="434" spans="2:9" ht="13.5" thickTop="1" x14ac:dyDescent="0.4">
      <c r="B434" s="1885"/>
      <c r="C434" s="1872" t="str">
        <f>IF(BUDGET!AP439=0,"",BUDGET!AP439)</f>
        <v/>
      </c>
      <c r="D434" s="1748"/>
      <c r="E434" s="1110"/>
      <c r="F434" s="1110"/>
      <c r="G434" s="1691"/>
      <c r="H434" s="1110"/>
      <c r="I434" s="1110"/>
    </row>
    <row r="435" spans="2:9" x14ac:dyDescent="0.35">
      <c r="B435"/>
      <c r="C435"/>
      <c r="D435"/>
      <c r="E435"/>
      <c r="F435"/>
      <c r="G435" s="459">
        <f>SUM(G12:G433)</f>
        <v>0</v>
      </c>
      <c r="H435"/>
      <c r="I435"/>
    </row>
    <row r="436" spans="2:9" x14ac:dyDescent="0.35">
      <c r="B436"/>
      <c r="C436"/>
      <c r="D436"/>
      <c r="E436"/>
      <c r="F436"/>
      <c r="G436"/>
      <c r="H436"/>
      <c r="I436"/>
    </row>
    <row r="437" spans="2:9" x14ac:dyDescent="0.35">
      <c r="B437"/>
      <c r="C437"/>
      <c r="D437"/>
      <c r="E437"/>
      <c r="F437"/>
      <c r="G437"/>
      <c r="H437"/>
      <c r="I437"/>
    </row>
    <row r="438" spans="2:9" x14ac:dyDescent="0.35">
      <c r="B438"/>
      <c r="C438"/>
      <c r="D438"/>
      <c r="E438"/>
      <c r="F438"/>
      <c r="G438"/>
      <c r="H438"/>
      <c r="I438"/>
    </row>
    <row r="439" spans="2:9" x14ac:dyDescent="0.35">
      <c r="B439"/>
      <c r="C439"/>
      <c r="D439"/>
      <c r="E439"/>
      <c r="F439"/>
      <c r="G439"/>
      <c r="H439"/>
      <c r="I439"/>
    </row>
    <row r="440" spans="2:9" x14ac:dyDescent="0.35">
      <c r="B440"/>
      <c r="C440"/>
      <c r="D440"/>
      <c r="E440"/>
      <c r="F440"/>
      <c r="G440"/>
      <c r="H440"/>
      <c r="I440"/>
    </row>
    <row r="441" spans="2:9" x14ac:dyDescent="0.35">
      <c r="B441"/>
      <c r="C441"/>
      <c r="D441"/>
      <c r="E441"/>
      <c r="F441"/>
      <c r="G441"/>
      <c r="H441"/>
      <c r="I441"/>
    </row>
    <row r="442" spans="2:9" x14ac:dyDescent="0.35">
      <c r="B442"/>
      <c r="C442"/>
      <c r="D442"/>
      <c r="E442"/>
      <c r="F442"/>
      <c r="G442"/>
      <c r="H442"/>
      <c r="I442"/>
    </row>
    <row r="443" spans="2:9" x14ac:dyDescent="0.35">
      <c r="B443"/>
      <c r="C443"/>
      <c r="D443"/>
      <c r="E443"/>
      <c r="F443"/>
      <c r="G443"/>
      <c r="H443"/>
      <c r="I443"/>
    </row>
    <row r="444" spans="2:9" x14ac:dyDescent="0.35">
      <c r="B444"/>
      <c r="C444"/>
      <c r="D444"/>
      <c r="E444"/>
      <c r="F444"/>
      <c r="G444"/>
      <c r="H444"/>
      <c r="I444"/>
    </row>
    <row r="445" spans="2:9" x14ac:dyDescent="0.35">
      <c r="B445"/>
      <c r="C445"/>
      <c r="D445"/>
      <c r="E445"/>
      <c r="F445"/>
      <c r="G445"/>
      <c r="H445"/>
      <c r="I445"/>
    </row>
    <row r="446" spans="2:9" x14ac:dyDescent="0.35">
      <c r="B446"/>
      <c r="C446"/>
      <c r="D446"/>
      <c r="E446"/>
      <c r="F446"/>
      <c r="G446"/>
      <c r="H446"/>
      <c r="I446"/>
    </row>
    <row r="447" spans="2:9" x14ac:dyDescent="0.35">
      <c r="B447"/>
      <c r="C447"/>
      <c r="D447"/>
      <c r="E447"/>
      <c r="F447"/>
      <c r="G447"/>
      <c r="H447"/>
      <c r="I447"/>
    </row>
    <row r="448" spans="2:9" x14ac:dyDescent="0.35">
      <c r="B448"/>
      <c r="C448"/>
      <c r="D448"/>
      <c r="E448"/>
      <c r="F448"/>
      <c r="G448"/>
      <c r="H448"/>
      <c r="I448"/>
    </row>
    <row r="449" spans="2:9" x14ac:dyDescent="0.35">
      <c r="B449"/>
      <c r="C449"/>
      <c r="D449"/>
      <c r="E449"/>
      <c r="F449"/>
      <c r="G449"/>
      <c r="H449"/>
      <c r="I449"/>
    </row>
    <row r="450" spans="2:9" x14ac:dyDescent="0.35">
      <c r="B450"/>
      <c r="C450"/>
      <c r="D450"/>
      <c r="E450"/>
      <c r="F450"/>
      <c r="G450"/>
      <c r="H450"/>
      <c r="I450"/>
    </row>
    <row r="451" spans="2:9" x14ac:dyDescent="0.35">
      <c r="B451"/>
      <c r="C451"/>
      <c r="D451"/>
      <c r="E451"/>
      <c r="F451"/>
      <c r="G451"/>
      <c r="H451"/>
      <c r="I451"/>
    </row>
    <row r="452" spans="2:9" x14ac:dyDescent="0.35">
      <c r="C452" s="1886" t="str">
        <f>IF(BUDGET!AP457=0,"",BUDGET!AP457)</f>
        <v/>
      </c>
    </row>
    <row r="453" spans="2:9" ht="13.15" x14ac:dyDescent="0.4">
      <c r="C453" s="1887" t="str">
        <f>IF(BUDGET!AP458=0,"",BUDGET!AP458)</f>
        <v/>
      </c>
      <c r="D453" s="1523"/>
      <c r="E453" s="1523"/>
      <c r="F453" s="1523"/>
      <c r="G453" s="1523"/>
      <c r="H453" s="1523"/>
      <c r="I453" s="1523"/>
    </row>
    <row r="454" spans="2:9" x14ac:dyDescent="0.35">
      <c r="C454" s="1873" t="str">
        <f>IF(BUDGET!AP459=0,"",BUDGET!AP459)</f>
        <v/>
      </c>
      <c r="D454" s="1749"/>
      <c r="E454" s="979"/>
      <c r="F454" s="979"/>
      <c r="G454" s="979"/>
      <c r="H454" s="979"/>
      <c r="I454" s="979"/>
    </row>
    <row r="455" spans="2:9" x14ac:dyDescent="0.35">
      <c r="C455" s="1873" t="str">
        <f>IF(BUDGET!AP460=0,"",BUDGET!AP460)</f>
        <v/>
      </c>
      <c r="D455" s="1749"/>
      <c r="E455" s="979"/>
      <c r="F455" s="979"/>
      <c r="G455" s="979"/>
      <c r="H455" s="979"/>
      <c r="I455" s="979"/>
    </row>
    <row r="456" spans="2:9" x14ac:dyDescent="0.35">
      <c r="C456" s="1873" t="str">
        <f>IF(BUDGET!AP461=0,"",BUDGET!AP461)</f>
        <v/>
      </c>
      <c r="D456" s="1749"/>
      <c r="E456" s="979"/>
      <c r="F456" s="979"/>
      <c r="G456" s="979"/>
      <c r="H456" s="979"/>
      <c r="I456" s="979"/>
    </row>
    <row r="457" spans="2:9" x14ac:dyDescent="0.35">
      <c r="C457" s="1886" t="str">
        <f>IF(BUDGET!AP462=0,"",BUDGET!AP462)</f>
        <v/>
      </c>
    </row>
    <row r="458" spans="2:9" x14ac:dyDescent="0.35">
      <c r="C458" s="1886" t="str">
        <f>IF(BUDGET!AP463=0,"",BUDGET!AP463)</f>
        <v/>
      </c>
    </row>
    <row r="459" spans="2:9" x14ac:dyDescent="0.35">
      <c r="C459" s="1886" t="str">
        <f>IF(BUDGET!AP464=0,"",BUDGET!AP464)</f>
        <v/>
      </c>
    </row>
    <row r="460" spans="2:9" x14ac:dyDescent="0.35">
      <c r="C460" s="1886" t="str">
        <f>IF(BUDGET!AP465=0,"",BUDGET!AP465)</f>
        <v/>
      </c>
    </row>
    <row r="461" spans="2:9" x14ac:dyDescent="0.35">
      <c r="C461" s="1886" t="str">
        <f>IF(BUDGET!AP466=0,"",BUDGET!AP466)</f>
        <v/>
      </c>
    </row>
    <row r="462" spans="2:9" x14ac:dyDescent="0.35">
      <c r="C462" s="1886" t="str">
        <f>IF(BUDGET!AP467=0,"",BUDGET!AP467)</f>
        <v/>
      </c>
    </row>
    <row r="463" spans="2:9" x14ac:dyDescent="0.35">
      <c r="C463" s="1886" t="str">
        <f>IF(BUDGET!AP468=0,"",BUDGET!AP468)</f>
        <v/>
      </c>
    </row>
    <row r="464" spans="2:9" x14ac:dyDescent="0.35">
      <c r="C464" s="1886" t="str">
        <f>IF(BUDGET!AP469=0,"",BUDGET!AP469)</f>
        <v/>
      </c>
    </row>
    <row r="465" spans="3:3" x14ac:dyDescent="0.35">
      <c r="C465" s="1886" t="e">
        <f>IF(BUDGET!#REF!=0,"",BUDGET!#REF!)</f>
        <v>#REF!</v>
      </c>
    </row>
    <row r="466" spans="3:3" x14ac:dyDescent="0.35">
      <c r="C466" s="1886" t="e">
        <f>IF(BUDGET!#REF!=0,"",BUDGET!#REF!)</f>
        <v>#REF!</v>
      </c>
    </row>
    <row r="467" spans="3:3" x14ac:dyDescent="0.35">
      <c r="C467" s="1886" t="e">
        <f>IF(BUDGET!#REF!=0,"",BUDGET!#REF!)</f>
        <v>#REF!</v>
      </c>
    </row>
    <row r="468" spans="3:3" x14ac:dyDescent="0.35">
      <c r="C468" s="1886" t="e">
        <f>IF(BUDGET!#REF!=0,"",BUDGET!#REF!)</f>
        <v>#REF!</v>
      </c>
    </row>
    <row r="469" spans="3:3" x14ac:dyDescent="0.35">
      <c r="C469" s="1886" t="e">
        <f>IF(BUDGET!#REF!=0,"",BUDGET!#REF!)</f>
        <v>#REF!</v>
      </c>
    </row>
    <row r="470" spans="3:3" x14ac:dyDescent="0.35">
      <c r="C470" s="1886" t="e">
        <f>IF(BUDGET!#REF!=0,"",BUDGET!#REF!)</f>
        <v>#REF!</v>
      </c>
    </row>
    <row r="471" spans="3:3" x14ac:dyDescent="0.35">
      <c r="C471" s="1886" t="e">
        <f>IF(BUDGET!#REF!=0,"",BUDGET!#REF!)</f>
        <v>#REF!</v>
      </c>
    </row>
    <row r="472" spans="3:3" x14ac:dyDescent="0.35">
      <c r="C472" s="1886" t="str">
        <f>IF(BUDGET!AP470=0,"",BUDGET!AP470)</f>
        <v/>
      </c>
    </row>
    <row r="473" spans="3:3" x14ac:dyDescent="0.35">
      <c r="C473" s="1886" t="str">
        <f>IF(BUDGET!AP471=0,"",BUDGET!AP471)</f>
        <v/>
      </c>
    </row>
    <row r="474" spans="3:3" x14ac:dyDescent="0.35">
      <c r="C474" s="1886" t="str">
        <f>IF(BUDGET!AP472=0,"",BUDGET!AP472)</f>
        <v/>
      </c>
    </row>
    <row r="475" spans="3:3" x14ac:dyDescent="0.35">
      <c r="C475" s="1886" t="str">
        <f>IF(BUDGET!AP473=0,"",BUDGET!AP473)</f>
        <v/>
      </c>
    </row>
    <row r="476" spans="3:3" x14ac:dyDescent="0.35">
      <c r="C476" s="1886" t="str">
        <f>IF(BUDGET!AP474=0,"",BUDGET!AP474)</f>
        <v/>
      </c>
    </row>
    <row r="477" spans="3:3" x14ac:dyDescent="0.35">
      <c r="C477" s="1886" t="str">
        <f>IF(BUDGET!AP475=0,"",BUDGET!AP475)</f>
        <v/>
      </c>
    </row>
    <row r="478" spans="3:3" x14ac:dyDescent="0.35">
      <c r="C478" s="1886" t="str">
        <f>IF(BUDGET!AP476=0,"",BUDGET!AP476)</f>
        <v/>
      </c>
    </row>
    <row r="479" spans="3:3" x14ac:dyDescent="0.35">
      <c r="C479" s="1886" t="str">
        <f>IF(BUDGET!AP477=0,"",BUDGET!AP477)</f>
        <v/>
      </c>
    </row>
    <row r="480" spans="3:3" x14ac:dyDescent="0.35">
      <c r="C480" s="1886" t="str">
        <f>IF(BUDGET!AP478=0,"",BUDGET!AP478)</f>
        <v/>
      </c>
    </row>
    <row r="481" spans="3:3" x14ac:dyDescent="0.35">
      <c r="C481" s="1886" t="str">
        <f>IF(BUDGET!AP479=0,"",BUDGET!AP479)</f>
        <v/>
      </c>
    </row>
    <row r="482" spans="3:3" x14ac:dyDescent="0.35">
      <c r="C482" s="1886" t="str">
        <f>IF(BUDGET!AP480=0,"",BUDGET!AP480)</f>
        <v/>
      </c>
    </row>
    <row r="483" spans="3:3" x14ac:dyDescent="0.35">
      <c r="C483" s="1886" t="str">
        <f>IF(BUDGET!AP481=0,"",BUDGET!AP481)</f>
        <v/>
      </c>
    </row>
    <row r="484" spans="3:3" x14ac:dyDescent="0.35">
      <c r="C484" s="1886" t="str">
        <f>IF(BUDGET!AP482=0,"",BUDGET!AP482)</f>
        <v/>
      </c>
    </row>
    <row r="485" spans="3:3" x14ac:dyDescent="0.35">
      <c r="C485" s="1886" t="str">
        <f>IF(BUDGET!AP483=0,"",BUDGET!AP483)</f>
        <v/>
      </c>
    </row>
    <row r="486" spans="3:3" x14ac:dyDescent="0.35">
      <c r="C486" s="1886" t="str">
        <f>IF(BUDGET!AP484=0,"",BUDGET!AP484)</f>
        <v/>
      </c>
    </row>
    <row r="487" spans="3:3" x14ac:dyDescent="0.35">
      <c r="C487" s="1886" t="str">
        <f>IF(BUDGET!AP485=0,"",BUDGET!AP485)</f>
        <v/>
      </c>
    </row>
    <row r="488" spans="3:3" x14ac:dyDescent="0.35">
      <c r="C488" s="1886" t="str">
        <f>IF(BUDGET!AP486=0,"",BUDGET!AP486)</f>
        <v/>
      </c>
    </row>
    <row r="489" spans="3:3" x14ac:dyDescent="0.35">
      <c r="C489" s="1886" t="str">
        <f>IF(BUDGET!AP487=0,"",BUDGET!AP487)</f>
        <v/>
      </c>
    </row>
    <row r="490" spans="3:3" x14ac:dyDescent="0.35">
      <c r="C490" s="1886" t="str">
        <f>IF(BUDGET!AP488=0,"",BUDGET!AP488)</f>
        <v/>
      </c>
    </row>
    <row r="491" spans="3:3" x14ac:dyDescent="0.35">
      <c r="C491" s="1886" t="str">
        <f>IF(BUDGET!AP489=0,"",BUDGET!AP489)</f>
        <v/>
      </c>
    </row>
    <row r="492" spans="3:3" x14ac:dyDescent="0.35">
      <c r="C492" s="1886" t="str">
        <f>IF(BUDGET!AP490=0,"",BUDGET!AP490)</f>
        <v/>
      </c>
    </row>
    <row r="493" spans="3:3" x14ac:dyDescent="0.35">
      <c r="C493" s="1886" t="str">
        <f>IF(BUDGET!AP491=0,"",BUDGET!AP491)</f>
        <v/>
      </c>
    </row>
    <row r="494" spans="3:3" x14ac:dyDescent="0.35">
      <c r="C494" s="1886" t="str">
        <f>IF(BUDGET!AP492=0,"",BUDGET!AP492)</f>
        <v/>
      </c>
    </row>
    <row r="495" spans="3:3" x14ac:dyDescent="0.35">
      <c r="C495" s="1886" t="str">
        <f>IF(BUDGET!AP493=0,"",BUDGET!AP493)</f>
        <v/>
      </c>
    </row>
    <row r="496" spans="3:3" x14ac:dyDescent="0.35">
      <c r="C496" s="1886" t="str">
        <f>IF(BUDGET!AP494=0,"",BUDGET!AP494)</f>
        <v/>
      </c>
    </row>
    <row r="497" spans="3:3" x14ac:dyDescent="0.35">
      <c r="C497" s="1886" t="str">
        <f>IF(BUDGET!AP495=0,"",BUDGET!AP495)</f>
        <v/>
      </c>
    </row>
    <row r="498" spans="3:3" x14ac:dyDescent="0.35">
      <c r="C498" s="1886" t="str">
        <f>IF(BUDGET!AP496=0,"",BUDGET!AP496)</f>
        <v/>
      </c>
    </row>
    <row r="499" spans="3:3" x14ac:dyDescent="0.35">
      <c r="C499" s="1886" t="str">
        <f>IF(BUDGET!AP497=0,"",BUDGET!AP497)</f>
        <v/>
      </c>
    </row>
    <row r="500" spans="3:3" x14ac:dyDescent="0.35">
      <c r="C500" s="1886" t="str">
        <f>IF(BUDGET!AP498=0,"",BUDGET!AP498)</f>
        <v/>
      </c>
    </row>
    <row r="501" spans="3:3" x14ac:dyDescent="0.35">
      <c r="C501" s="1886" t="str">
        <f>IF(BUDGET!AP499=0,"",BUDGET!AP499)</f>
        <v/>
      </c>
    </row>
    <row r="502" spans="3:3" x14ac:dyDescent="0.35">
      <c r="C502" s="1886" t="str">
        <f>IF(BUDGET!AP500=0,"",BUDGET!AP500)</f>
        <v/>
      </c>
    </row>
    <row r="503" spans="3:3" x14ac:dyDescent="0.35">
      <c r="C503" s="1886" t="str">
        <f>IF(BUDGET!AP501=0,"",BUDGET!AP501)</f>
        <v/>
      </c>
    </row>
    <row r="504" spans="3:3" x14ac:dyDescent="0.35">
      <c r="C504" s="1886" t="str">
        <f>IF(BUDGET!AP502=0,"",BUDGET!AP502)</f>
        <v/>
      </c>
    </row>
    <row r="505" spans="3:3" x14ac:dyDescent="0.35">
      <c r="C505" s="1886" t="str">
        <f>IF(BUDGET!AP503=0,"",BUDGET!AP503)</f>
        <v/>
      </c>
    </row>
    <row r="506" spans="3:3" x14ac:dyDescent="0.35">
      <c r="C506" s="1886" t="str">
        <f>IF(BUDGET!AP504=0,"",BUDGET!AP504)</f>
        <v/>
      </c>
    </row>
    <row r="507" spans="3:3" x14ac:dyDescent="0.35">
      <c r="C507" s="1886" t="str">
        <f>IF(BUDGET!AP505=0,"",BUDGET!AP505)</f>
        <v/>
      </c>
    </row>
    <row r="508" spans="3:3" x14ac:dyDescent="0.35">
      <c r="C508" s="1886" t="str">
        <f>IF(BUDGET!AP506=0,"",BUDGET!AP506)</f>
        <v/>
      </c>
    </row>
    <row r="509" spans="3:3" x14ac:dyDescent="0.35">
      <c r="C509" s="1886" t="str">
        <f>IF(BUDGET!AP507=0,"",BUDGET!AP507)</f>
        <v/>
      </c>
    </row>
    <row r="510" spans="3:3" x14ac:dyDescent="0.35">
      <c r="C510" s="1886" t="str">
        <f>IF(BUDGET!AP508=0,"",BUDGET!AP508)</f>
        <v/>
      </c>
    </row>
    <row r="511" spans="3:3" x14ac:dyDescent="0.35">
      <c r="C511" s="1886" t="str">
        <f>IF(BUDGET!AP509=0,"",BUDGET!AP509)</f>
        <v/>
      </c>
    </row>
    <row r="512" spans="3:3" x14ac:dyDescent="0.35">
      <c r="C512" s="1886" t="str">
        <f>IF(BUDGET!AP510=0,"",BUDGET!AP510)</f>
        <v/>
      </c>
    </row>
    <row r="513" spans="3:3" x14ac:dyDescent="0.35">
      <c r="C513" s="1886" t="str">
        <f>IF(BUDGET!AP511=0,"",BUDGET!AP511)</f>
        <v/>
      </c>
    </row>
    <row r="514" spans="3:3" x14ac:dyDescent="0.35">
      <c r="C514" s="1886" t="str">
        <f>IF(BUDGET!AP512=0,"",BUDGET!AP512)</f>
        <v/>
      </c>
    </row>
    <row r="515" spans="3:3" x14ac:dyDescent="0.35">
      <c r="C515" s="1886" t="str">
        <f>IF(BUDGET!AP513=0,"",BUDGET!AP513)</f>
        <v/>
      </c>
    </row>
    <row r="516" spans="3:3" x14ac:dyDescent="0.35">
      <c r="C516" s="1886" t="str">
        <f>IF(BUDGET!AP514=0,"",BUDGET!AP514)</f>
        <v/>
      </c>
    </row>
    <row r="517" spans="3:3" x14ac:dyDescent="0.35">
      <c r="C517" s="1886" t="str">
        <f>IF(BUDGET!AP515=0,"",BUDGET!AP515)</f>
        <v/>
      </c>
    </row>
    <row r="518" spans="3:3" x14ac:dyDescent="0.35">
      <c r="C518" s="1886" t="str">
        <f>IF(BUDGET!AP516=0,"",BUDGET!AP516)</f>
        <v/>
      </c>
    </row>
    <row r="519" spans="3:3" x14ac:dyDescent="0.35">
      <c r="C519" s="1886" t="str">
        <f>IF(BUDGET!AP517=0,"",BUDGET!AP517)</f>
        <v/>
      </c>
    </row>
    <row r="520" spans="3:3" x14ac:dyDescent="0.35">
      <c r="C520" s="1886" t="str">
        <f>IF(BUDGET!AP518=0,"",BUDGET!AP518)</f>
        <v/>
      </c>
    </row>
    <row r="521" spans="3:3" x14ac:dyDescent="0.35">
      <c r="C521" s="1886" t="str">
        <f>IF(BUDGET!AP519=0,"",BUDGET!AP519)</f>
        <v/>
      </c>
    </row>
    <row r="522" spans="3:3" x14ac:dyDescent="0.35">
      <c r="C522" s="1886" t="str">
        <f>IF(BUDGET!AP520=0,"",BUDGET!AP520)</f>
        <v/>
      </c>
    </row>
    <row r="523" spans="3:3" x14ac:dyDescent="0.35">
      <c r="C523" s="1886" t="str">
        <f>IF(BUDGET!AP521=0,"",BUDGET!AP521)</f>
        <v/>
      </c>
    </row>
    <row r="524" spans="3:3" x14ac:dyDescent="0.35">
      <c r="C524" s="1886" t="str">
        <f>IF(BUDGET!AP522=0,"",BUDGET!AP522)</f>
        <v/>
      </c>
    </row>
    <row r="525" spans="3:3" x14ac:dyDescent="0.35">
      <c r="C525" s="1886" t="str">
        <f>IF(BUDGET!AP523=0,"",BUDGET!AP523)</f>
        <v/>
      </c>
    </row>
    <row r="526" spans="3:3" x14ac:dyDescent="0.35">
      <c r="C526" s="1886" t="str">
        <f>IF(BUDGET!AP524=0,"",BUDGET!AP524)</f>
        <v/>
      </c>
    </row>
    <row r="527" spans="3:3" x14ac:dyDescent="0.35">
      <c r="C527" s="1886" t="str">
        <f>IF(BUDGET!AP525=0,"",BUDGET!AP525)</f>
        <v/>
      </c>
    </row>
    <row r="528" spans="3:3" x14ac:dyDescent="0.35">
      <c r="C528" s="1886" t="str">
        <f>IF(BUDGET!AP526=0,"",BUDGET!AP526)</f>
        <v/>
      </c>
    </row>
    <row r="529" spans="3:3" x14ac:dyDescent="0.35">
      <c r="C529" s="1886" t="str">
        <f>IF(BUDGET!AP527=0,"",BUDGET!AP527)</f>
        <v/>
      </c>
    </row>
    <row r="530" spans="3:3" x14ac:dyDescent="0.35">
      <c r="C530" s="1886" t="str">
        <f>IF(BUDGET!AP528=0,"",BUDGET!AP528)</f>
        <v/>
      </c>
    </row>
    <row r="531" spans="3:3" x14ac:dyDescent="0.35">
      <c r="C531" s="1886" t="str">
        <f>IF(BUDGET!AP529=0,"",BUDGET!AP529)</f>
        <v/>
      </c>
    </row>
    <row r="532" spans="3:3" x14ac:dyDescent="0.35">
      <c r="C532" s="1886" t="str">
        <f>IF(BUDGET!AP530=0,"",BUDGET!AP530)</f>
        <v/>
      </c>
    </row>
    <row r="533" spans="3:3" x14ac:dyDescent="0.35">
      <c r="C533" s="1886" t="str">
        <f>IF(BUDGET!AP531=0,"",BUDGET!AP531)</f>
        <v/>
      </c>
    </row>
    <row r="534" spans="3:3" x14ac:dyDescent="0.35">
      <c r="C534" s="1886" t="str">
        <f>IF(BUDGET!AP532=0,"",BUDGET!AP532)</f>
        <v/>
      </c>
    </row>
    <row r="535" spans="3:3" x14ac:dyDescent="0.35">
      <c r="C535" s="1886" t="str">
        <f>IF(BUDGET!AP533=0,"",BUDGET!AP533)</f>
        <v/>
      </c>
    </row>
    <row r="536" spans="3:3" x14ac:dyDescent="0.35">
      <c r="C536" s="1886" t="str">
        <f>IF(BUDGET!AP534=0,"",BUDGET!AP534)</f>
        <v/>
      </c>
    </row>
    <row r="537" spans="3:3" x14ac:dyDescent="0.35">
      <c r="C537" s="1886" t="str">
        <f>IF(BUDGET!AP535=0,"",BUDGET!AP535)</f>
        <v/>
      </c>
    </row>
    <row r="538" spans="3:3" x14ac:dyDescent="0.35">
      <c r="C538" s="1886" t="str">
        <f>IF(BUDGET!AP536=0,"",BUDGET!AP536)</f>
        <v/>
      </c>
    </row>
    <row r="539" spans="3:3" x14ac:dyDescent="0.35">
      <c r="C539" s="1886" t="str">
        <f>IF(BUDGET!AP537=0,"",BUDGET!AP537)</f>
        <v/>
      </c>
    </row>
    <row r="540" spans="3:3" x14ac:dyDescent="0.35">
      <c r="C540" s="1886" t="str">
        <f>IF(BUDGET!AP538=0,"",BUDGET!AP538)</f>
        <v/>
      </c>
    </row>
    <row r="541" spans="3:3" x14ac:dyDescent="0.35">
      <c r="C541" s="1886" t="str">
        <f>IF(BUDGET!AP539=0,"",BUDGET!AP539)</f>
        <v/>
      </c>
    </row>
    <row r="542" spans="3:3" x14ac:dyDescent="0.35">
      <c r="C542" s="1886" t="str">
        <f>IF(BUDGET!AP540=0,"",BUDGET!AP540)</f>
        <v/>
      </c>
    </row>
    <row r="543" spans="3:3" x14ac:dyDescent="0.35">
      <c r="C543" s="1886" t="str">
        <f>IF(BUDGET!AP541=0,"",BUDGET!AP541)</f>
        <v/>
      </c>
    </row>
    <row r="544" spans="3:3" x14ac:dyDescent="0.35">
      <c r="C544" s="1886" t="str">
        <f>IF(BUDGET!AP542=0,"",BUDGET!AP542)</f>
        <v/>
      </c>
    </row>
    <row r="545" spans="3:3" x14ac:dyDescent="0.35">
      <c r="C545" s="1886" t="str">
        <f>IF(BUDGET!AP543=0,"",BUDGET!AP543)</f>
        <v/>
      </c>
    </row>
    <row r="546" spans="3:3" x14ac:dyDescent="0.35">
      <c r="C546" s="1886" t="str">
        <f>IF(BUDGET!AP544=0,"",BUDGET!AP544)</f>
        <v/>
      </c>
    </row>
    <row r="547" spans="3:3" x14ac:dyDescent="0.35">
      <c r="C547" s="1886" t="str">
        <f>IF(BUDGET!AP545=0,"",BUDGET!AP545)</f>
        <v/>
      </c>
    </row>
    <row r="548" spans="3:3" x14ac:dyDescent="0.35">
      <c r="C548" s="1886" t="str">
        <f>IF(BUDGET!AP546=0,"",BUDGET!AP546)</f>
        <v/>
      </c>
    </row>
    <row r="549" spans="3:3" x14ac:dyDescent="0.35">
      <c r="C549" s="1886" t="str">
        <f>IF(BUDGET!AP547=0,"",BUDGET!AP547)</f>
        <v/>
      </c>
    </row>
    <row r="550" spans="3:3" x14ac:dyDescent="0.35">
      <c r="C550" s="1886" t="str">
        <f>IF(BUDGET!AP548=0,"",BUDGET!AP548)</f>
        <v/>
      </c>
    </row>
    <row r="551" spans="3:3" x14ac:dyDescent="0.35">
      <c r="C551" s="1886" t="str">
        <f>IF(BUDGET!AP549=0,"",BUDGET!AP549)</f>
        <v/>
      </c>
    </row>
    <row r="552" spans="3:3" x14ac:dyDescent="0.35">
      <c r="C552" s="1886" t="str">
        <f>IF(BUDGET!AP550=0,"",BUDGET!AP550)</f>
        <v/>
      </c>
    </row>
    <row r="553" spans="3:3" x14ac:dyDescent="0.35">
      <c r="C553" s="1886" t="str">
        <f>IF(BUDGET!AP551=0,"",BUDGET!AP551)</f>
        <v/>
      </c>
    </row>
    <row r="554" spans="3:3" x14ac:dyDescent="0.35">
      <c r="C554" s="1886" t="str">
        <f>IF(BUDGET!AP552=0,"",BUDGET!AP552)</f>
        <v/>
      </c>
    </row>
    <row r="555" spans="3:3" x14ac:dyDescent="0.35">
      <c r="C555" s="1886" t="str">
        <f>IF(BUDGET!AP553=0,"",BUDGET!AP553)</f>
        <v/>
      </c>
    </row>
    <row r="556" spans="3:3" x14ac:dyDescent="0.35">
      <c r="C556" s="1886" t="str">
        <f>IF(BUDGET!AP554=0,"",BUDGET!AP554)</f>
        <v/>
      </c>
    </row>
    <row r="557" spans="3:3" x14ac:dyDescent="0.35">
      <c r="C557" s="1886" t="str">
        <f>IF(BUDGET!AP555=0,"",BUDGET!AP555)</f>
        <v/>
      </c>
    </row>
    <row r="558" spans="3:3" x14ac:dyDescent="0.35">
      <c r="C558" s="1886" t="str">
        <f>IF(BUDGET!AP556=0,"",BUDGET!AP556)</f>
        <v/>
      </c>
    </row>
    <row r="559" spans="3:3" x14ac:dyDescent="0.35">
      <c r="C559" s="1886" t="str">
        <f>IF(BUDGET!AP557=0,"",BUDGET!AP557)</f>
        <v/>
      </c>
    </row>
    <row r="560" spans="3:3" x14ac:dyDescent="0.35">
      <c r="C560" s="1886" t="str">
        <f>IF(BUDGET!AP558=0,"",BUDGET!AP558)</f>
        <v/>
      </c>
    </row>
    <row r="561" spans="3:3" x14ac:dyDescent="0.35">
      <c r="C561" s="1886" t="str">
        <f>IF(BUDGET!AP559=0,"",BUDGET!AP559)</f>
        <v/>
      </c>
    </row>
    <row r="562" spans="3:3" x14ac:dyDescent="0.35">
      <c r="C562" s="1886" t="str">
        <f>IF(BUDGET!AP560=0,"",BUDGET!AP560)</f>
        <v/>
      </c>
    </row>
    <row r="563" spans="3:3" x14ac:dyDescent="0.35">
      <c r="C563" s="1886" t="str">
        <f>IF(BUDGET!AP561=0,"",BUDGET!AP561)</f>
        <v/>
      </c>
    </row>
    <row r="564" spans="3:3" x14ac:dyDescent="0.35">
      <c r="C564" s="1886" t="str">
        <f>IF(BUDGET!AP562=0,"",BUDGET!AP562)</f>
        <v/>
      </c>
    </row>
    <row r="565" spans="3:3" x14ac:dyDescent="0.35">
      <c r="C565" s="1886" t="str">
        <f>IF(BUDGET!AP563=0,"",BUDGET!AP563)</f>
        <v/>
      </c>
    </row>
    <row r="566" spans="3:3" x14ac:dyDescent="0.35">
      <c r="C566" s="1886" t="str">
        <f>IF(BUDGET!AP564=0,"",BUDGET!AP564)</f>
        <v/>
      </c>
    </row>
    <row r="567" spans="3:3" x14ac:dyDescent="0.35">
      <c r="C567" s="1886" t="str">
        <f>IF(BUDGET!AP565=0,"",BUDGET!AP565)</f>
        <v/>
      </c>
    </row>
  </sheetData>
  <sheetProtection selectLockedCells="1"/>
  <protectedRanges>
    <protectedRange sqref="D1:I1048576" name="Range1"/>
  </protectedRanges>
  <autoFilter ref="B10:J435" xr:uid="{00000000-0009-0000-0000-00000E000000}"/>
  <pageMargins left="0.7" right="0.7" top="0.75" bottom="0.75" header="0.3" footer="0.3"/>
  <pageSetup paperSize="9" scale="67" fitToHeight="0" orientation="portrait" horizontalDpi="4294967293" r:id="rId1"/>
  <headerFooter>
    <oddFooter>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R2103"/>
  <sheetViews>
    <sheetView workbookViewId="0">
      <selection activeCell="O56" sqref="O56"/>
    </sheetView>
  </sheetViews>
  <sheetFormatPr defaultRowHeight="12.75" x14ac:dyDescent="0.35"/>
  <cols>
    <col min="2" max="2" width="10" style="1901" customWidth="1"/>
    <col min="3" max="3" width="47.86328125" style="1901" customWidth="1"/>
    <col min="4" max="4" width="10.33203125" style="1917" customWidth="1"/>
    <col min="5" max="5" width="10.1328125" style="1913" customWidth="1"/>
    <col min="6" max="6" width="9.6640625" style="1913" customWidth="1"/>
    <col min="7" max="7" width="9.53125" style="1913" customWidth="1"/>
    <col min="8" max="8" width="14.86328125" style="1913" customWidth="1"/>
    <col min="9" max="9" width="0" style="127" hidden="1" customWidth="1"/>
    <col min="10" max="10" width="2.6640625" style="127" hidden="1" customWidth="1"/>
    <col min="11" max="11" width="21.53125" style="108" customWidth="1"/>
    <col min="12" max="12" width="11.86328125" style="86" customWidth="1"/>
    <col min="13" max="14" width="11.86328125" customWidth="1"/>
    <col min="15" max="15" width="13.46484375" customWidth="1"/>
  </cols>
  <sheetData>
    <row r="1" spans="2:18" x14ac:dyDescent="0.35">
      <c r="D1" s="514"/>
      <c r="E1" s="487"/>
      <c r="F1" s="487"/>
      <c r="G1" s="487"/>
      <c r="H1" s="487"/>
      <c r="I1" s="487"/>
      <c r="J1" s="488"/>
      <c r="K1" s="493"/>
      <c r="L1" s="494"/>
    </row>
    <row r="2" spans="2:18" x14ac:dyDescent="0.35">
      <c r="B2" s="1902"/>
      <c r="C2" s="1902"/>
      <c r="D2" s="503"/>
      <c r="E2" s="491"/>
      <c r="F2" s="492"/>
      <c r="G2" s="492"/>
      <c r="H2" s="492"/>
      <c r="I2" s="492"/>
      <c r="J2" s="493"/>
      <c r="K2" s="493"/>
      <c r="L2" s="494"/>
    </row>
    <row r="3" spans="2:18" ht="13.15" thickBot="1" x14ac:dyDescent="0.4">
      <c r="D3" s="503"/>
      <c r="E3" s="491"/>
      <c r="F3" s="492"/>
      <c r="G3" s="492"/>
      <c r="H3" s="497"/>
      <c r="I3" s="497"/>
      <c r="J3" s="498"/>
      <c r="K3" s="498"/>
      <c r="L3" s="499"/>
      <c r="M3" s="499"/>
      <c r="N3" s="499"/>
    </row>
    <row r="4" spans="2:18" x14ac:dyDescent="0.35">
      <c r="B4" s="1903" t="str">
        <f>IF('PROJECTED SCH. B'!A4=0,"",'PROJECTED SCH. B'!A4)</f>
        <v/>
      </c>
      <c r="C4" s="1903" t="str">
        <f>IF('PROJECTED SCH. B'!B4=0,"",'PROJECTED SCH. B'!B4)</f>
        <v/>
      </c>
      <c r="D4" s="1903" t="str">
        <f>IF('PROJECTED SCH. B'!C4=0,"",'PROJECTED SCH. B'!C4)</f>
        <v>APPROPRIATIONS</v>
      </c>
      <c r="E4" s="1903" t="str">
        <f>IF('PROJECTED SCH. B'!D4=0,"",'PROJECTED SCH. B'!D4)</f>
        <v/>
      </c>
      <c r="F4" s="1903" t="str">
        <f>IF('PROJECTED SCH. B'!E4=0,"",'PROJECTED SCH. B'!E4)</f>
        <v/>
      </c>
      <c r="G4" s="1903" t="str">
        <f>IF('PROJECTED SCH. B'!F4=0,"",'PROJECTED SCH. B'!F4)</f>
        <v/>
      </c>
      <c r="H4" s="1903" t="str">
        <f>IF('PROJECTED SCH. B'!G4=0,"",'PROJECTED SCH. B'!G4)</f>
        <v/>
      </c>
      <c r="I4" s="83" t="str">
        <f>IF('PROJECTED SCH. B'!H4=0,"",'PROJECTED SCH. B'!H4)</f>
        <v>AUTHORIZATIONS</v>
      </c>
      <c r="J4" s="83" t="str">
        <f>IF('PROJECTED SCH. B'!I4=0,"",'PROJECTED SCH. B'!I4)</f>
        <v/>
      </c>
      <c r="K4" s="88"/>
      <c r="L4" s="1816"/>
      <c r="M4" s="1816"/>
      <c r="N4" s="1816"/>
    </row>
    <row r="5" spans="2:18" x14ac:dyDescent="0.35">
      <c r="B5" s="1904" t="str">
        <f>IF('PROJECTED SCH. B'!A5=0,"",'PROJECTED SCH. B'!A5)</f>
        <v xml:space="preserve"> </v>
      </c>
      <c r="C5" s="1904" t="str">
        <f>IF('PROJECTED SCH. B'!B5=0,"",'PROJECTED SCH. B'!B5)</f>
        <v xml:space="preserve"> </v>
      </c>
      <c r="D5" s="1904" t="str">
        <f>IF('PROJECTED SCH. B'!C5=0,"",'PROJECTED SCH. B'!C5)</f>
        <v>(a)</v>
      </c>
      <c r="E5" s="1904" t="str">
        <f>IF('PROJECTED SCH. B'!D5=0,"",'PROJECTED SCH. B'!D5)</f>
        <v>(b)</v>
      </c>
      <c r="F5" s="1904" t="str">
        <f>IF('PROJECTED SCH. B'!E5=0,"",'PROJECTED SCH. B'!E5)</f>
        <v>(c)</v>
      </c>
      <c r="G5" s="1904" t="str">
        <f>IF('PROJECTED SCH. B'!F5=0,"",'PROJECTED SCH. B'!F5)</f>
        <v>(d)</v>
      </c>
      <c r="H5" s="1904" t="str">
        <f>IF('PROJECTED SCH. B'!G5=0,"",'PROJECTED SCH. B'!G5)</f>
        <v>(e)</v>
      </c>
      <c r="I5" s="89" t="str">
        <f>IF('PROJECTED SCH. B'!H5=0,"",'PROJECTED SCH. B'!H5)</f>
        <v>MEMO ONLY</v>
      </c>
      <c r="J5" s="89" t="str">
        <f>IF('PROJECTED SCH. B'!I5=0,"",'PROJECTED SCH. B'!I5)</f>
        <v/>
      </c>
      <c r="K5" s="89"/>
      <c r="L5" s="1817"/>
      <c r="M5" s="1817"/>
      <c r="N5" s="1817"/>
    </row>
    <row r="6" spans="2:18" x14ac:dyDescent="0.35">
      <c r="B6" s="1904" t="str">
        <f>IF('PROJECTED SCH. B'!A6=0,"",'PROJECTED SCH. B'!A6)</f>
        <v xml:space="preserve">  </v>
      </c>
      <c r="C6" s="1904" t="str">
        <f>IF('PROJECTED SCH. B'!B6=0,"",'PROJECTED SCH. B'!B6)</f>
        <v xml:space="preserve">APPROPRIATIONS AND SOURCES                                                                                                </v>
      </c>
      <c r="D6" s="1904" t="str">
        <f>IF('PROJECTED SCH. B'!C6=0,"",'PROJECTED SCH. B'!C6)</f>
        <v>Total</v>
      </c>
      <c r="E6" s="1904" t="str">
        <f>IF('PROJECTED SCH. B'!D6=0,"",'PROJECTED SCH. B'!D6)</f>
        <v>From Raise &amp;</v>
      </c>
      <c r="F6" s="1904" t="str">
        <f>IF('PROJECTED SCH. B'!E6=0,"",'PROJECTED SCH. B'!E6)</f>
        <v>From</v>
      </c>
      <c r="G6" s="1904" t="str">
        <f>IF('PROJECTED SCH. B'!F6=0,"",'PROJECTED SCH. B'!F6)</f>
        <v>From Other</v>
      </c>
      <c r="H6" s="1904" t="str">
        <f>IF('PROJECTED SCH. B'!G6=0,"",'PROJECTED SCH. B'!G6)</f>
        <v xml:space="preserve">From Offset </v>
      </c>
      <c r="I6" s="89" t="str">
        <f>IF('PROJECTED SCH. B'!H6=0,"",'PROJECTED SCH. B'!H6)</f>
        <v>(f)</v>
      </c>
      <c r="J6" s="89" t="str">
        <f>IF('PROJECTED SCH. B'!I6=0,"",'PROJECTED SCH. B'!I6)</f>
        <v>(g)</v>
      </c>
      <c r="K6" s="89"/>
      <c r="L6" s="1817"/>
      <c r="M6" s="1817"/>
      <c r="N6" s="1817"/>
    </row>
    <row r="7" spans="2:18" x14ac:dyDescent="0.35">
      <c r="B7" s="1904" t="str">
        <f>IF('PROJECTED SCH. B'!A7=0,"",'PROJECTED SCH. B'!A7)</f>
        <v xml:space="preserve">  </v>
      </c>
      <c r="C7" s="1904" t="str">
        <f>IF('PROJECTED SCH. B'!B7=0,"",'PROJECTED SCH. B'!B7)</f>
        <v>OF FUNDING: PLANNING PURPOSES</v>
      </c>
      <c r="D7" s="1904" t="str">
        <f>IF('PROJECTED SCH. B'!C7=0,"",'PROJECTED SCH. B'!C7)</f>
        <v>Appropriations</v>
      </c>
      <c r="E7" s="1904" t="str">
        <f>IF('PROJECTED SCH. B'!D7=0,"",'PROJECTED SCH. B'!D7)</f>
        <v xml:space="preserve"> Appropriate</v>
      </c>
      <c r="F7" s="1904" t="str">
        <f>IF('PROJECTED SCH. B'!E7=0,"",'PROJECTED SCH. B'!E7)</f>
        <v>Free Cash</v>
      </c>
      <c r="G7" s="1904" t="str">
        <f>IF('PROJECTED SCH. B'!F7=0,"",'PROJECTED SCH. B'!F7)</f>
        <v>Available</v>
      </c>
      <c r="H7" s="1904" t="str">
        <f>IF('PROJECTED SCH. B'!G7=0,"",'PROJECTED SCH. B'!G7)</f>
        <v>Receipts See A-1 or</v>
      </c>
      <c r="I7" s="89" t="str">
        <f>IF('PROJECTED SCH. B'!H7=0,"",'PROJECTED SCH. B'!H7)</f>
        <v>Revolving</v>
      </c>
      <c r="J7" s="89" t="str">
        <f>IF('PROJECTED SCH. B'!I7=0,"",'PROJECTED SCH. B'!I7)</f>
        <v>Borrowing</v>
      </c>
      <c r="K7" s="89"/>
      <c r="L7" s="1814"/>
      <c r="M7" s="1814" t="s">
        <v>1166</v>
      </c>
      <c r="N7" s="1814"/>
    </row>
    <row r="8" spans="2:18" x14ac:dyDescent="0.35">
      <c r="B8" s="1905" t="str">
        <f>IF('PROJECTED SCH. B'!A8=0,"",'PROJECTED SCH. B'!A8)</f>
        <v>ART.</v>
      </c>
      <c r="C8" s="1905" t="str">
        <f>IF('PROJECTED SCH. B'!B8=0,"",'PROJECTED SCH. B'!B8)</f>
        <v>FIN.COM PROJECTED 2020</v>
      </c>
      <c r="D8" s="1905" t="str">
        <f>IF('PROJECTED SCH. B'!C8=0,"",'PROJECTED SCH. B'!C8)</f>
        <v>of Each</v>
      </c>
      <c r="E8" s="1905" t="str">
        <f>IF('PROJECTED SCH. B'!D8=0,"",'PROJECTED SCH. B'!D8)</f>
        <v>(Tax Levy)</v>
      </c>
      <c r="F8" s="1905" t="str">
        <f>IF('PROJECTED SCH. B'!E8=0,"",'PROJECTED SCH. B'!E8)</f>
        <v>See B-1</v>
      </c>
      <c r="G8" s="1905" t="str">
        <f>IF('PROJECTED SCH. B'!F8=0,"",'PROJECTED SCH. B'!F8)</f>
        <v>Funds</v>
      </c>
      <c r="H8" s="1905" t="str">
        <f>IF('PROJECTED SCH. B'!G8=0,"",'PROJECTED SCH. B'!G8)</f>
        <v>Enterprise Funds</v>
      </c>
      <c r="I8" s="95" t="str">
        <f>IF('PROJECTED SCH. B'!H8=0,"",'PROJECTED SCH. B'!H8)</f>
        <v>Funds</v>
      </c>
      <c r="J8" s="95" t="str">
        <f>IF('PROJECTED SCH. B'!I8=0,"",'PROJECTED SCH. B'!I8)</f>
        <v>Authorization</v>
      </c>
      <c r="K8" s="95"/>
      <c r="L8" s="1814"/>
      <c r="M8" s="1814" t="s">
        <v>1065</v>
      </c>
      <c r="N8" s="1814"/>
    </row>
    <row r="9" spans="2:18" ht="13.15" thickBot="1" x14ac:dyDescent="0.4">
      <c r="B9" s="1906" t="str">
        <f>IF('PROJECTED SCH. B'!A9=0,"",'PROJECTED SCH. B'!A9)</f>
        <v>NO.</v>
      </c>
      <c r="C9" s="1906" t="str">
        <f>IF('PROJECTED SCH. B'!B9=0,"",'PROJECTED SCH. B'!B9)</f>
        <v/>
      </c>
      <c r="D9" s="1906" t="str">
        <f>IF('PROJECTED SCH. B'!C9=0,"",'PROJECTED SCH. B'!C9)</f>
        <v>Meeting</v>
      </c>
      <c r="E9" s="1906" t="str">
        <f>IF('PROJECTED SCH. B'!D9=0,"",'PROJECTED SCH. B'!D9)</f>
        <v/>
      </c>
      <c r="F9" s="1906" t="str">
        <f>IF('PROJECTED SCH. B'!E9=0,"",'PROJECTED SCH. B'!E9)</f>
        <v/>
      </c>
      <c r="G9" s="1906" t="str">
        <f>IF('PROJECTED SCH. B'!F9=0,"",'PROJECTED SCH. B'!F9)</f>
        <v>See B-2</v>
      </c>
      <c r="H9" s="1906" t="str">
        <f>IF('PROJECTED SCH. B'!G9=0,"",'PROJECTED SCH. B'!G9)</f>
        <v>See A-2</v>
      </c>
      <c r="I9" s="97" t="str">
        <f>IF('PROJECTED SCH. B'!H9=0,"",'PROJECTED SCH. B'!H9)</f>
        <v>See A-3</v>
      </c>
      <c r="J9" s="97" t="str">
        <f>IF('PROJECTED SCH. B'!I9=0,"",'PROJECTED SCH. B'!I9)</f>
        <v/>
      </c>
      <c r="K9" s="97"/>
      <c r="L9" s="1815" t="s">
        <v>1059</v>
      </c>
      <c r="M9" s="1815" t="s">
        <v>885</v>
      </c>
      <c r="N9" s="1815" t="s">
        <v>1060</v>
      </c>
      <c r="O9" s="2591"/>
    </row>
    <row r="10" spans="2:18" ht="14.25" thickBot="1" x14ac:dyDescent="0.45">
      <c r="B10" s="1907">
        <f>IF('PROJECTED SCH. B'!A10=0,"",'PROJECTED SCH. B'!A10)</f>
        <v>2</v>
      </c>
      <c r="C10" s="1907" t="str">
        <f>IF('PROJECTED SCH. B'!B10=0,"",'PROJECTED SCH. B'!B10)</f>
        <v>Authorization to Transfer Balances</v>
      </c>
      <c r="D10" s="1907">
        <f>IF('PROJECTED SCH. B'!C10=0,"",'PROJECTED SCH. B'!C10)</f>
        <v>110476</v>
      </c>
      <c r="E10" s="1907" t="str">
        <f>IF('PROJECTED SCH. B'!D10=0,"",'PROJECTED SCH. B'!D10)</f>
        <v/>
      </c>
      <c r="F10" s="1907" t="str">
        <f>IF('PROJECTED SCH. B'!E10=0,"",'PROJECTED SCH. B'!E10)</f>
        <v/>
      </c>
      <c r="G10" s="1907">
        <f>IF('PROJECTED SCH. B'!F10=0,"",'PROJECTED SCH. B'!F10)</f>
        <v>110476</v>
      </c>
      <c r="H10" s="1907" t="str">
        <f>IF('PROJECTED SCH. B'!G10=0,"",'PROJECTED SCH. B'!G10)</f>
        <v/>
      </c>
      <c r="I10" s="1888" t="str">
        <f>IF('PROJECTED SCH. B'!H10=0,"",'PROJECTED SCH. B'!H10)</f>
        <v/>
      </c>
      <c r="J10" s="1888" t="str">
        <f>IF('PROJECTED SCH. B'!I10=0,"",'PROJECTED SCH. B'!I10)</f>
        <v/>
      </c>
      <c r="K10" s="1888" t="s">
        <v>1294</v>
      </c>
      <c r="L10" s="2453" t="s">
        <v>1300</v>
      </c>
      <c r="M10" s="1889"/>
      <c r="N10" s="1890">
        <f ca="1">IF(L10=0,"",TODAY())</f>
        <v>45412</v>
      </c>
      <c r="O10" s="2592">
        <v>45378</v>
      </c>
    </row>
    <row r="11" spans="2:18" ht="14.25" thickBot="1" x14ac:dyDescent="0.45">
      <c r="B11" s="2466">
        <f>IF('PROJECTED SCH. B'!A11=0,"",'PROJECTED SCH. B'!A11)</f>
        <v>3</v>
      </c>
      <c r="C11" s="2467" t="str">
        <f>IF('PROJECTED SCH. B'!B11=0,"",'PROJECTED SCH. B'!B11)</f>
        <v>ANNUAL OPERATING BUDGET</v>
      </c>
      <c r="D11" s="2467">
        <f>IF('PROJECTED SCH. B'!C11=0,"",'PROJECTED SCH. B'!C11)</f>
        <v>25488895</v>
      </c>
      <c r="E11" s="2467">
        <f>IF('PROJECTED SCH. B'!D11=0,"",'PROJECTED SCH. B'!D11)</f>
        <v>25488895</v>
      </c>
      <c r="F11" s="2467" t="str">
        <f>IF('PROJECTED SCH. B'!E11=0,"",'PROJECTED SCH. B'!E11)</f>
        <v/>
      </c>
      <c r="G11" s="2467" t="str">
        <f>IF('PROJECTED SCH. B'!F11=0,"",'PROJECTED SCH. B'!F11)</f>
        <v/>
      </c>
      <c r="H11" s="2467" t="str">
        <f>IF('PROJECTED SCH. B'!G11=0,"",'PROJECTED SCH. B'!G11)</f>
        <v/>
      </c>
      <c r="I11" s="1891" t="str">
        <f>IF('PROJECTED SCH. B'!H11=0,"",'PROJECTED SCH. B'!H11)</f>
        <v/>
      </c>
      <c r="J11" s="1891" t="str">
        <f>IF('PROJECTED SCH. B'!I11=0,"",'PROJECTED SCH. B'!I11)</f>
        <v/>
      </c>
      <c r="K11" s="1888" t="s">
        <v>1295</v>
      </c>
      <c r="L11" s="2453" t="s">
        <v>1304</v>
      </c>
      <c r="M11" s="1892"/>
      <c r="N11" s="1893">
        <f t="shared" ref="N11:N56" ca="1" si="0">IF(L11=0,"",TODAY())</f>
        <v>45412</v>
      </c>
      <c r="O11" s="2592">
        <v>45378</v>
      </c>
      <c r="R11">
        <f ca="1">IF(L40=0,"",TODAY())</f>
        <v>45412</v>
      </c>
    </row>
    <row r="12" spans="2:18" ht="13.9" x14ac:dyDescent="0.4">
      <c r="B12" s="2466">
        <f>IF('PROJECTED SCH. B'!A12=0,"",'PROJECTED SCH. B'!A12)</f>
        <v>4</v>
      </c>
      <c r="C12" s="2467" t="str">
        <f>IF('PROJECTED SCH. B'!B12=0,"",'PROJECTED SCH. B'!B12)</f>
        <v>WATER DEPT   ENTERPRISE OPERATING  BUDGET</v>
      </c>
      <c r="D12" s="2467">
        <f>IF('PROJECTED SCH. B'!C12=0,"",'PROJECTED SCH. B'!C12)</f>
        <v>2197897</v>
      </c>
      <c r="E12" s="2467" t="str">
        <f>IF('PROJECTED SCH. B'!D12=0,"",'PROJECTED SCH. B'!D12)</f>
        <v/>
      </c>
      <c r="F12" s="2467" t="str">
        <f>IF('PROJECTED SCH. B'!E12=0,"",'PROJECTED SCH. B'!E12)</f>
        <v/>
      </c>
      <c r="G12" s="2467" t="str">
        <f>IF('PROJECTED SCH. B'!F12=0,"",'PROJECTED SCH. B'!F12)</f>
        <v/>
      </c>
      <c r="H12" s="2467">
        <f>IF('PROJECTED SCH. B'!G12=0,"",'PROJECTED SCH. B'!G12)</f>
        <v>2197897</v>
      </c>
      <c r="I12" s="1891" t="str">
        <f>IF('PROJECTED SCH. B'!H12=0,"",'PROJECTED SCH. B'!H12)</f>
        <v/>
      </c>
      <c r="J12" s="1891" t="str">
        <f>IF('PROJECTED SCH. B'!I12=0,"",'PROJECTED SCH. B'!I12)</f>
        <v/>
      </c>
      <c r="K12" s="1891" t="s">
        <v>1294</v>
      </c>
      <c r="L12" s="2453" t="s">
        <v>1300</v>
      </c>
      <c r="M12" s="1894"/>
      <c r="N12" s="1893">
        <f t="shared" ca="1" si="0"/>
        <v>45412</v>
      </c>
      <c r="O12" s="2592">
        <v>45378</v>
      </c>
    </row>
    <row r="13" spans="2:18" ht="14.25" thickBot="1" x14ac:dyDescent="0.45">
      <c r="B13" s="2466">
        <f>IF('PROJECTED SCH. B'!A13=0,"",'PROJECTED SCH. B'!A13)</f>
        <v>5</v>
      </c>
      <c r="C13" s="2467" t="str">
        <f>IF('PROJECTED SCH. B'!B13=0,"",'PROJECTED SCH. B'!B13)</f>
        <v>ANNUAL MASCONOMET REGIONAL SCH. DIST. ASSMT</v>
      </c>
      <c r="D13" s="2467">
        <f>IF('PROJECTED SCH. B'!C13=0,"",'PROJECTED SCH. B'!C13)</f>
        <v>9760623</v>
      </c>
      <c r="E13" s="2467">
        <f>IF('PROJECTED SCH. B'!D13=0,"",'PROJECTED SCH. B'!D13)</f>
        <v>9760623</v>
      </c>
      <c r="F13" s="2467" t="str">
        <f>IF('PROJECTED SCH. B'!E13=0,"",'PROJECTED SCH. B'!E13)</f>
        <v/>
      </c>
      <c r="G13" s="2467" t="str">
        <f>IF('PROJECTED SCH. B'!F13=0,"",'PROJECTED SCH. B'!F13)</f>
        <v/>
      </c>
      <c r="H13" s="2467" t="str">
        <f>IF('PROJECTED SCH. B'!G13=0,"",'PROJECTED SCH. B'!G13)</f>
        <v/>
      </c>
      <c r="I13" s="1891" t="str">
        <f>IF('PROJECTED SCH. B'!H13=0,"",'PROJECTED SCH. B'!H13)</f>
        <v/>
      </c>
      <c r="J13" s="1891" t="str">
        <f>IF('PROJECTED SCH. B'!I13=0,"",'PROJECTED SCH. B'!I13)</f>
        <v/>
      </c>
      <c r="K13" s="1891" t="s">
        <v>1297</v>
      </c>
      <c r="L13" s="2454" t="s">
        <v>1303</v>
      </c>
      <c r="M13" s="1894"/>
      <c r="N13" s="1893">
        <f t="shared" ca="1" si="0"/>
        <v>45412</v>
      </c>
      <c r="O13" s="2592">
        <v>45378</v>
      </c>
    </row>
    <row r="14" spans="2:18" ht="13.9" x14ac:dyDescent="0.4">
      <c r="B14" s="2466">
        <f>IF('PROJECTED SCH. B'!A14=0,"",'PROJECTED SCH. B'!A14)</f>
        <v>6</v>
      </c>
      <c r="C14" s="2467" t="str">
        <f>IF('PROJECTED SCH. B'!B14=0,"",'PROJECTED SCH. B'!B14)</f>
        <v>ANNUAL ESSEX NORTH SHORE AG/Tech SCH DIST ASSM.</v>
      </c>
      <c r="D14" s="2467">
        <f>IF('PROJECTED SCH. B'!C14=0,"",'PROJECTED SCH. B'!C14)</f>
        <v>446717</v>
      </c>
      <c r="E14" s="2467">
        <f>IF('PROJECTED SCH. B'!D14=0,"",'PROJECTED SCH. B'!D14)</f>
        <v>446717</v>
      </c>
      <c r="F14" s="2467" t="str">
        <f>IF('PROJECTED SCH. B'!E14=0,"",'PROJECTED SCH. B'!E14)</f>
        <v/>
      </c>
      <c r="G14" s="2467" t="str">
        <f>IF('PROJECTED SCH. B'!F14=0,"",'PROJECTED SCH. B'!F14)</f>
        <v/>
      </c>
      <c r="H14" s="2467" t="str">
        <f>IF('PROJECTED SCH. B'!G14=0,"",'PROJECTED SCH. B'!G14)</f>
        <v/>
      </c>
      <c r="I14" s="1891" t="str">
        <f>IF('PROJECTED SCH. B'!H14=0,"",'PROJECTED SCH. B'!H14)</f>
        <v/>
      </c>
      <c r="J14" s="1891" t="str">
        <f>IF('PROJECTED SCH. B'!I14=0,"",'PROJECTED SCH. B'!I14)</f>
        <v/>
      </c>
      <c r="K14" s="1891" t="s">
        <v>1295</v>
      </c>
      <c r="L14" s="2453" t="s">
        <v>1232</v>
      </c>
      <c r="M14" s="1894"/>
      <c r="N14" s="1893">
        <f t="shared" ca="1" si="0"/>
        <v>45412</v>
      </c>
      <c r="O14" s="2592">
        <v>45378</v>
      </c>
    </row>
    <row r="15" spans="2:18" ht="13.9" x14ac:dyDescent="0.4">
      <c r="B15" s="2466">
        <f>IF('PROJECTED SCH. B'!A15=0,"",'PROJECTED SCH. B'!A15)</f>
        <v>7</v>
      </c>
      <c r="C15" s="2467" t="str">
        <f>IF('PROJECTED SCH. B'!B15=0,"",'PROJECTED SCH. B'!B15)</f>
        <v>GRANT AUTHORIZATION FOR TOWN PROJECTS</v>
      </c>
      <c r="D15" s="2467" t="str">
        <f>IF('PROJECTED SCH. B'!C15=0,"",'PROJECTED SCH. B'!C15)</f>
        <v/>
      </c>
      <c r="E15" s="2467" t="str">
        <f>IF('PROJECTED SCH. B'!D15=0,"",'PROJECTED SCH. B'!D15)</f>
        <v/>
      </c>
      <c r="F15" s="2467" t="str">
        <f>IF('PROJECTED SCH. B'!E15=0,"",'PROJECTED SCH. B'!E15)</f>
        <v/>
      </c>
      <c r="G15" s="2467" t="str">
        <f>IF('PROJECTED SCH. B'!F15=0,"",'PROJECTED SCH. B'!F15)</f>
        <v/>
      </c>
      <c r="H15" s="2467" t="str">
        <f>IF('PROJECTED SCH. B'!G15=0,"",'PROJECTED SCH. B'!G15)</f>
        <v/>
      </c>
      <c r="I15" s="1891" t="str">
        <f>IF('PROJECTED SCH. B'!H15=0,"",'PROJECTED SCH. B'!H15)</f>
        <v/>
      </c>
      <c r="J15" s="1891" t="str">
        <f>IF('PROJECTED SCH. B'!I15=0,"",'PROJECTED SCH. B'!I15)</f>
        <v/>
      </c>
      <c r="K15" s="1891" t="s">
        <v>1244</v>
      </c>
      <c r="L15" s="2454" t="s">
        <v>1232</v>
      </c>
      <c r="M15" s="1894"/>
      <c r="N15" s="1893">
        <f t="shared" ca="1" si="0"/>
        <v>45412</v>
      </c>
      <c r="O15" s="2592">
        <v>45369</v>
      </c>
    </row>
    <row r="16" spans="2:18" ht="13.9" x14ac:dyDescent="0.4">
      <c r="B16" s="2466">
        <f>IF('PROJECTED SCH. B'!A16=0,"",'PROJECTED SCH. B'!A16)</f>
        <v>8</v>
      </c>
      <c r="C16" s="2467" t="str">
        <f>IF('PROJECTED SCH. B'!B16=0,"",'PROJECTED SCH. B'!B16)</f>
        <v>Mass DOT Contracts - Authorization to spend for Chapter 90 Projects</v>
      </c>
      <c r="D16" s="2467" t="str">
        <f>IF('PROJECTED SCH. B'!C16=0,"",'PROJECTED SCH. B'!C16)</f>
        <v/>
      </c>
      <c r="E16" s="2467" t="str">
        <f>IF('PROJECTED SCH. B'!D16=0,"",'PROJECTED SCH. B'!D16)</f>
        <v/>
      </c>
      <c r="F16" s="2467" t="str">
        <f>IF('PROJECTED SCH. B'!E16=0,"",'PROJECTED SCH. B'!E16)</f>
        <v/>
      </c>
      <c r="G16" s="2467" t="str">
        <f>IF('PROJECTED SCH. B'!F16=0,"",'PROJECTED SCH. B'!F16)</f>
        <v/>
      </c>
      <c r="H16" s="2467" t="str">
        <f>IF('PROJECTED SCH. B'!G16=0,"",'PROJECTED SCH. B'!G16)</f>
        <v/>
      </c>
      <c r="I16" s="1891" t="str">
        <f>IF('PROJECTED SCH. B'!H16=0,"",'PROJECTED SCH. B'!H16)</f>
        <v/>
      </c>
      <c r="J16" s="1891" t="str">
        <f>IF('PROJECTED SCH. B'!I16=0,"",'PROJECTED SCH. B'!I16)</f>
        <v/>
      </c>
      <c r="K16" s="1891" t="s">
        <v>1245</v>
      </c>
      <c r="L16" s="2454" t="s">
        <v>1232</v>
      </c>
      <c r="M16" s="1894"/>
      <c r="N16" s="1893">
        <f t="shared" ca="1" si="0"/>
        <v>45412</v>
      </c>
      <c r="O16" s="2592">
        <v>45369</v>
      </c>
    </row>
    <row r="17" spans="2:15" ht="13.9" x14ac:dyDescent="0.4">
      <c r="B17" s="2466">
        <f>IF('PROJECTED SCH. B'!A17=0,"",'PROJECTED SCH. B'!A17)</f>
        <v>9</v>
      </c>
      <c r="C17" s="2467" t="str">
        <f>IF('PROJECTED SCH. B'!B17=0,"",'PROJECTED SCH. B'!B17)</f>
        <v>Tri-town Council</v>
      </c>
      <c r="D17" s="2467">
        <f>IF('PROJECTED SCH. B'!C17=0,"",'PROJECTED SCH. B'!C17)</f>
        <v>21525</v>
      </c>
      <c r="E17" s="2467" t="str">
        <f>IF('PROJECTED SCH. B'!D17=0,"",'PROJECTED SCH. B'!D17)</f>
        <v/>
      </c>
      <c r="F17" s="2467">
        <f>IF('PROJECTED SCH. B'!E17=0,"",'PROJECTED SCH. B'!E17)</f>
        <v>21525</v>
      </c>
      <c r="G17" s="2467" t="str">
        <f>IF('PROJECTED SCH. B'!F17=0,"",'PROJECTED SCH. B'!F17)</f>
        <v/>
      </c>
      <c r="H17" s="2467" t="str">
        <f>IF('PROJECTED SCH. B'!G17=0,"",'PROJECTED SCH. B'!G17)</f>
        <v/>
      </c>
      <c r="I17" s="1891" t="str">
        <f>IF('PROJECTED SCH. B'!H17=0,"",'PROJECTED SCH. B'!H17)</f>
        <v/>
      </c>
      <c r="J17" s="1891" t="str">
        <f>IF('PROJECTED SCH. B'!I17=0,"",'PROJECTED SCH. B'!I17)</f>
        <v/>
      </c>
      <c r="K17" s="1891" t="s">
        <v>1246</v>
      </c>
      <c r="L17" s="2454" t="s">
        <v>1232</v>
      </c>
      <c r="M17" s="1894"/>
      <c r="N17" s="1893">
        <f t="shared" ca="1" si="0"/>
        <v>45412</v>
      </c>
      <c r="O17" s="2592">
        <v>45369</v>
      </c>
    </row>
    <row r="18" spans="2:15" ht="13.9" x14ac:dyDescent="0.4">
      <c r="B18" s="2466">
        <f>IF('PROJECTED SCH. B'!A18=0,"",'PROJECTED SCH. B'!A18)</f>
        <v>10</v>
      </c>
      <c r="C18" s="2467" t="str">
        <f>IF('PROJECTED SCH. B'!B18=0,"",'PROJECTED SCH. B'!B18)</f>
        <v>Senior Care</v>
      </c>
      <c r="D18" s="2467">
        <f>IF('PROJECTED SCH. B'!C18=0,"",'PROJECTED SCH. B'!C18)</f>
        <v>1500</v>
      </c>
      <c r="E18" s="2467" t="str">
        <f>IF('PROJECTED SCH. B'!D18=0,"",'PROJECTED SCH. B'!D18)</f>
        <v/>
      </c>
      <c r="F18" s="2467">
        <f>IF('PROJECTED SCH. B'!E18=0,"",'PROJECTED SCH. B'!E18)</f>
        <v>1500</v>
      </c>
      <c r="G18" s="2467" t="str">
        <f>IF('PROJECTED SCH. B'!F18=0,"",'PROJECTED SCH. B'!F18)</f>
        <v/>
      </c>
      <c r="H18" s="2467" t="str">
        <f>IF('PROJECTED SCH. B'!G18=0,"",'PROJECTED SCH. B'!G18)</f>
        <v/>
      </c>
      <c r="I18" s="1891" t="str">
        <f>IF('PROJECTED SCH. B'!H18=0,"",'PROJECTED SCH. B'!H18)</f>
        <v/>
      </c>
      <c r="J18" s="1891" t="str">
        <f>IF('PROJECTED SCH. B'!I18=0,"",'PROJECTED SCH. B'!I18)</f>
        <v/>
      </c>
      <c r="K18" s="1891" t="s">
        <v>1247</v>
      </c>
      <c r="L18" s="2454" t="s">
        <v>1232</v>
      </c>
      <c r="M18" s="1894"/>
      <c r="N18" s="1893">
        <f t="shared" ca="1" si="0"/>
        <v>45412</v>
      </c>
      <c r="O18" s="2592">
        <v>45369</v>
      </c>
    </row>
    <row r="19" spans="2:15" ht="13.9" x14ac:dyDescent="0.4">
      <c r="B19" s="2466">
        <f>IF('PROJECTED SCH. B'!A19=0,"",'PROJECTED SCH. B'!A19)</f>
        <v>11</v>
      </c>
      <c r="C19" s="2467" t="str">
        <f>IF('PROJECTED SCH. B'!B19=0,"",'PROJECTED SCH. B'!B19)</f>
        <v>Assessor Software Upgrade</v>
      </c>
      <c r="D19" s="2467">
        <f>IF('PROJECTED SCH. B'!C19=0,"",'PROJECTED SCH. B'!C19)</f>
        <v>5000</v>
      </c>
      <c r="E19" s="2467" t="str">
        <f>IF('PROJECTED SCH. B'!D19=0,"",'PROJECTED SCH. B'!D19)</f>
        <v/>
      </c>
      <c r="F19" s="2467">
        <f>IF('PROJECTED SCH. B'!E19=0,"",'PROJECTED SCH. B'!E19)</f>
        <v>5000</v>
      </c>
      <c r="G19" s="2467" t="str">
        <f>IF('PROJECTED SCH. B'!F19=0,"",'PROJECTED SCH. B'!F19)</f>
        <v/>
      </c>
      <c r="H19" s="2467" t="str">
        <f>IF('PROJECTED SCH. B'!G19=0,"",'PROJECTED SCH. B'!G19)</f>
        <v/>
      </c>
      <c r="I19" s="1891" t="str">
        <f>IF('PROJECTED SCH. B'!H19=0,"",'PROJECTED SCH. B'!H19)</f>
        <v/>
      </c>
      <c r="J19" s="1891" t="str">
        <f>IF('PROJECTED SCH. B'!I19=0,"",'PROJECTED SCH. B'!I19)</f>
        <v/>
      </c>
      <c r="K19" s="1891" t="s">
        <v>1252</v>
      </c>
      <c r="L19" s="2454" t="s">
        <v>1232</v>
      </c>
      <c r="M19" s="1894"/>
      <c r="N19" s="1893">
        <f t="shared" ca="1" si="0"/>
        <v>45412</v>
      </c>
      <c r="O19" s="2592">
        <v>45369</v>
      </c>
    </row>
    <row r="20" spans="2:15" ht="13.9" x14ac:dyDescent="0.4">
      <c r="B20" s="2466">
        <f>IF('PROJECTED SCH. B'!A20=0,"",'PROJECTED SCH. B'!A20)</f>
        <v>12</v>
      </c>
      <c r="C20" s="2467" t="str">
        <f>IF('PROJECTED SCH. B'!B20=0,"",'PROJECTED SCH. B'!B20)</f>
        <v>GASB</v>
      </c>
      <c r="D20" s="2467">
        <f>IF('PROJECTED SCH. B'!C20=0,"",'PROJECTED SCH. B'!C20)</f>
        <v>8500</v>
      </c>
      <c r="E20" s="2467" t="str">
        <f>IF('PROJECTED SCH. B'!D20=0,"",'PROJECTED SCH. B'!D20)</f>
        <v/>
      </c>
      <c r="F20" s="2467">
        <f>IF('PROJECTED SCH. B'!E20=0,"",'PROJECTED SCH. B'!E20)</f>
        <v>8500</v>
      </c>
      <c r="G20" s="2467" t="str">
        <f>IF('PROJECTED SCH. B'!F20=0,"",'PROJECTED SCH. B'!F20)</f>
        <v/>
      </c>
      <c r="H20" s="2467" t="str">
        <f>IF('PROJECTED SCH. B'!G20=0,"",'PROJECTED SCH. B'!G20)</f>
        <v/>
      </c>
      <c r="I20" s="1891" t="str">
        <f>IF('PROJECTED SCH. B'!H21=0,"",'PROJECTED SCH. B'!H21)</f>
        <v/>
      </c>
      <c r="J20" s="1891" t="str">
        <f>IF('PROJECTED SCH. B'!I21=0,"",'PROJECTED SCH. B'!I21)</f>
        <v/>
      </c>
      <c r="K20" s="1891" t="s">
        <v>1252</v>
      </c>
      <c r="L20" s="2454" t="s">
        <v>1232</v>
      </c>
      <c r="M20" s="1894"/>
      <c r="N20" s="1893">
        <f t="shared" ca="1" si="0"/>
        <v>45412</v>
      </c>
      <c r="O20" s="2592">
        <v>45369</v>
      </c>
    </row>
    <row r="21" spans="2:15" ht="13.9" x14ac:dyDescent="0.4">
      <c r="B21" s="2466">
        <f>IF('PROJECTED SCH. B'!A21=0,"",'PROJECTED SCH. B'!A21)</f>
        <v>13</v>
      </c>
      <c r="C21" s="2467" t="str">
        <f>IF('PROJECTED SCH. B'!B21=0,"",'PROJECTED SCH. B'!B21)</f>
        <v>Facilities repair</v>
      </c>
      <c r="D21" s="2467">
        <f>IF('PROJECTED SCH. B'!C21=0,"",'PROJECTED SCH. B'!C21)</f>
        <v>30000</v>
      </c>
      <c r="E21" s="2467" t="str">
        <f>IF('PROJECTED SCH. B'!D21=0,"",'PROJECTED SCH. B'!D21)</f>
        <v/>
      </c>
      <c r="F21" s="2467">
        <f>IF('PROJECTED SCH. B'!E21=0,"",'PROJECTED SCH. B'!E21)</f>
        <v>30000</v>
      </c>
      <c r="G21" s="2467" t="str">
        <f>IF('PROJECTED SCH. B'!F21=0,"",'PROJECTED SCH. B'!F21)</f>
        <v/>
      </c>
      <c r="H21" s="2467" t="str">
        <f>IF('PROJECTED SCH. B'!G21=0,"",'PROJECTED SCH. B'!G21)</f>
        <v/>
      </c>
      <c r="I21" s="1891"/>
      <c r="J21" s="1891"/>
      <c r="K21" s="1891" t="s">
        <v>1249</v>
      </c>
      <c r="L21" s="2454" t="s">
        <v>1232</v>
      </c>
      <c r="M21" s="1894"/>
      <c r="N21" s="1893">
        <f t="shared" ca="1" si="0"/>
        <v>45412</v>
      </c>
      <c r="O21" s="2592">
        <v>45369</v>
      </c>
    </row>
    <row r="22" spans="2:15" ht="13.9" x14ac:dyDescent="0.4">
      <c r="B22" s="2466">
        <f>IF('PROJECTED SCH. B'!A22=0,"",'PROJECTED SCH. B'!A22)</f>
        <v>14</v>
      </c>
      <c r="C22" s="2467" t="str">
        <f>IF('PROJECTED SCH. B'!B22=0,"",'PROJECTED SCH. B'!B22)</f>
        <v>Police Cruisers</v>
      </c>
      <c r="D22" s="2467">
        <f>IF('PROJECTED SCH. B'!C22=0,"",'PROJECTED SCH. B'!C22)</f>
        <v>180000</v>
      </c>
      <c r="E22" s="2467" t="str">
        <f>IF('PROJECTED SCH. B'!D22=0,"",'PROJECTED SCH. B'!D22)</f>
        <v/>
      </c>
      <c r="F22" s="2467">
        <f>IF('PROJECTED SCH. B'!E22=0,"",'PROJECTED SCH. B'!E22)</f>
        <v>180000</v>
      </c>
      <c r="G22" s="2467" t="str">
        <f>IF('PROJECTED SCH. B'!F22=0,"",'PROJECTED SCH. B'!F22)</f>
        <v/>
      </c>
      <c r="H22" s="2467" t="str">
        <f>IF('PROJECTED SCH. B'!G22=0,"",'PROJECTED SCH. B'!G22)</f>
        <v/>
      </c>
      <c r="I22" s="1891" t="str">
        <f>IF('PROJECTED SCH. B'!H23=0,"",'PROJECTED SCH. B'!H23)</f>
        <v/>
      </c>
      <c r="J22" s="1891" t="str">
        <f>IF('PROJECTED SCH. B'!I23=0,"",'PROJECTED SCH. B'!I23)</f>
        <v/>
      </c>
      <c r="K22" s="2521" t="s">
        <v>1254</v>
      </c>
      <c r="L22" s="2521" t="s">
        <v>1285</v>
      </c>
      <c r="M22" s="1894"/>
      <c r="N22" s="1893">
        <f t="shared" ca="1" si="0"/>
        <v>45412</v>
      </c>
      <c r="O22" s="2592">
        <v>45378</v>
      </c>
    </row>
    <row r="23" spans="2:15" ht="13.9" x14ac:dyDescent="0.4">
      <c r="B23" s="2466">
        <f>IF('PROJECTED SCH. B'!A23=0,"",'PROJECTED SCH. B'!A23)</f>
        <v>15</v>
      </c>
      <c r="C23" s="2467" t="str">
        <f>IF('PROJECTED SCH. B'!B23=0,"",'PROJECTED SCH. B'!B23)</f>
        <v>Police Charging Station</v>
      </c>
      <c r="D23" s="2467">
        <f>IF('PROJECTED SCH. B'!C23=0,"",'PROJECTED SCH. B'!C23)</f>
        <v>13000</v>
      </c>
      <c r="E23" s="2467" t="str">
        <f>IF('PROJECTED SCH. B'!D23=0,"",'PROJECTED SCH. B'!D23)</f>
        <v/>
      </c>
      <c r="F23" s="2467">
        <f>IF('PROJECTED SCH. B'!E23=0,"",'PROJECTED SCH. B'!E23)</f>
        <v>13000</v>
      </c>
      <c r="G23" s="2467" t="str">
        <f>IF('PROJECTED SCH. B'!F23=0,"",'PROJECTED SCH. B'!F23)</f>
        <v/>
      </c>
      <c r="H23" s="2467" t="str">
        <f>IF('PROJECTED SCH. B'!G23=0,"",'PROJECTED SCH. B'!G23)</f>
        <v/>
      </c>
      <c r="I23" s="1891" t="str">
        <f>IF('PROJECTED SCH. B'!H24=0,"",'PROJECTED SCH. B'!H24)</f>
        <v/>
      </c>
      <c r="J23" s="1891" t="str">
        <f>IF('PROJECTED SCH. B'!I24=0,"",'PROJECTED SCH. B'!I24)</f>
        <v/>
      </c>
      <c r="K23" s="1891" t="s">
        <v>1253</v>
      </c>
      <c r="L23" s="2454" t="s">
        <v>1232</v>
      </c>
      <c r="M23" s="1894"/>
      <c r="N23" s="1893">
        <f t="shared" ca="1" si="0"/>
        <v>45412</v>
      </c>
      <c r="O23" s="2592">
        <v>45369</v>
      </c>
    </row>
    <row r="24" spans="2:15" ht="13.9" x14ac:dyDescent="0.4">
      <c r="B24" s="2466">
        <f>IF('PROJECTED SCH. B'!A24=0,"",'PROJECTED SCH. B'!A24)</f>
        <v>16</v>
      </c>
      <c r="C24" s="2467" t="str">
        <f>IF('PROJECTED SCH. B'!B24=0,"",'PROJECTED SCH. B'!B24)</f>
        <v>Police Radio Repeater</v>
      </c>
      <c r="D24" s="2467">
        <f>IF('PROJECTED SCH. B'!C24=0,"",'PROJECTED SCH. B'!C24)</f>
        <v>25000</v>
      </c>
      <c r="E24" s="2467" t="str">
        <f>IF('PROJECTED SCH. B'!D24=0,"",'PROJECTED SCH. B'!D24)</f>
        <v/>
      </c>
      <c r="F24" s="2467">
        <f>IF('PROJECTED SCH. B'!E24=0,"",'PROJECTED SCH. B'!E24)</f>
        <v>25000</v>
      </c>
      <c r="G24" s="2467" t="str">
        <f>IF('PROJECTED SCH. B'!F24=0,"",'PROJECTED SCH. B'!F24)</f>
        <v/>
      </c>
      <c r="H24" s="2467" t="str">
        <f>IF('PROJECTED SCH. B'!G24=0,"",'PROJECTED SCH. B'!G24)</f>
        <v/>
      </c>
      <c r="I24" s="1891" t="str">
        <f>IF('PROJECTED SCH. B'!H25=0,"",'PROJECTED SCH. B'!H25)</f>
        <v/>
      </c>
      <c r="J24" s="1891" t="str">
        <f>IF('PROJECTED SCH. B'!I25=0,"",'PROJECTED SCH. B'!I25)</f>
        <v/>
      </c>
      <c r="K24" s="1891" t="s">
        <v>1248</v>
      </c>
      <c r="L24" s="2454" t="s">
        <v>1232</v>
      </c>
      <c r="M24" s="1894"/>
      <c r="N24" s="1893">
        <f t="shared" ca="1" si="0"/>
        <v>45412</v>
      </c>
      <c r="O24" s="2592">
        <v>45369</v>
      </c>
    </row>
    <row r="25" spans="2:15" ht="13.9" x14ac:dyDescent="0.4">
      <c r="B25" s="2466">
        <f>IF('PROJECTED SCH. B'!A25=0,"",'PROJECTED SCH. B'!A25)</f>
        <v>17</v>
      </c>
      <c r="C25" s="2467" t="str">
        <f>IF('PROJECTED SCH. B'!B25=0,"",'PROJECTED SCH. B'!B25)</f>
        <v>Police Handguns</v>
      </c>
      <c r="D25" s="2467">
        <f>IF('PROJECTED SCH. B'!C25=0,"",'PROJECTED SCH. B'!C25)</f>
        <v>18000</v>
      </c>
      <c r="E25" s="2467" t="str">
        <f>IF('PROJECTED SCH. B'!D25=0,"",'PROJECTED SCH. B'!D25)</f>
        <v/>
      </c>
      <c r="F25" s="2467">
        <f>IF('PROJECTED SCH. B'!E25=0,"",'PROJECTED SCH. B'!E25)</f>
        <v>18000</v>
      </c>
      <c r="G25" s="2467" t="str">
        <f>IF('PROJECTED SCH. B'!F25=0,"",'PROJECTED SCH. B'!F25)</f>
        <v/>
      </c>
      <c r="H25" s="2467" t="str">
        <f>IF('PROJECTED SCH. B'!G25=0,"",'PROJECTED SCH. B'!G25)</f>
        <v/>
      </c>
      <c r="I25" s="1891" t="str">
        <f>IF('PROJECTED SCH. B'!H26=0,"",'PROJECTED SCH. B'!H26)</f>
        <v/>
      </c>
      <c r="J25" s="1891" t="str">
        <f>IF('PROJECTED SCH. B'!I26=0,"",'PROJECTED SCH. B'!I26)</f>
        <v/>
      </c>
      <c r="K25" s="1891" t="s">
        <v>1253</v>
      </c>
      <c r="L25" s="2454" t="s">
        <v>1232</v>
      </c>
      <c r="M25" s="1894"/>
      <c r="N25" s="1893">
        <f t="shared" ca="1" si="0"/>
        <v>45412</v>
      </c>
      <c r="O25" s="2592">
        <v>45369</v>
      </c>
    </row>
    <row r="26" spans="2:15" ht="13.9" x14ac:dyDescent="0.4">
      <c r="B26" s="2466">
        <f>IF('PROJECTED SCH. B'!A26=0,"",'PROJECTED SCH. B'!A26)</f>
        <v>18</v>
      </c>
      <c r="C26" s="2467" t="str">
        <f>IF('PROJECTED SCH. B'!B26=0,"",'PROJECTED SCH. B'!B26)</f>
        <v>Police AED</v>
      </c>
      <c r="D26" s="2467">
        <f>IF('PROJECTED SCH. B'!C26=0,"",'PROJECTED SCH. B'!C26)</f>
        <v>15000</v>
      </c>
      <c r="E26" s="2467" t="str">
        <f>IF('PROJECTED SCH. B'!D26=0,"",'PROJECTED SCH. B'!D26)</f>
        <v/>
      </c>
      <c r="F26" s="2467">
        <f>IF('PROJECTED SCH. B'!E26=0,"",'PROJECTED SCH. B'!E26)</f>
        <v>15000</v>
      </c>
      <c r="G26" s="2467" t="str">
        <f>IF('PROJECTED SCH. B'!F26=0,"",'PROJECTED SCH. B'!F26)</f>
        <v/>
      </c>
      <c r="H26" s="2467" t="str">
        <f>IF('PROJECTED SCH. B'!G26=0,"",'PROJECTED SCH. B'!G26)</f>
        <v/>
      </c>
      <c r="I26" s="1891" t="str">
        <f>IF('PROJECTED SCH. B'!H27=0,"",'PROJECTED SCH. B'!H27)</f>
        <v/>
      </c>
      <c r="J26" s="1891" t="str">
        <f>IF('PROJECTED SCH. B'!I27=0,"",'PROJECTED SCH. B'!I27)</f>
        <v/>
      </c>
      <c r="K26" s="1891" t="s">
        <v>1249</v>
      </c>
      <c r="L26" s="2454" t="s">
        <v>1232</v>
      </c>
      <c r="M26" s="1895"/>
      <c r="N26" s="1893">
        <f t="shared" ca="1" si="0"/>
        <v>45412</v>
      </c>
      <c r="O26" s="2592">
        <v>45378</v>
      </c>
    </row>
    <row r="27" spans="2:15" ht="13.9" x14ac:dyDescent="0.4">
      <c r="B27" s="2466">
        <f>IF('PROJECTED SCH. B'!A27=0,"",'PROJECTED SCH. B'!A27)</f>
        <v>19</v>
      </c>
      <c r="C27" s="2467" t="str">
        <f>IF('PROJECTED SCH. B'!B27=0,"",'PROJECTED SCH. B'!B27)</f>
        <v>Fire Truck</v>
      </c>
      <c r="D27" s="2467">
        <f>IF('PROJECTED SCH. B'!C27=0,"",'PROJECTED SCH. B'!C27)</f>
        <v>1015000</v>
      </c>
      <c r="E27" s="2467" t="str">
        <f>IF('PROJECTED SCH. B'!D27=0,"",'PROJECTED SCH. B'!D27)</f>
        <v/>
      </c>
      <c r="F27" s="2467">
        <f>IF('PROJECTED SCH. B'!E27=0,"",'PROJECTED SCH. B'!E27)</f>
        <v>350000</v>
      </c>
      <c r="G27" s="2467">
        <f>IF('PROJECTED SCH. B'!F27=0,"",'PROJECTED SCH. B'!F27)</f>
        <v>665000</v>
      </c>
      <c r="H27" s="2467" t="str">
        <f>IF('PROJECTED SCH. B'!G27=0,"",'PROJECTED SCH. B'!G27)</f>
        <v/>
      </c>
      <c r="I27" s="1891" t="str">
        <f>IF('PROJECTED SCH. B'!H28=0,"",'PROJECTED SCH. B'!H28)</f>
        <v/>
      </c>
      <c r="J27" s="1891" t="str">
        <f>IF('PROJECTED SCH. B'!I28=0,"",'PROJECTED SCH. B'!I28)</f>
        <v/>
      </c>
      <c r="K27" s="1891" t="s">
        <v>1296</v>
      </c>
      <c r="L27" s="2454" t="s">
        <v>1300</v>
      </c>
      <c r="M27" s="1896"/>
      <c r="N27" s="1893">
        <f t="shared" ca="1" si="0"/>
        <v>45412</v>
      </c>
      <c r="O27" s="2592">
        <v>45378</v>
      </c>
    </row>
    <row r="28" spans="2:15" ht="13.9" x14ac:dyDescent="0.4">
      <c r="B28" s="2580">
        <f>IF('PROJECTED SCH. B'!A28=0,"",'PROJECTED SCH. B'!A28)</f>
        <v>20</v>
      </c>
      <c r="C28" s="2581" t="str">
        <f>IF('PROJECTED SCH. B'!B28=0,"",'PROJECTED SCH. B'!B28)</f>
        <v>Fire Storage Building</v>
      </c>
      <c r="D28" s="2581" t="str">
        <f>IF('PROJECTED SCH. B'!C28=0,"",'PROJECTED SCH. B'!C28)</f>
        <v/>
      </c>
      <c r="E28" s="2581" t="str">
        <f>IF('PROJECTED SCH. B'!D28=0,"",'PROJECTED SCH. B'!D28)</f>
        <v/>
      </c>
      <c r="F28" s="2581" t="str">
        <f>IF('PROJECTED SCH. B'!E28=0,"",'PROJECTED SCH. B'!E28)</f>
        <v/>
      </c>
      <c r="G28" s="2581" t="str">
        <f>IF('PROJECTED SCH. B'!F28=0,"",'PROJECTED SCH. B'!F28)</f>
        <v/>
      </c>
      <c r="H28" s="2581" t="str">
        <f>IF('PROJECTED SCH. B'!G28=0,"",'PROJECTED SCH. B'!G28)</f>
        <v/>
      </c>
      <c r="I28" s="2587" t="str">
        <f>IF('PROJECTED SCH. B'!H29=0,"",'PROJECTED SCH. B'!H29)</f>
        <v/>
      </c>
      <c r="J28" s="2587" t="str">
        <f>IF('PROJECTED SCH. B'!I29=0,"",'PROJECTED SCH. B'!I29)</f>
        <v/>
      </c>
      <c r="K28" s="2587" t="s">
        <v>1254</v>
      </c>
      <c r="L28" s="2584" t="s">
        <v>1242</v>
      </c>
      <c r="M28" s="2588"/>
      <c r="N28" s="1893">
        <f t="shared" ca="1" si="0"/>
        <v>45412</v>
      </c>
      <c r="O28" s="2593">
        <v>45369</v>
      </c>
    </row>
    <row r="29" spans="2:15" ht="13.9" x14ac:dyDescent="0.4">
      <c r="B29" s="2466">
        <f>IF('PROJECTED SCH. B'!A29=0,"",'PROJECTED SCH. B'!A29)</f>
        <v>21</v>
      </c>
      <c r="C29" s="2467" t="str">
        <f>IF('PROJECTED SCH. B'!B29=0,"",'PROJECTED SCH. B'!B29)</f>
        <v>Snow Plows</v>
      </c>
      <c r="D29" s="2467">
        <f>IF('PROJECTED SCH. B'!C29=0,"",'PROJECTED SCH. B'!C29)</f>
        <v>38000</v>
      </c>
      <c r="E29" s="2467" t="str">
        <f>IF('PROJECTED SCH. B'!D29=0,"",'PROJECTED SCH. B'!D29)</f>
        <v/>
      </c>
      <c r="F29" s="2467">
        <f>IF('PROJECTED SCH. B'!E29=0,"",'PROJECTED SCH. B'!E29)</f>
        <v>38000</v>
      </c>
      <c r="G29" s="2467" t="str">
        <f>IF('PROJECTED SCH. B'!F29=0,"",'PROJECTED SCH. B'!F29)</f>
        <v/>
      </c>
      <c r="H29" s="2467" t="str">
        <f>IF('PROJECTED SCH. B'!G29=0,"",'PROJECTED SCH. B'!G29)</f>
        <v/>
      </c>
      <c r="I29" s="1891" t="str">
        <f>IF('PROJECTED SCH. B'!H30=0,"",'PROJECTED SCH. B'!H30)</f>
        <v/>
      </c>
      <c r="J29" s="1891" t="str">
        <f>IF('PROJECTED SCH. B'!I30=0,"",'PROJECTED SCH. B'!I30)</f>
        <v/>
      </c>
      <c r="K29" s="1891" t="s">
        <v>1250</v>
      </c>
      <c r="L29" s="2454" t="s">
        <v>1232</v>
      </c>
      <c r="M29" s="1897"/>
      <c r="N29" s="1893">
        <f t="shared" ca="1" si="0"/>
        <v>45412</v>
      </c>
      <c r="O29" s="2592">
        <v>45369</v>
      </c>
    </row>
    <row r="30" spans="2:15" ht="13.9" x14ac:dyDescent="0.4">
      <c r="B30" s="2466">
        <f>IF('PROJECTED SCH. B'!A30=0,"",'PROJECTED SCH. B'!A30)</f>
        <v>22</v>
      </c>
      <c r="C30" s="2467" t="str">
        <f>IF('PROJECTED SCH. B'!B30=0,"",'PROJECTED SCH. B'!B30)</f>
        <v>Electric Lawnmower</v>
      </c>
      <c r="D30" s="2467">
        <f>IF('PROJECTED SCH. B'!C30=0,"",'PROJECTED SCH. B'!C30)</f>
        <v>33000</v>
      </c>
      <c r="E30" s="2467" t="str">
        <f>IF('PROJECTED SCH. B'!D30=0,"",'PROJECTED SCH. B'!D30)</f>
        <v/>
      </c>
      <c r="F30" s="2467">
        <f>IF('PROJECTED SCH. B'!E30=0,"",'PROJECTED SCH. B'!E30)</f>
        <v>33000</v>
      </c>
      <c r="G30" s="2467" t="str">
        <f>IF('PROJECTED SCH. B'!F30=0,"",'PROJECTED SCH. B'!F30)</f>
        <v/>
      </c>
      <c r="H30" s="2467" t="str">
        <f>IF('PROJECTED SCH. B'!G30=0,"",'PROJECTED SCH. B'!G30)</f>
        <v/>
      </c>
      <c r="I30" s="1891" t="str">
        <f>IF('PROJECTED SCH. B'!H33=0,"",'PROJECTED SCH. B'!H33)</f>
        <v/>
      </c>
      <c r="J30" s="1891" t="str">
        <f>IF('PROJECTED SCH. B'!I33=0,"",'PROJECTED SCH. B'!I33)</f>
        <v/>
      </c>
      <c r="K30" s="1891" t="s">
        <v>1249</v>
      </c>
      <c r="L30" s="2454" t="s">
        <v>1232</v>
      </c>
      <c r="M30" s="1897"/>
      <c r="N30" s="1893">
        <f t="shared" ca="1" si="0"/>
        <v>45412</v>
      </c>
      <c r="O30" s="2592">
        <v>45369</v>
      </c>
    </row>
    <row r="31" spans="2:15" ht="13.9" x14ac:dyDescent="0.4">
      <c r="B31" s="2466">
        <f>IF('PROJECTED SCH. B'!A31=0,"",'PROJECTED SCH. B'!A31)</f>
        <v>23</v>
      </c>
      <c r="C31" s="2467" t="str">
        <f>IF('PROJECTED SCH. B'!B31=0,"",'PROJECTED SCH. B'!B31)</f>
        <v>COA Bus</v>
      </c>
      <c r="D31" s="2467">
        <f>IF('PROJECTED SCH. B'!C31=0,"",'PROJECTED SCH. B'!C31)</f>
        <v>40000</v>
      </c>
      <c r="E31" s="2467" t="str">
        <f>IF('PROJECTED SCH. B'!D31=0,"",'PROJECTED SCH. B'!D31)</f>
        <v/>
      </c>
      <c r="F31" s="2467">
        <f>IF('PROJECTED SCH. B'!E31=0,"",'PROJECTED SCH. B'!E31)</f>
        <v>40000</v>
      </c>
      <c r="G31" s="2467" t="str">
        <f>IF('PROJECTED SCH. B'!F31=0,"",'PROJECTED SCH. B'!F31)</f>
        <v/>
      </c>
      <c r="H31" s="2467" t="str">
        <f>IF('PROJECTED SCH. B'!G31=0,"",'PROJECTED SCH. B'!G31)</f>
        <v/>
      </c>
      <c r="I31" s="1891" t="str">
        <f>IF('PROJECTED SCH. B'!H34=0,"",'PROJECTED SCH. B'!H34)</f>
        <v/>
      </c>
      <c r="J31" s="1891" t="str">
        <f>IF('PROJECTED SCH. B'!I34=0,"",'PROJECTED SCH. B'!I34)</f>
        <v/>
      </c>
      <c r="K31" s="1891" t="s">
        <v>1251</v>
      </c>
      <c r="L31" s="2454" t="s">
        <v>1232</v>
      </c>
      <c r="M31" s="1897"/>
      <c r="N31" s="1893">
        <f t="shared" ca="1" si="0"/>
        <v>45412</v>
      </c>
      <c r="O31" s="2592">
        <v>45369</v>
      </c>
    </row>
    <row r="32" spans="2:15" ht="13.9" x14ac:dyDescent="0.4">
      <c r="B32" s="2466">
        <f>IF('PROJECTED SCH. B'!A32=0,"",'PROJECTED SCH. B'!A32)</f>
        <v>24</v>
      </c>
      <c r="C32" s="2467" t="str">
        <f>IF('PROJECTED SCH. B'!B32=0,"",'PROJECTED SCH. B'!B32)</f>
        <v>Library WIFI Server</v>
      </c>
      <c r="D32" s="2467">
        <f>IF('PROJECTED SCH. B'!C32=0,"",'PROJECTED SCH. B'!C32)</f>
        <v>15000</v>
      </c>
      <c r="E32" s="2467" t="str">
        <f>IF('PROJECTED SCH. B'!D32=0,"",'PROJECTED SCH. B'!D32)</f>
        <v/>
      </c>
      <c r="F32" s="2467">
        <f>IF('PROJECTED SCH. B'!E32=0,"",'PROJECTED SCH. B'!E32)</f>
        <v>15000</v>
      </c>
      <c r="G32" s="2467" t="str">
        <f>IF('PROJECTED SCH. B'!F32=0,"",'PROJECTED SCH. B'!F32)</f>
        <v/>
      </c>
      <c r="H32" s="2467" t="str">
        <f>IF('PROJECTED SCH. B'!G32=0,"",'PROJECTED SCH. B'!G32)</f>
        <v/>
      </c>
      <c r="I32" s="1891" t="str">
        <f>IF('PROJECTED SCH. B'!H35=0,"",'PROJECTED SCH. B'!H35)</f>
        <v/>
      </c>
      <c r="J32" s="1891" t="str">
        <f>IF('PROJECTED SCH. B'!I35=0,"",'PROJECTED SCH. B'!I35)</f>
        <v/>
      </c>
      <c r="K32" s="1891" t="s">
        <v>1251</v>
      </c>
      <c r="L32" s="2454" t="s">
        <v>1232</v>
      </c>
      <c r="M32" s="1898"/>
      <c r="N32" s="1893">
        <f t="shared" ca="1" si="0"/>
        <v>45412</v>
      </c>
      <c r="O32" s="2592">
        <v>45369</v>
      </c>
    </row>
    <row r="33" spans="2:15" ht="13.9" x14ac:dyDescent="0.4">
      <c r="B33" s="2466">
        <f>IF('PROJECTED SCH. B'!A33=0,"",'PROJECTED SCH. B'!A33)</f>
        <v>25</v>
      </c>
      <c r="C33" s="2467" t="str">
        <f>IF('PROJECTED SCH. B'!B33=0,"",'PROJECTED SCH. B'!B33)</f>
        <v>Library Basement Water Remediation</v>
      </c>
      <c r="D33" s="2467">
        <f>IF('PROJECTED SCH. B'!C33=0,"",'PROJECTED SCH. B'!C33)</f>
        <v>20000</v>
      </c>
      <c r="E33" s="2467" t="str">
        <f>IF('PROJECTED SCH. B'!D33=0,"",'PROJECTED SCH. B'!D33)</f>
        <v/>
      </c>
      <c r="F33" s="2467">
        <f>IF('PROJECTED SCH. B'!E33=0,"",'PROJECTED SCH. B'!E33)</f>
        <v>20000</v>
      </c>
      <c r="G33" s="2467" t="str">
        <f>IF('PROJECTED SCH. B'!F33=0,"",'PROJECTED SCH. B'!F33)</f>
        <v/>
      </c>
      <c r="H33" s="2467" t="str">
        <f>IF('PROJECTED SCH. B'!G33=0,"",'PROJECTED SCH. B'!G33)</f>
        <v/>
      </c>
      <c r="I33" s="1891" t="str">
        <f>IF('PROJECTED SCH. B'!H36=0,"",'PROJECTED SCH. B'!H36)</f>
        <v/>
      </c>
      <c r="J33" s="1891" t="str">
        <f>IF('PROJECTED SCH. B'!I36=0,"",'PROJECTED SCH. B'!I36)</f>
        <v/>
      </c>
      <c r="K33" s="1891" t="s">
        <v>1251</v>
      </c>
      <c r="L33" s="2454" t="s">
        <v>1232</v>
      </c>
      <c r="M33" s="1897"/>
      <c r="N33" s="1893">
        <f t="shared" ca="1" si="0"/>
        <v>45412</v>
      </c>
      <c r="O33" s="2592">
        <v>45369</v>
      </c>
    </row>
    <row r="34" spans="2:15" ht="13.9" x14ac:dyDescent="0.4">
      <c r="B34" s="2466">
        <f>IF('PROJECTED SCH. B'!A34=0,"",'PROJECTED SCH. B'!A34)</f>
        <v>26</v>
      </c>
      <c r="C34" s="2467" t="str">
        <f>IF('PROJECTED SCH. B'!B34=0,"",'PROJECTED SCH. B'!B34)</f>
        <v>Water Meters</v>
      </c>
      <c r="D34" s="2467">
        <f>IF('PROJECTED SCH. B'!C34=0,"",'PROJECTED SCH. B'!C34)</f>
        <v>175000</v>
      </c>
      <c r="E34" s="2467" t="str">
        <f>IF('PROJECTED SCH. B'!D34=0,"",'PROJECTED SCH. B'!D34)</f>
        <v/>
      </c>
      <c r="F34" s="2467" t="str">
        <f>IF('PROJECTED SCH. B'!E34=0,"",'PROJECTED SCH. B'!E34)</f>
        <v/>
      </c>
      <c r="G34" s="2467" t="str">
        <f>IF('PROJECTED SCH. B'!F34=0,"",'PROJECTED SCH. B'!F34)</f>
        <v/>
      </c>
      <c r="H34" s="2467">
        <f>IF('PROJECTED SCH. B'!G34=0,"",'PROJECTED SCH. B'!G34)</f>
        <v>175000</v>
      </c>
      <c r="I34" s="1891" t="str">
        <f>IF('PROJECTED SCH. B'!H37=0,"",'PROJECTED SCH. B'!H37)</f>
        <v/>
      </c>
      <c r="J34" s="1891" t="str">
        <f>IF('PROJECTED SCH. B'!I37=0,"",'PROJECTED SCH. B'!I37)</f>
        <v/>
      </c>
      <c r="K34" s="1891" t="s">
        <v>1255</v>
      </c>
      <c r="L34" s="2454" t="s">
        <v>1232</v>
      </c>
      <c r="M34" s="1897"/>
      <c r="N34" s="1893">
        <f t="shared" ca="1" si="0"/>
        <v>45412</v>
      </c>
      <c r="O34" s="2592">
        <v>45369</v>
      </c>
    </row>
    <row r="35" spans="2:15" ht="13.9" x14ac:dyDescent="0.4">
      <c r="B35" s="2466">
        <f>IF('PROJECTED SCH. B'!A35=0,"",'PROJECTED SCH. B'!A35)</f>
        <v>27</v>
      </c>
      <c r="C35" s="2467" t="str">
        <f>IF('PROJECTED SCH. B'!B35=0,"",'PROJECTED SCH. B'!B35)</f>
        <v>Garden Street Tank Repaier</v>
      </c>
      <c r="D35" s="2467">
        <f>IF('PROJECTED SCH. B'!C35=0,"",'PROJECTED SCH. B'!C35)</f>
        <v>75000</v>
      </c>
      <c r="E35" s="2467" t="str">
        <f>IF('PROJECTED SCH. B'!D35=0,"",'PROJECTED SCH. B'!D35)</f>
        <v/>
      </c>
      <c r="F35" s="2467" t="str">
        <f>IF('PROJECTED SCH. B'!E35=0,"",'PROJECTED SCH. B'!E35)</f>
        <v/>
      </c>
      <c r="G35" s="2467" t="str">
        <f>IF('PROJECTED SCH. B'!F35=0,"",'PROJECTED SCH. B'!F35)</f>
        <v/>
      </c>
      <c r="H35" s="2467">
        <f>IF('PROJECTED SCH. B'!G35=0,"",'PROJECTED SCH. B'!G35)</f>
        <v>75000</v>
      </c>
      <c r="I35" s="1891" t="str">
        <f>IF('PROJECTED SCH. B'!H38=0,"",'PROJECTED SCH. B'!H38)</f>
        <v/>
      </c>
      <c r="J35" s="1891" t="str">
        <f>IF('PROJECTED SCH. B'!I38=0,"",'PROJECTED SCH. B'!I38)</f>
        <v/>
      </c>
      <c r="K35" s="1891" t="s">
        <v>1256</v>
      </c>
      <c r="L35" s="2454" t="s">
        <v>1232</v>
      </c>
      <c r="M35" s="1894"/>
      <c r="N35" s="1893">
        <f t="shared" ca="1" si="0"/>
        <v>45412</v>
      </c>
      <c r="O35" s="2592">
        <v>45369</v>
      </c>
    </row>
    <row r="36" spans="2:15" ht="13.9" x14ac:dyDescent="0.4">
      <c r="B36" s="2466">
        <f>IF('PROJECTED SCH. B'!A36=0,"",'PROJECTED SCH. B'!A36)</f>
        <v>28</v>
      </c>
      <c r="C36" s="2467" t="str">
        <f>IF('PROJECTED SCH. B'!B36=0,"",'PROJECTED SCH. B'!B36)</f>
        <v>Water Pressure Zones Study and Design</v>
      </c>
      <c r="D36" s="2467">
        <f>IF('PROJECTED SCH. B'!C36=0,"",'PROJECTED SCH. B'!C36)</f>
        <v>100000</v>
      </c>
      <c r="E36" s="2467" t="str">
        <f>IF('PROJECTED SCH. B'!D36=0,"",'PROJECTED SCH. B'!D36)</f>
        <v/>
      </c>
      <c r="F36" s="2467" t="str">
        <f>IF('PROJECTED SCH. B'!E36=0,"",'PROJECTED SCH. B'!E36)</f>
        <v/>
      </c>
      <c r="G36" s="2467" t="str">
        <f>IF('PROJECTED SCH. B'!F36=0,"",'PROJECTED SCH. B'!F36)</f>
        <v/>
      </c>
      <c r="H36" s="2467">
        <f>IF('PROJECTED SCH. B'!G36=0,"",'PROJECTED SCH. B'!G36)</f>
        <v>100000</v>
      </c>
      <c r="I36" s="1891" t="str">
        <f>IF('PROJECTED SCH. B'!H39=0,"",'PROJECTED SCH. B'!H39)</f>
        <v/>
      </c>
      <c r="J36" s="1891" t="str">
        <f>IF('PROJECTED SCH. B'!I39=0,"",'PROJECTED SCH. B'!I39)</f>
        <v/>
      </c>
      <c r="K36" s="1891" t="s">
        <v>1249</v>
      </c>
      <c r="L36" s="2454" t="s">
        <v>1232</v>
      </c>
      <c r="M36" s="1894"/>
      <c r="N36" s="1893">
        <f t="shared" ca="1" si="0"/>
        <v>45412</v>
      </c>
      <c r="O36" s="2592">
        <v>45369</v>
      </c>
    </row>
    <row r="37" spans="2:15" ht="13.9" x14ac:dyDescent="0.4">
      <c r="B37" s="2466">
        <f>IF('PROJECTED SCH. B'!A37=0,"",'PROJECTED SCH. B'!A37)</f>
        <v>29</v>
      </c>
      <c r="C37" s="2467" t="str">
        <f>IF('PROJECTED SCH. B'!B37=0,"",'PROJECTED SCH. B'!B37)</f>
        <v>North Street Pump Station Roof Replacement</v>
      </c>
      <c r="D37" s="2467">
        <f>IF('PROJECTED SCH. B'!C37=0,"",'PROJECTED SCH. B'!C37)</f>
        <v>25000</v>
      </c>
      <c r="E37" s="2467" t="str">
        <f>IF('PROJECTED SCH. B'!D37=0,"",'PROJECTED SCH. B'!D37)</f>
        <v/>
      </c>
      <c r="F37" s="2467" t="str">
        <f>IF('PROJECTED SCH. B'!E37=0,"",'PROJECTED SCH. B'!E37)</f>
        <v/>
      </c>
      <c r="G37" s="2467" t="str">
        <f>IF('PROJECTED SCH. B'!F37=0,"",'PROJECTED SCH. B'!F37)</f>
        <v/>
      </c>
      <c r="H37" s="2467">
        <f>IF('PROJECTED SCH. B'!G37=0,"",'PROJECTED SCH. B'!G37)</f>
        <v>25000</v>
      </c>
      <c r="I37" s="1899" t="e">
        <f>IF('PROJECTED SCH. B'!#REF!=0,"",'PROJECTED SCH. B'!#REF!)</f>
        <v>#REF!</v>
      </c>
      <c r="J37" s="1899" t="e">
        <f>IF('PROJECTED SCH. B'!#REF!=0,"",'PROJECTED SCH. B'!#REF!)</f>
        <v>#REF!</v>
      </c>
      <c r="K37" s="1899" t="s">
        <v>1253</v>
      </c>
      <c r="L37" s="2454" t="s">
        <v>1232</v>
      </c>
      <c r="M37" s="1894"/>
      <c r="N37" s="1893">
        <f t="shared" ca="1" si="0"/>
        <v>45412</v>
      </c>
      <c r="O37" s="2592">
        <v>45369</v>
      </c>
    </row>
    <row r="38" spans="2:15" ht="13.9" x14ac:dyDescent="0.4">
      <c r="B38" s="2466">
        <f>IF('PROJECTED SCH. B'!A38=0,"",'PROJECTED SCH. B'!A38)</f>
        <v>30</v>
      </c>
      <c r="C38" s="2467" t="str">
        <f>IF('PROJECTED SCH. B'!B38=0,"",'PROJECTED SCH. B'!B38)</f>
        <v>Klock Partk ground</v>
      </c>
      <c r="D38" s="2467">
        <f>IF('PROJECTED SCH. B'!C38=0,"",'PROJECTED SCH. B'!C38)</f>
        <v>10000</v>
      </c>
      <c r="E38" s="2467" t="str">
        <f>IF('PROJECTED SCH. B'!D38=0,"",'PROJECTED SCH. B'!D38)</f>
        <v/>
      </c>
      <c r="F38" s="2467">
        <f>IF('PROJECTED SCH. B'!E38=0,"",'PROJECTED SCH. B'!E38)</f>
        <v>10000</v>
      </c>
      <c r="G38" s="2467" t="str">
        <f>IF('PROJECTED SCH. B'!F38=0,"",'PROJECTED SCH. B'!F38)</f>
        <v/>
      </c>
      <c r="H38" s="2467" t="str">
        <f>IF('PROJECTED SCH. B'!G38=0,"",'PROJECTED SCH. B'!G38)</f>
        <v/>
      </c>
      <c r="I38" s="1891" t="e">
        <f>IF('PROJECTED SCH. B'!#REF!=0,"",'PROJECTED SCH. B'!#REF!)</f>
        <v>#REF!</v>
      </c>
      <c r="J38" s="1891" t="e">
        <f>IF('PROJECTED SCH. B'!#REF!=0,"",'PROJECTED SCH. B'!#REF!)</f>
        <v>#REF!</v>
      </c>
      <c r="K38" s="1891" t="s">
        <v>1257</v>
      </c>
      <c r="L38" s="2454" t="s">
        <v>1232</v>
      </c>
      <c r="M38" s="1894"/>
      <c r="N38" s="1893">
        <f t="shared" ca="1" si="0"/>
        <v>45412</v>
      </c>
      <c r="O38" s="2592">
        <v>45369</v>
      </c>
    </row>
    <row r="39" spans="2:15" ht="13.9" x14ac:dyDescent="0.4">
      <c r="B39" s="2466">
        <f>IF('PROJECTED SCH. B'!A39=0,"",'PROJECTED SCH. B'!A39)</f>
        <v>31</v>
      </c>
      <c r="C39" s="2467" t="str">
        <f>IF('PROJECTED SCH. B'!B39=0,"",'PROJECTED SCH. B'!B39)</f>
        <v>Pine Grove Cemetery Tree Removal</v>
      </c>
      <c r="D39" s="2467">
        <f>IF('PROJECTED SCH. B'!C39=0,"",'PROJECTED SCH. B'!C39)</f>
        <v>50000</v>
      </c>
      <c r="E39" s="2467" t="str">
        <f>IF('PROJECTED SCH. B'!D39=0,"",'PROJECTED SCH. B'!D39)</f>
        <v/>
      </c>
      <c r="F39" s="2467" t="str">
        <f>IF('PROJECTED SCH. B'!E39=0,"",'PROJECTED SCH. B'!E39)</f>
        <v/>
      </c>
      <c r="G39" s="2467" t="str">
        <f>IF('PROJECTED SCH. B'!F39=0,"",'PROJECTED SCH. B'!F39)</f>
        <v/>
      </c>
      <c r="H39" s="2467">
        <f>IF('PROJECTED SCH. B'!G39=0,"",'PROJECTED SCH. B'!G39)</f>
        <v>50000</v>
      </c>
      <c r="I39" s="1891" t="e">
        <f>IF('PROJECTED SCH. B'!#REF!=0,"",'PROJECTED SCH. B'!#REF!)</f>
        <v>#REF!</v>
      </c>
      <c r="J39" s="1891" t="e">
        <f>IF('PROJECTED SCH. B'!#REF!=0,"",'PROJECTED SCH. B'!#REF!)</f>
        <v>#REF!</v>
      </c>
      <c r="K39" s="1891" t="s">
        <v>1255</v>
      </c>
      <c r="L39" s="2454" t="s">
        <v>1232</v>
      </c>
      <c r="M39" s="1894"/>
      <c r="N39" s="1893">
        <f t="shared" ca="1" si="0"/>
        <v>45412</v>
      </c>
      <c r="O39" s="2592">
        <v>45369</v>
      </c>
    </row>
    <row r="40" spans="2:15" ht="13.9" x14ac:dyDescent="0.4">
      <c r="B40" s="2466">
        <f>IF('PROJECTED SCH. B'!A40=0,"",'PROJECTED SCH. B'!A40)</f>
        <v>32</v>
      </c>
      <c r="C40" s="2467" t="str">
        <f>IF('PROJECTED SCH. B'!B40=0,"",'PROJECTED SCH. B'!B40)</f>
        <v>Employee Retirement Buy Back</v>
      </c>
      <c r="D40" s="2467" t="str">
        <f>IF('PROJECTED SCH. B'!C40=0,"",'PROJECTED SCH. B'!C40)</f>
        <v/>
      </c>
      <c r="E40" s="2467" t="str">
        <f>IF('PROJECTED SCH. B'!D40=0,"",'PROJECTED SCH. B'!D40)</f>
        <v/>
      </c>
      <c r="F40" s="2467" t="str">
        <f>IF('PROJECTED SCH. B'!E40=0,"",'PROJECTED SCH. B'!E40)</f>
        <v/>
      </c>
      <c r="G40" s="2467" t="str">
        <f>IF('PROJECTED SCH. B'!F40=0,"",'PROJECTED SCH. B'!F40)</f>
        <v/>
      </c>
      <c r="H40" s="2467" t="str">
        <f>IF('PROJECTED SCH. B'!G40=0,"",'PROJECTED SCH. B'!G40)</f>
        <v/>
      </c>
      <c r="I40" s="1891" t="e">
        <f>IF('PROJECTED SCH. B'!#REF!=0,"",'PROJECTED SCH. B'!#REF!)</f>
        <v>#REF!</v>
      </c>
      <c r="J40" s="1891" t="e">
        <f>IF('PROJECTED SCH. B'!#REF!=0,"",'PROJECTED SCH. B'!#REF!)</f>
        <v>#REF!</v>
      </c>
      <c r="K40" s="1891" t="s">
        <v>1297</v>
      </c>
      <c r="L40" s="2454" t="s">
        <v>1298</v>
      </c>
      <c r="M40" s="1894"/>
      <c r="N40" s="1893">
        <f t="shared" ca="1" si="0"/>
        <v>45412</v>
      </c>
      <c r="O40" s="2592">
        <v>45378</v>
      </c>
    </row>
    <row r="41" spans="2:15" ht="13.9" x14ac:dyDescent="0.4">
      <c r="B41" s="2466">
        <f>IF('PROJECTED SCH. B'!A41=0,"",'PROJECTED SCH. B'!A41)</f>
        <v>33</v>
      </c>
      <c r="C41" s="2467" t="str">
        <f>IF('PROJECTED SCH. B'!B41=0,"",'PROJECTED SCH. B'!B41)</f>
        <v>Active Military Duty Compensation</v>
      </c>
      <c r="D41" s="2467" t="str">
        <f>IF('PROJECTED SCH. B'!C41=0,"",'PROJECTED SCH. B'!C41)</f>
        <v/>
      </c>
      <c r="E41" s="2467" t="str">
        <f>IF('PROJECTED SCH. B'!D41=0,"",'PROJECTED SCH. B'!D41)</f>
        <v/>
      </c>
      <c r="F41" s="2467" t="str">
        <f>IF('PROJECTED SCH. B'!E41=0,"",'PROJECTED SCH. B'!E41)</f>
        <v/>
      </c>
      <c r="G41" s="2467" t="str">
        <f>IF('PROJECTED SCH. B'!F41=0,"",'PROJECTED SCH. B'!F41)</f>
        <v/>
      </c>
      <c r="H41" s="2467" t="str">
        <f>IF('PROJECTED SCH. B'!G41=0,"",'PROJECTED SCH. B'!G41)</f>
        <v/>
      </c>
      <c r="I41" s="1891" t="e">
        <f>IF('PROJECTED SCH. B'!#REF!=0,"",'PROJECTED SCH. B'!#REF!)</f>
        <v>#REF!</v>
      </c>
      <c r="J41" s="1891" t="e">
        <f>IF('PROJECTED SCH. B'!#REF!=0,"",'PROJECTED SCH. B'!#REF!)</f>
        <v>#REF!</v>
      </c>
      <c r="K41" s="1891" t="s">
        <v>1295</v>
      </c>
      <c r="L41" s="2454" t="s">
        <v>1299</v>
      </c>
      <c r="M41" s="1894"/>
      <c r="N41" s="1893">
        <f t="shared" ca="1" si="0"/>
        <v>45412</v>
      </c>
      <c r="O41" s="2594">
        <v>45376</v>
      </c>
    </row>
    <row r="42" spans="2:15" ht="13.9" x14ac:dyDescent="0.4">
      <c r="B42" s="2466">
        <f>IF('PROJECTED SCH. B'!A42=0,"",'PROJECTED SCH. B'!A42)</f>
        <v>34</v>
      </c>
      <c r="C42" s="2467" t="str">
        <f>IF('PROJECTED SCH. B'!B42=0,"",'PROJECTED SCH. B'!B42)</f>
        <v>Zoning MBTA Multi Fam Overlay</v>
      </c>
      <c r="D42" s="2467" t="str">
        <f>IF('PROJECTED SCH. B'!C42=0,"",'PROJECTED SCH. B'!C42)</f>
        <v/>
      </c>
      <c r="E42" s="2467" t="str">
        <f>IF('PROJECTED SCH. B'!D42=0,"",'PROJECTED SCH. B'!D42)</f>
        <v/>
      </c>
      <c r="F42" s="2467" t="str">
        <f>IF('PROJECTED SCH. B'!E42=0,"",'PROJECTED SCH. B'!E42)</f>
        <v/>
      </c>
      <c r="G42" s="2467" t="str">
        <f>IF('PROJECTED SCH. B'!F42=0,"",'PROJECTED SCH. B'!F42)</f>
        <v/>
      </c>
      <c r="H42" s="2467" t="str">
        <f>IF('PROJECTED SCH. B'!G42=0,"",'PROJECTED SCH. B'!G42)</f>
        <v/>
      </c>
      <c r="I42" s="1891" t="e">
        <f>IF('PROJECTED SCH. B'!#REF!=0,"",'PROJECTED SCH. B'!#REF!)</f>
        <v>#REF!</v>
      </c>
      <c r="J42" s="1891" t="e">
        <f>IF('PROJECTED SCH. B'!#REF!=0,"",'PROJECTED SCH. B'!#REF!)</f>
        <v>#REF!</v>
      </c>
      <c r="K42" s="1891" t="s">
        <v>1295</v>
      </c>
      <c r="L42" s="2454" t="s">
        <v>1300</v>
      </c>
      <c r="M42" s="1894"/>
      <c r="N42" s="1893">
        <f t="shared" ca="1" si="0"/>
        <v>45412</v>
      </c>
      <c r="O42" s="2594">
        <v>45378</v>
      </c>
    </row>
    <row r="43" spans="2:15" ht="13.9" x14ac:dyDescent="0.4">
      <c r="B43" s="2466">
        <f>IF('PROJECTED SCH. B'!A43=0,"",'PROJECTED SCH. B'!A43)</f>
        <v>35</v>
      </c>
      <c r="C43" s="2467" t="str">
        <f>IF('PROJECTED SCH. B'!B43=0,"",'PROJECTED SCH. B'!B43)</f>
        <v>Zoning bylaw Mult Fam</v>
      </c>
      <c r="D43" s="2467" t="str">
        <f>IF('PROJECTED SCH. B'!C43=0,"",'PROJECTED SCH. B'!C43)</f>
        <v/>
      </c>
      <c r="E43" s="2467" t="str">
        <f>IF('PROJECTED SCH. B'!D43=0,"",'PROJECTED SCH. B'!D43)</f>
        <v/>
      </c>
      <c r="F43" s="2467" t="str">
        <f>IF('PROJECTED SCH. B'!E43=0,"",'PROJECTED SCH. B'!E43)</f>
        <v/>
      </c>
      <c r="G43" s="2467" t="str">
        <f>IF('PROJECTED SCH. B'!F43=0,"",'PROJECTED SCH. B'!F43)</f>
        <v/>
      </c>
      <c r="H43" s="2467" t="str">
        <f>IF('PROJECTED SCH. B'!G43=0,"",'PROJECTED SCH. B'!G43)</f>
        <v/>
      </c>
      <c r="I43" s="1891" t="e">
        <f>IF('PROJECTED SCH. B'!#REF!=0,"",'PROJECTED SCH. B'!#REF!)</f>
        <v>#REF!</v>
      </c>
      <c r="J43" s="1891" t="e">
        <f>IF('PROJECTED SCH. B'!#REF!=0,"",'PROJECTED SCH. B'!#REF!)</f>
        <v>#REF!</v>
      </c>
      <c r="K43" s="1891" t="s">
        <v>1281</v>
      </c>
      <c r="L43" s="2454" t="s">
        <v>1300</v>
      </c>
      <c r="M43" s="1894"/>
      <c r="N43" s="1893">
        <f t="shared" ca="1" si="0"/>
        <v>45412</v>
      </c>
      <c r="O43" s="2594">
        <v>45378</v>
      </c>
    </row>
    <row r="44" spans="2:15" ht="13.9" x14ac:dyDescent="0.4">
      <c r="B44" s="2466">
        <f>IF('PROJECTED SCH. B'!A44=0,"",'PROJECTED SCH. B'!A44)</f>
        <v>36</v>
      </c>
      <c r="C44" s="2467" t="str">
        <f>IF('PROJECTED SCH. B'!B44=0,"",'PROJECTED SCH. B'!B44)</f>
        <v>Zoning  Buildable Area</v>
      </c>
      <c r="D44" s="2467" t="str">
        <f>IF('PROJECTED SCH. B'!C44=0,"",'PROJECTED SCH. B'!C44)</f>
        <v/>
      </c>
      <c r="E44" s="2467" t="str">
        <f>IF('PROJECTED SCH. B'!D44=0,"",'PROJECTED SCH. B'!D44)</f>
        <v/>
      </c>
      <c r="F44" s="2467" t="str">
        <f>IF('PROJECTED SCH. B'!E44=0,"",'PROJECTED SCH. B'!E44)</f>
        <v/>
      </c>
      <c r="G44" s="2467" t="str">
        <f>IF('PROJECTED SCH. B'!F44=0,"",'PROJECTED SCH. B'!F44)</f>
        <v/>
      </c>
      <c r="H44" s="2467" t="str">
        <f>IF('PROJECTED SCH. B'!G44=0,"",'PROJECTED SCH. B'!G44)</f>
        <v/>
      </c>
      <c r="I44" s="1899" t="e">
        <f>IF('PROJECTED SCH. B'!#REF!=0,"",'PROJECTED SCH. B'!#REF!)</f>
        <v>#REF!</v>
      </c>
      <c r="J44" s="1899" t="e">
        <f>IF('PROJECTED SCH. B'!#REF!=0,"",'PROJECTED SCH. B'!#REF!)</f>
        <v>#REF!</v>
      </c>
      <c r="K44" s="1899" t="s">
        <v>1282</v>
      </c>
      <c r="L44" s="2454" t="s">
        <v>1300</v>
      </c>
      <c r="M44" s="1894"/>
      <c r="N44" s="1893">
        <f t="shared" ca="1" si="0"/>
        <v>45412</v>
      </c>
      <c r="O44" s="2594">
        <v>45378</v>
      </c>
    </row>
    <row r="45" spans="2:15" ht="13.9" x14ac:dyDescent="0.4">
      <c r="B45" s="2466">
        <f>IF('PROJECTED SCH. B'!A45=0,"",'PROJECTED SCH. B'!A45)</f>
        <v>37</v>
      </c>
      <c r="C45" s="2467" t="str">
        <f>IF('PROJECTED SCH. B'!B45=0,"",'PROJECTED SCH. B'!B45)</f>
        <v>Zoning Parking</v>
      </c>
      <c r="D45" s="2467" t="str">
        <f>IF('PROJECTED SCH. B'!C45=0,"",'PROJECTED SCH. B'!C45)</f>
        <v/>
      </c>
      <c r="E45" s="2467" t="str">
        <f>IF('PROJECTED SCH. B'!D45=0,"",'PROJECTED SCH. B'!D45)</f>
        <v/>
      </c>
      <c r="F45" s="2467" t="str">
        <f>IF('PROJECTED SCH. B'!E45=0,"",'PROJECTED SCH. B'!E45)</f>
        <v/>
      </c>
      <c r="G45" s="2467" t="str">
        <f>IF('PROJECTED SCH. B'!F45=0,"",'PROJECTED SCH. B'!F45)</f>
        <v/>
      </c>
      <c r="H45" s="2467" t="str">
        <f>IF('PROJECTED SCH. B'!G45=0,"",'PROJECTED SCH. B'!G45)</f>
        <v/>
      </c>
      <c r="I45" s="1899" t="e">
        <f>IF('PROJECTED SCH. B'!#REF!=0,"",'PROJECTED SCH. B'!#REF!)</f>
        <v>#REF!</v>
      </c>
      <c r="J45" s="1899" t="e">
        <f>IF('PROJECTED SCH. B'!#REF!=0,"",'PROJECTED SCH. B'!#REF!)</f>
        <v>#REF!</v>
      </c>
      <c r="K45" s="1899" t="s">
        <v>1282</v>
      </c>
      <c r="L45" s="2454" t="s">
        <v>1300</v>
      </c>
      <c r="M45" s="1894"/>
      <c r="N45" s="1893">
        <f t="shared" ca="1" si="0"/>
        <v>45412</v>
      </c>
      <c r="O45" s="2594">
        <v>45378</v>
      </c>
    </row>
    <row r="46" spans="2:15" ht="13.9" x14ac:dyDescent="0.4">
      <c r="B46" s="2466">
        <f>IF('PROJECTED SCH. B'!A46=0,"",'PROJECTED SCH. B'!A46)</f>
        <v>38</v>
      </c>
      <c r="C46" s="2467" t="str">
        <f>IF('PROJECTED SCH. B'!B46=0,"",'PROJECTED SCH. B'!B46)</f>
        <v>Zoning  Flood Plain</v>
      </c>
      <c r="D46" s="2467" t="str">
        <f>IF('PROJECTED SCH. B'!C46=0,"",'PROJECTED SCH. B'!C46)</f>
        <v/>
      </c>
      <c r="E46" s="2467" t="str">
        <f>IF('PROJECTED SCH. B'!D46=0,"",'PROJECTED SCH. B'!D46)</f>
        <v/>
      </c>
      <c r="F46" s="2467" t="str">
        <f>IF('PROJECTED SCH. B'!E46=0,"",'PROJECTED SCH. B'!E46)</f>
        <v/>
      </c>
      <c r="G46" s="2467" t="str">
        <f>IF('PROJECTED SCH. B'!F46=0,"",'PROJECTED SCH. B'!F46)</f>
        <v/>
      </c>
      <c r="H46" s="2467" t="str">
        <f>IF('PROJECTED SCH. B'!G46=0,"",'PROJECTED SCH. B'!G46)</f>
        <v/>
      </c>
      <c r="I46" s="1899" t="e">
        <f>IF('PROJECTED SCH. B'!#REF!=0,"",'PROJECTED SCH. B'!#REF!)</f>
        <v>#REF!</v>
      </c>
      <c r="J46" s="1899" t="e">
        <f>IF('PROJECTED SCH. B'!#REF!=0,"",'PROJECTED SCH. B'!#REF!)</f>
        <v>#REF!</v>
      </c>
      <c r="K46" s="1899" t="s">
        <v>1282</v>
      </c>
      <c r="L46" s="2454" t="s">
        <v>1300</v>
      </c>
      <c r="M46" s="1894"/>
      <c r="N46" s="1893">
        <f t="shared" ca="1" si="0"/>
        <v>45412</v>
      </c>
      <c r="O46" s="2594">
        <v>45378</v>
      </c>
    </row>
    <row r="47" spans="2:15" ht="13.9" x14ac:dyDescent="0.4">
      <c r="B47" s="2580">
        <f>IF('PROJECTED SCH. B'!A47=0,"",'PROJECTED SCH. B'!A47)</f>
        <v>39</v>
      </c>
      <c r="C47" s="2581" t="str">
        <f>IF('PROJECTED SCH. B'!B47=0,"",'PROJECTED SCH. B'!B47)</f>
        <v>Zoning  Table of Uses</v>
      </c>
      <c r="D47" s="2581" t="str">
        <f>IF('PROJECTED SCH. B'!C47=0,"",'PROJECTED SCH. B'!C47)</f>
        <v/>
      </c>
      <c r="E47" s="2581" t="str">
        <f>IF('PROJECTED SCH. B'!D47=0,"",'PROJECTED SCH. B'!D47)</f>
        <v/>
      </c>
      <c r="F47" s="2581" t="str">
        <f>IF('PROJECTED SCH. B'!E47=0,"",'PROJECTED SCH. B'!E47)</f>
        <v/>
      </c>
      <c r="G47" s="2581" t="str">
        <f>IF('PROJECTED SCH. B'!F47=0,"",'PROJECTED SCH. B'!F47)</f>
        <v/>
      </c>
      <c r="H47" s="2581" t="str">
        <f>IF('PROJECTED SCH. B'!G47=0,"",'PROJECTED SCH. B'!G47)</f>
        <v/>
      </c>
      <c r="I47" s="2582" t="e">
        <f>IF('PROJECTED SCH. B'!#REF!=0,"",'PROJECTED SCH. B'!#REF!)</f>
        <v>#REF!</v>
      </c>
      <c r="J47" s="2582" t="e">
        <f>IF('PROJECTED SCH. B'!#REF!=0,"",'PROJECTED SCH. B'!#REF!)</f>
        <v>#REF!</v>
      </c>
      <c r="K47" s="2583" t="s">
        <v>1283</v>
      </c>
      <c r="L47" s="2584" t="s">
        <v>1284</v>
      </c>
      <c r="M47" s="2585"/>
      <c r="N47" s="1893">
        <f t="shared" ca="1" si="0"/>
        <v>45412</v>
      </c>
      <c r="O47" s="2595">
        <v>45378</v>
      </c>
    </row>
    <row r="48" spans="2:15" ht="13.9" x14ac:dyDescent="0.4">
      <c r="B48" s="2466">
        <f>IF('PROJECTED SCH. B'!A48=0,"",'PROJECTED SCH. B'!A48)</f>
        <v>40</v>
      </c>
      <c r="C48" s="2467" t="str">
        <f>IF('PROJECTED SCH. B'!B48=0,"",'PROJECTED SCH. B'!B48)</f>
        <v xml:space="preserve">Zoning Use Regulations </v>
      </c>
      <c r="D48" s="2467" t="str">
        <f>IF('PROJECTED SCH. B'!C48=0,"",'PROJECTED SCH. B'!C48)</f>
        <v/>
      </c>
      <c r="E48" s="2467" t="str">
        <f>IF('PROJECTED SCH. B'!D48=0,"",'PROJECTED SCH. B'!D48)</f>
        <v/>
      </c>
      <c r="F48" s="2467" t="str">
        <f>IF('PROJECTED SCH. B'!E48=0,"",'PROJECTED SCH. B'!E48)</f>
        <v/>
      </c>
      <c r="G48" s="2467" t="str">
        <f>IF('PROJECTED SCH. B'!F48=0,"",'PROJECTED SCH. B'!F48)</f>
        <v/>
      </c>
      <c r="H48" s="2467" t="str">
        <f>IF('PROJECTED SCH. B'!G48=0,"",'PROJECTED SCH. B'!G48)</f>
        <v/>
      </c>
      <c r="I48" s="1891" t="str">
        <f>IF('PROJECTED SCH. B'!H54=0,"",'PROJECTED SCH. B'!H54)</f>
        <v/>
      </c>
      <c r="J48" s="1891" t="str">
        <f>IF('PROJECTED SCH. B'!I54=0,"",'PROJECTED SCH. B'!I54)</f>
        <v/>
      </c>
      <c r="K48" s="1891" t="s">
        <v>1294</v>
      </c>
      <c r="L48" s="2454" t="s">
        <v>1300</v>
      </c>
      <c r="M48" s="1894"/>
      <c r="N48" s="1893">
        <f t="shared" ca="1" si="0"/>
        <v>45412</v>
      </c>
      <c r="O48" s="2595">
        <v>45378</v>
      </c>
    </row>
    <row r="49" spans="2:16" ht="13.9" x14ac:dyDescent="0.4">
      <c r="B49" s="2466">
        <f>IF('PROJECTED SCH. B'!A49=0,"",'PROJECTED SCH. B'!A49)</f>
        <v>41</v>
      </c>
      <c r="C49" s="2467" t="str">
        <f>IF('PROJECTED SCH. B'!B49=0,"",'PROJECTED SCH. B'!B49)</f>
        <v>Masco Capital</v>
      </c>
      <c r="D49" s="2467">
        <f>IF('PROJECTED SCH. B'!C49=0,"",'PROJECTED SCH. B'!C49)</f>
        <v>116704</v>
      </c>
      <c r="E49" s="2467" t="str">
        <f>IF('PROJECTED SCH. B'!D49=0,"",'PROJECTED SCH. B'!D49)</f>
        <v/>
      </c>
      <c r="F49" s="2467">
        <f>IF('PROJECTED SCH. B'!E49=0,"",'PROJECTED SCH. B'!E49)</f>
        <v>116704</v>
      </c>
      <c r="G49" s="2467" t="str">
        <f>IF('PROJECTED SCH. B'!F49=0,"",'PROJECTED SCH. B'!F49)</f>
        <v/>
      </c>
      <c r="H49" s="2467" t="str">
        <f>IF('PROJECTED SCH. B'!G49=0,"",'PROJECTED SCH. B'!G49)</f>
        <v/>
      </c>
      <c r="I49" s="1891" t="str">
        <f>IF('PROJECTED SCH. B'!H55=0,"",'PROJECTED SCH. B'!H55)</f>
        <v/>
      </c>
      <c r="J49" s="1891" t="str">
        <f>IF('PROJECTED SCH. B'!I55=0,"",'PROJECTED SCH. B'!I55)</f>
        <v/>
      </c>
      <c r="K49" s="1891" t="s">
        <v>1294</v>
      </c>
      <c r="L49" s="2454" t="s">
        <v>1300</v>
      </c>
      <c r="M49" s="1894"/>
      <c r="N49" s="1893">
        <f t="shared" ca="1" si="0"/>
        <v>45412</v>
      </c>
      <c r="O49" s="2592">
        <v>45369</v>
      </c>
    </row>
    <row r="50" spans="2:16" ht="13.9" x14ac:dyDescent="0.4">
      <c r="B50" s="2466">
        <f>IF('PROJECTED SCH. B'!A50=0,"",'PROJECTED SCH. B'!A50)</f>
        <v>42</v>
      </c>
      <c r="C50" s="2467" t="str">
        <f>IF('PROJECTED SCH. B'!B50=0,"",'PROJECTED SCH. B'!B50)</f>
        <v>Masco Capital Debt Auth</v>
      </c>
      <c r="D50" s="2467" t="str">
        <f>IF('PROJECTED SCH. B'!C50=0,"",'PROJECTED SCH. B'!C50)</f>
        <v/>
      </c>
      <c r="E50" s="2467" t="str">
        <f>IF('PROJECTED SCH. B'!D50=0,"",'PROJECTED SCH. B'!D50)</f>
        <v/>
      </c>
      <c r="F50" s="2467" t="str">
        <f>IF('PROJECTED SCH. B'!E50=0,"",'PROJECTED SCH. B'!E50)</f>
        <v/>
      </c>
      <c r="G50" s="2467" t="str">
        <f>IF('PROJECTED SCH. B'!F50=0,"",'PROJECTED SCH. B'!F50)</f>
        <v/>
      </c>
      <c r="H50" s="2467" t="str">
        <f>IF('PROJECTED SCH. B'!G50=0,"",'PROJECTED SCH. B'!G50)</f>
        <v/>
      </c>
      <c r="I50" s="1891" t="str">
        <f>IF('PROJECTED SCH. B'!H56=0,"",'PROJECTED SCH. B'!H56)</f>
        <v/>
      </c>
      <c r="J50" s="1891" t="str">
        <f>IF('PROJECTED SCH. B'!I56=0,"",'PROJECTED SCH. B'!I56)</f>
        <v/>
      </c>
      <c r="K50" s="1891" t="s">
        <v>1301</v>
      </c>
      <c r="L50" s="2454" t="s">
        <v>1300</v>
      </c>
      <c r="M50" s="1894"/>
      <c r="N50" s="1893">
        <f t="shared" ca="1" si="0"/>
        <v>45412</v>
      </c>
      <c r="O50" s="2594">
        <v>45378</v>
      </c>
    </row>
    <row r="51" spans="2:16" ht="13.9" x14ac:dyDescent="0.4">
      <c r="B51" s="2466">
        <f>IF('PROJECTED SCH. B'!A51=0,"",'PROJECTED SCH. B'!A51)</f>
        <v>43</v>
      </c>
      <c r="C51" s="2467" t="str">
        <f>IF('PROJECTED SCH. B'!B51=0,"",'PROJECTED SCH. B'!B51)</f>
        <v>Elem SPED Stabilization</v>
      </c>
      <c r="D51" s="2467" t="str">
        <f>IF('PROJECTED SCH. B'!C51=0,"",'PROJECTED SCH. B'!C51)</f>
        <v/>
      </c>
      <c r="E51" s="2467" t="str">
        <f>IF('PROJECTED SCH. B'!D51=0,"",'PROJECTED SCH. B'!D51)</f>
        <v/>
      </c>
      <c r="F51" s="2467" t="str">
        <f>IF('PROJECTED SCH. B'!E51=0,"",'PROJECTED SCH. B'!E51)</f>
        <v/>
      </c>
      <c r="G51" s="2467" t="str">
        <f>IF('PROJECTED SCH. B'!F51=0,"",'PROJECTED SCH. B'!F51)</f>
        <v/>
      </c>
      <c r="H51" s="2467" t="str">
        <f>IF('PROJECTED SCH. B'!G51=0,"",'PROJECTED SCH. B'!G51)</f>
        <v/>
      </c>
      <c r="I51" s="1891" t="str">
        <f>IF('PROJECTED SCH. B'!H57=0,"",'PROJECTED SCH. B'!H57)</f>
        <v/>
      </c>
      <c r="J51" s="1891" t="str">
        <f>IF('PROJECTED SCH. B'!I57=0,"",'PROJECTED SCH. B'!I57)</f>
        <v/>
      </c>
      <c r="K51" s="1891" t="s">
        <v>1305</v>
      </c>
      <c r="L51" s="2454" t="s">
        <v>1306</v>
      </c>
      <c r="M51" s="1894"/>
      <c r="N51" s="1893">
        <f t="shared" ca="1" si="0"/>
        <v>45412</v>
      </c>
      <c r="O51" s="2594">
        <v>45378</v>
      </c>
    </row>
    <row r="52" spans="2:16" ht="13.9" x14ac:dyDescent="0.4">
      <c r="B52" s="2466">
        <f>IF('PROJECTED SCH. B'!A52=0,"",'PROJECTED SCH. B'!A52)</f>
        <v>44</v>
      </c>
      <c r="C52" s="2467" t="str">
        <f>IF('PROJECTED SCH. B'!B52=0,"",'PROJECTED SCH. B'!B52)</f>
        <v>Opiod Special Purpose Fund</v>
      </c>
      <c r="D52" s="2467">
        <f>IF('PROJECTED SCH. B'!C52=0,"",'PROJECTED SCH. B'!C52)</f>
        <v>31542.6</v>
      </c>
      <c r="E52" s="2467" t="str">
        <f>IF('PROJECTED SCH. B'!D52=0,"",'PROJECTED SCH. B'!D52)</f>
        <v/>
      </c>
      <c r="F52" s="2467">
        <f>IF('PROJECTED SCH. B'!E52=0,"",'PROJECTED SCH. B'!E52)</f>
        <v>31542.6</v>
      </c>
      <c r="G52" s="2467" t="str">
        <f>IF('PROJECTED SCH. B'!F52=0,"",'PROJECTED SCH. B'!F52)</f>
        <v/>
      </c>
      <c r="H52" s="2467" t="str">
        <f>IF('PROJECTED SCH. B'!G52=0,"",'PROJECTED SCH. B'!G52)</f>
        <v/>
      </c>
      <c r="I52" s="1891" t="str">
        <f>IF('PROJECTED SCH. B'!H58=0,"",'PROJECTED SCH. B'!H58)</f>
        <v/>
      </c>
      <c r="J52" s="1891" t="str">
        <f>IF('PROJECTED SCH. B'!I58=0,"",'PROJECTED SCH. B'!I58)</f>
        <v/>
      </c>
      <c r="K52" s="1891" t="s">
        <v>1254</v>
      </c>
      <c r="L52" s="2454" t="s">
        <v>1259</v>
      </c>
      <c r="M52" s="1894"/>
      <c r="N52" s="1893">
        <f t="shared" ca="1" si="0"/>
        <v>45412</v>
      </c>
      <c r="O52" s="2594">
        <v>45378</v>
      </c>
    </row>
    <row r="53" spans="2:16" ht="13.9" x14ac:dyDescent="0.4">
      <c r="B53" s="2466">
        <f>IF('PROJECTED SCH. B'!A53=0,"",'PROJECTED SCH. B'!A53)</f>
        <v>45</v>
      </c>
      <c r="C53" s="2467" t="str">
        <f>IF('PROJECTED SCH. B'!B53=0,"",'PROJECTED SCH. B'!B53)</f>
        <v>Other Post Employment Benefits ("OPEB Trust Fund")</v>
      </c>
      <c r="D53" s="2467">
        <f>IF('PROJECTED SCH. B'!C53=0,"",'PROJECTED SCH. B'!C53)</f>
        <v>400000</v>
      </c>
      <c r="E53" s="2467" t="str">
        <f>IF('PROJECTED SCH. B'!D53=0,"",'PROJECTED SCH. B'!D53)</f>
        <v/>
      </c>
      <c r="F53" s="2467">
        <f>IF('PROJECTED SCH. B'!E53=0,"",'PROJECTED SCH. B'!E53)</f>
        <v>400000</v>
      </c>
      <c r="G53" s="2467" t="str">
        <f>IF('PROJECTED SCH. B'!F53=0,"",'PROJECTED SCH. B'!F53)</f>
        <v/>
      </c>
      <c r="H53" s="2467" t="str">
        <f>IF('PROJECTED SCH. B'!G53=0,"",'PROJECTED SCH. B'!G53)</f>
        <v/>
      </c>
      <c r="I53" s="1891" t="str">
        <f>IF('PROJECTED SCH. B'!H56=0,"",'PROJECTED SCH. B'!H56)</f>
        <v/>
      </c>
      <c r="J53" s="1891" t="str">
        <f>IF('PROJECTED SCH. B'!I56=0,"",'PROJECTED SCH. B'!I56)</f>
        <v/>
      </c>
      <c r="K53" s="1891" t="s">
        <v>1294</v>
      </c>
      <c r="L53" s="2454" t="s">
        <v>1300</v>
      </c>
      <c r="M53" s="1894"/>
      <c r="N53" s="1893">
        <f t="shared" ca="1" si="0"/>
        <v>45412</v>
      </c>
      <c r="O53" s="2594">
        <v>45378</v>
      </c>
    </row>
    <row r="54" spans="2:16" ht="13.9" x14ac:dyDescent="0.4">
      <c r="B54" s="2466">
        <f>IF('PROJECTED SCH. B'!A54=0,"",'PROJECTED SCH. B'!A54)</f>
        <v>46</v>
      </c>
      <c r="C54" s="2467" t="str">
        <f>IF('PROJECTED SCH. B'!B54=0,"",'PROJECTED SCH. B'!B54)</f>
        <v>Capital Stabilization Fund</v>
      </c>
      <c r="D54" s="2467">
        <f>IF('PROJECTED SCH. B'!C54=0,"",'PROJECTED SCH. B'!C54)</f>
        <v>100000</v>
      </c>
      <c r="E54" s="2467" t="str">
        <f>IF('PROJECTED SCH. B'!D54=0,"",'PROJECTED SCH. B'!D54)</f>
        <v/>
      </c>
      <c r="F54" s="2467">
        <f>IF('PROJECTED SCH. B'!E54=0,"",'PROJECTED SCH. B'!E54)</f>
        <v>100000</v>
      </c>
      <c r="G54" s="2467" t="str">
        <f>IF('PROJECTED SCH. B'!F54=0,"",'PROJECTED SCH. B'!F54)</f>
        <v/>
      </c>
      <c r="H54" s="2467" t="str">
        <f>IF('PROJECTED SCH. B'!G54=0,"",'PROJECTED SCH. B'!G54)</f>
        <v/>
      </c>
      <c r="I54" s="1900" t="str">
        <f>IF('PROJECTED SCH. B'!H57=0,"",'PROJECTED SCH. B'!H57)</f>
        <v/>
      </c>
      <c r="J54" s="1900" t="str">
        <f>IF('PROJECTED SCH. B'!I57=0,"",'PROJECTED SCH. B'!I57)</f>
        <v/>
      </c>
      <c r="K54" s="1891" t="s">
        <v>1294</v>
      </c>
      <c r="L54" s="2454" t="s">
        <v>1300</v>
      </c>
      <c r="M54" s="1894"/>
      <c r="N54" s="1893">
        <f t="shared" ca="1" si="0"/>
        <v>45412</v>
      </c>
      <c r="O54" s="2594">
        <v>45378</v>
      </c>
    </row>
    <row r="55" spans="2:16" ht="13.9" x14ac:dyDescent="0.4">
      <c r="B55" s="2466">
        <f>IF('PROJECTED SCH. B'!A55=0,"",'PROJECTED SCH. B'!A55)</f>
        <v>47</v>
      </c>
      <c r="C55" s="2467" t="str">
        <f>IF('PROJECTED SCH. B'!B55=0,"",'PROJECTED SCH. B'!B55)</f>
        <v>General Stabilization Fund</v>
      </c>
      <c r="D55" s="2467">
        <f>IF('PROJECTED SCH. B'!C55=0,"",'PROJECTED SCH. B'!C55)</f>
        <v>25000</v>
      </c>
      <c r="E55" s="2467" t="str">
        <f>IF('PROJECTED SCH. B'!D55=0,"",'PROJECTED SCH. B'!D55)</f>
        <v/>
      </c>
      <c r="F55" s="2467">
        <f>IF('PROJECTED SCH. B'!E55=0,"",'PROJECTED SCH. B'!E55)</f>
        <v>25000</v>
      </c>
      <c r="G55" s="2467" t="str">
        <f>IF('PROJECTED SCH. B'!F55=0,"",'PROJECTED SCH. B'!F55)</f>
        <v/>
      </c>
      <c r="H55" s="2467" t="str">
        <f>IF('PROJECTED SCH. B'!G55=0,"",'PROJECTED SCH. B'!G55)</f>
        <v/>
      </c>
      <c r="I55" s="396"/>
      <c r="J55" s="396"/>
      <c r="K55" s="1891" t="s">
        <v>1294</v>
      </c>
      <c r="L55" s="2454" t="s">
        <v>1300</v>
      </c>
      <c r="M55" s="1894"/>
      <c r="N55" s="1893">
        <f t="shared" ca="1" si="0"/>
        <v>45412</v>
      </c>
      <c r="O55" s="2594">
        <v>45378</v>
      </c>
    </row>
    <row r="56" spans="2:16" ht="13.9" x14ac:dyDescent="0.4">
      <c r="B56" s="2466">
        <f>IF('PROJECTED SCH. B'!A56=0,"",'PROJECTED SCH. B'!A56)</f>
        <v>48</v>
      </c>
      <c r="C56" s="2467" t="str">
        <f>IF('PROJECTED SCH. B'!B56=0,"",'PROJECTED SCH. B'!B56)</f>
        <v xml:space="preserve">FREE CASH TO OFFSET THE TAX RATE  </v>
      </c>
      <c r="D56" s="2467" t="str">
        <f>IF('PROJECTED SCH. B'!C56=0,"",'PROJECTED SCH. B'!C56)</f>
        <v/>
      </c>
      <c r="E56" s="2467" t="str">
        <f>IF('PROJECTED SCH. B'!D56=0,"",'PROJECTED SCH. B'!D56)</f>
        <v/>
      </c>
      <c r="F56" s="2467" t="str">
        <f>IF('PROJECTED SCH. B'!E56=0,"",'PROJECTED SCH. B'!E56)</f>
        <v/>
      </c>
      <c r="G56" s="2467" t="str">
        <f>IF('PROJECTED SCH. B'!F56=0,"",'PROJECTED SCH. B'!F56)</f>
        <v/>
      </c>
      <c r="H56" s="2467" t="str">
        <f>IF('PROJECTED SCH. B'!G56=0,"",'PROJECTED SCH. B'!G56)</f>
        <v/>
      </c>
      <c r="I56" s="396"/>
      <c r="J56" s="409"/>
      <c r="K56" s="1891" t="s">
        <v>1294</v>
      </c>
      <c r="L56" s="2454" t="s">
        <v>1300</v>
      </c>
      <c r="M56" s="1894"/>
      <c r="N56" s="1893">
        <f t="shared" ca="1" si="0"/>
        <v>45412</v>
      </c>
      <c r="O56" s="2594">
        <v>45378</v>
      </c>
      <c r="P56">
        <v>305000</v>
      </c>
    </row>
    <row r="57" spans="2:16" x14ac:dyDescent="0.35">
      <c r="B57" s="2466" t="str">
        <f>IF('PROJECTED SCH. B'!A57=0,"",'PROJECTED SCH. B'!A57)</f>
        <v/>
      </c>
      <c r="C57" s="2467" t="str">
        <f>IF('PROJECTED SCH. B'!B57=0,"",'PROJECTED SCH. B'!B57)</f>
        <v/>
      </c>
      <c r="D57" s="1912"/>
      <c r="E57" s="1916"/>
      <c r="F57" s="1914"/>
      <c r="G57" s="1914"/>
      <c r="H57" s="1918"/>
      <c r="I57" s="396"/>
      <c r="J57" s="396"/>
      <c r="K57" s="396"/>
      <c r="L57" s="107"/>
      <c r="M57" s="107"/>
      <c r="N57" s="107"/>
    </row>
    <row r="58" spans="2:16" x14ac:dyDescent="0.35">
      <c r="B58" s="2466" t="str">
        <f>IF('PROJECTED SCH. B'!A58=0,"",'PROJECTED SCH. B'!A58)</f>
        <v/>
      </c>
      <c r="C58" s="2467" t="str">
        <f>IF('PROJECTED SCH. B'!B58=0,"",'PROJECTED SCH. B'!B58)</f>
        <v/>
      </c>
      <c r="D58" s="1912"/>
      <c r="F58" s="1919"/>
      <c r="G58" s="1914"/>
      <c r="H58" s="1920"/>
      <c r="I58" s="396"/>
      <c r="J58" s="396"/>
      <c r="K58" s="396"/>
      <c r="L58" s="107"/>
      <c r="M58" s="107"/>
      <c r="N58" s="107"/>
    </row>
    <row r="59" spans="2:16" x14ac:dyDescent="0.35">
      <c r="B59" s="2466" t="str">
        <f>IF('PROJECTED SCH. B'!A59=0,"",'PROJECTED SCH. B'!A59)</f>
        <v/>
      </c>
      <c r="C59" s="2467" t="str">
        <f>IF('PROJECTED SCH. B'!B59=0,"",'PROJECTED SCH. B'!B59)</f>
        <v/>
      </c>
      <c r="D59" s="1912"/>
      <c r="F59" s="1919"/>
      <c r="G59" s="1914"/>
      <c r="H59" s="1915"/>
      <c r="I59" s="396"/>
      <c r="J59" s="396"/>
      <c r="K59" s="396"/>
      <c r="L59" s="416"/>
      <c r="M59" s="416"/>
      <c r="N59" s="416"/>
    </row>
    <row r="60" spans="2:16" x14ac:dyDescent="0.35">
      <c r="B60" s="2466" t="str">
        <f>IF('PROJECTED SCH. B'!A60=0,"",'PROJECTED SCH. B'!A60)</f>
        <v/>
      </c>
      <c r="C60" s="2467" t="str">
        <f>IF('PROJECTED SCH. B'!B60=0,"",'PROJECTED SCH. B'!B60)</f>
        <v/>
      </c>
      <c r="D60" s="1912"/>
      <c r="E60" s="1916"/>
      <c r="F60" s="1919"/>
      <c r="G60" s="1914"/>
      <c r="H60" s="1915"/>
      <c r="I60" s="396"/>
      <c r="J60" s="396"/>
      <c r="K60" s="396"/>
      <c r="L60" s="107"/>
      <c r="M60" s="107"/>
      <c r="N60" s="107"/>
    </row>
    <row r="61" spans="2:16" x14ac:dyDescent="0.35">
      <c r="B61" s="2466" t="str">
        <f>IF('PROJECTED SCH. B'!A61=0,"",'PROJECTED SCH. B'!A61)</f>
        <v/>
      </c>
      <c r="C61" s="2467" t="str">
        <f>IF('PROJECTED SCH. B'!B61=0,"",'PROJECTED SCH. B'!B61)</f>
        <v/>
      </c>
      <c r="D61" s="1912"/>
      <c r="E61" s="1921"/>
      <c r="F61" s="1919"/>
      <c r="G61" s="1922"/>
      <c r="H61" s="1923"/>
      <c r="I61" s="396"/>
      <c r="J61" s="396"/>
      <c r="K61" s="396"/>
      <c r="L61" s="107"/>
      <c r="M61" s="107"/>
      <c r="N61" s="107"/>
    </row>
    <row r="62" spans="2:16" x14ac:dyDescent="0.35">
      <c r="B62" s="2466" t="str">
        <f>IF('PROJECTED SCH. B'!A62=0,"",'PROJECTED SCH. B'!A62)</f>
        <v/>
      </c>
      <c r="C62" s="2467" t="str">
        <f>IF('PROJECTED SCH. B'!B62=0,"",'PROJECTED SCH. B'!B62)</f>
        <v/>
      </c>
      <c r="D62" s="1924"/>
      <c r="E62" s="1924"/>
      <c r="F62" s="1924"/>
      <c r="G62" s="1924"/>
      <c r="H62" s="1924"/>
      <c r="I62" s="396"/>
      <c r="J62" s="396"/>
      <c r="K62" s="396"/>
      <c r="L62" s="107"/>
      <c r="M62" s="107"/>
      <c r="N62" s="107"/>
    </row>
    <row r="63" spans="2:16" ht="13.15" thickBot="1" x14ac:dyDescent="0.4">
      <c r="B63" s="2466" t="str">
        <f>IF('PROJECTED SCH. B'!A63=0,"",'PROJECTED SCH. B'!A63)</f>
        <v/>
      </c>
      <c r="C63" s="2467" t="str">
        <f>IF('PROJECTED SCH. B'!B63=0,"",'PROJECTED SCH. B'!B63)</f>
        <v/>
      </c>
      <c r="D63" s="1926"/>
      <c r="E63" s="1927"/>
      <c r="F63" s="1928"/>
      <c r="G63" s="1929"/>
      <c r="H63" s="1930"/>
      <c r="I63" s="396"/>
      <c r="J63" s="396"/>
      <c r="K63" s="396"/>
      <c r="L63" s="381"/>
      <c r="M63" s="381"/>
      <c r="N63" s="381"/>
    </row>
    <row r="64" spans="2:16" ht="13.15" thickBot="1" x14ac:dyDescent="0.4">
      <c r="B64" s="2466" t="str">
        <f>IF('PROJECTED SCH. B'!A64=0,"",'PROJECTED SCH. B'!A64)</f>
        <v/>
      </c>
      <c r="C64" s="2467" t="str">
        <f>IF('PROJECTED SCH. B'!B64=0,"",'PROJECTED SCH. B'!B64)</f>
        <v/>
      </c>
      <c r="D64" s="1926"/>
      <c r="E64" s="1932"/>
      <c r="F64" s="1933"/>
      <c r="G64" s="1926"/>
      <c r="H64" s="1932"/>
      <c r="I64" s="415"/>
      <c r="J64" s="382"/>
      <c r="K64" s="382"/>
      <c r="L64" s="112"/>
      <c r="M64" s="112"/>
      <c r="N64" s="112"/>
    </row>
    <row r="65" spans="2:14" x14ac:dyDescent="0.35">
      <c r="B65" s="2466" t="str">
        <f>IF('PROJECTED SCH. B'!A65=0,"",'PROJECTED SCH. B'!A65)</f>
        <v/>
      </c>
      <c r="C65" s="2467" t="str">
        <f>IF('PROJECTED SCH. B'!B65=0,"",'PROJECTED SCH. B'!B65)</f>
        <v>Subtotal ATM capital warrants:</v>
      </c>
      <c r="D65" s="1935"/>
      <c r="E65" s="1935"/>
      <c r="F65" s="1919"/>
      <c r="G65" s="1935"/>
      <c r="H65" s="1935"/>
      <c r="I65" s="106"/>
      <c r="J65" s="106"/>
      <c r="K65" s="106"/>
      <c r="L65" s="107"/>
      <c r="M65" s="107"/>
      <c r="N65" s="107"/>
    </row>
    <row r="66" spans="2:14" x14ac:dyDescent="0.35">
      <c r="B66" s="2466" t="str">
        <f>IF('PROJECTED SCH. B'!A66=0,"",'PROJECTED SCH. B'!A66)</f>
        <v/>
      </c>
      <c r="C66" s="2467" t="str">
        <f>IF('PROJECTED SCH. B'!B66=0,"",'PROJECTED SCH. B'!B66)</f>
        <v/>
      </c>
      <c r="D66" s="1937"/>
      <c r="E66" s="1935"/>
      <c r="F66" s="1919"/>
      <c r="G66" s="1935"/>
      <c r="H66" s="1935"/>
      <c r="I66" s="114"/>
      <c r="J66" s="114"/>
      <c r="K66" s="113"/>
      <c r="L66" s="115"/>
      <c r="M66" s="115"/>
      <c r="N66" s="115"/>
    </row>
    <row r="67" spans="2:14" x14ac:dyDescent="0.35">
      <c r="B67" s="2466" t="str">
        <f>IF('PROJECTED SCH. B'!A67=0,"",'PROJECTED SCH. B'!A67)</f>
        <v/>
      </c>
      <c r="C67" s="2467" t="str">
        <f>IF('PROJECTED SCH. B'!B67=0,"",'PROJECTED SCH. B'!B67)</f>
        <v xml:space="preserve">TOTAL ATM WARRANT </v>
      </c>
      <c r="D67" s="1935"/>
      <c r="E67" s="1935"/>
      <c r="F67" s="1919"/>
      <c r="G67" s="1935"/>
      <c r="H67" s="1935"/>
      <c r="I67" s="106"/>
      <c r="J67" s="106"/>
      <c r="K67" s="106"/>
      <c r="L67" s="115"/>
      <c r="M67" s="115"/>
      <c r="N67" s="115"/>
    </row>
    <row r="68" spans="2:14" x14ac:dyDescent="0.35">
      <c r="B68" s="2466" t="str">
        <f>IF('PROJECTED SCH. B'!A68=0,"",'PROJECTED SCH. B'!A68)</f>
        <v/>
      </c>
      <c r="C68" s="2467" t="str">
        <f>IF('PROJECTED SCH. B'!B68=0,"",'PROJECTED SCH. B'!B68)</f>
        <v>LESS ART. 3 OMNIBUS BUDGET &amp; MASCO</v>
      </c>
      <c r="D68" s="1940"/>
      <c r="E68" s="1935"/>
      <c r="F68" s="1919"/>
      <c r="G68" s="1935"/>
      <c r="H68" s="1935"/>
      <c r="I68" s="106"/>
      <c r="J68" s="106"/>
      <c r="K68" s="106"/>
      <c r="L68" s="107"/>
      <c r="M68" s="107"/>
      <c r="N68" s="107"/>
    </row>
    <row r="69" spans="2:14" x14ac:dyDescent="0.35">
      <c r="B69" s="2466" t="str">
        <f>IF('PROJECTED SCH. B'!A69=0,"",'PROJECTED SCH. B'!A69)</f>
        <v/>
      </c>
      <c r="C69" s="2467" t="str">
        <f>IF('PROJECTED SCH. B'!B69=0,"",'PROJECTED SCH. B'!B69)</f>
        <v>TOTAL OTHER ATM WARRANT ARTICLES</v>
      </c>
      <c r="D69" s="1940"/>
      <c r="E69" s="1935"/>
      <c r="F69" s="1919"/>
      <c r="G69" s="1941"/>
      <c r="H69" s="1935"/>
      <c r="I69" s="106"/>
      <c r="J69" s="106"/>
      <c r="K69" s="106"/>
      <c r="L69" s="107"/>
      <c r="M69" s="107"/>
      <c r="N69" s="107"/>
    </row>
    <row r="70" spans="2:14" x14ac:dyDescent="0.35">
      <c r="B70" s="2466" t="str">
        <f>IF('PROJECTED SCH. B'!A70=0,"",'PROJECTED SCH. B'!A70)</f>
        <v/>
      </c>
      <c r="C70" s="2467" t="str">
        <f>IF('PROJECTED SCH. B'!B70=0,"",'PROJECTED SCH. B'!B70)</f>
        <v xml:space="preserve"> SPECIAL TOWN MEETING </v>
      </c>
      <c r="D70" s="1912"/>
      <c r="E70" s="1935"/>
      <c r="F70" s="1942"/>
      <c r="G70" s="1943"/>
      <c r="H70" s="1935"/>
      <c r="I70" s="106"/>
      <c r="J70" s="106"/>
      <c r="K70" s="106"/>
      <c r="L70" s="417"/>
      <c r="M70" s="417"/>
      <c r="N70" s="417"/>
    </row>
    <row r="71" spans="2:14" x14ac:dyDescent="0.35">
      <c r="B71" s="2466">
        <f>IF('PROJECTED SCH. B'!A71=0,"",'PROJECTED SCH. B'!A71)</f>
        <v>2</v>
      </c>
      <c r="C71" s="2467" t="str">
        <f>IF('PROJECTED SCH. B'!B71=0,"",'PROJECTED SCH. B'!B71)</f>
        <v>PRIOR YEARS BILLS</v>
      </c>
      <c r="D71" s="1912"/>
      <c r="E71" s="1935"/>
      <c r="F71" s="1942"/>
      <c r="G71" s="1941"/>
      <c r="H71" s="1935"/>
      <c r="I71" s="106"/>
      <c r="J71" s="106"/>
      <c r="K71" s="106"/>
      <c r="L71" s="417"/>
      <c r="M71" s="417"/>
      <c r="N71" s="417"/>
    </row>
    <row r="72" spans="2:14" x14ac:dyDescent="0.35">
      <c r="B72" s="2466">
        <f>IF('PROJECTED SCH. B'!A72=0,"",'PROJECTED SCH. B'!A72)</f>
        <v>3</v>
      </c>
      <c r="C72" s="2467" t="str">
        <f>IF('PROJECTED SCH. B'!B72=0,"",'PROJECTED SCH. B'!B72)</f>
        <v xml:space="preserve">TRANSFER OF FUNDS </v>
      </c>
      <c r="D72" s="1912"/>
      <c r="E72" s="1921"/>
      <c r="G72" s="1941"/>
      <c r="H72" s="1935"/>
      <c r="I72" s="106"/>
      <c r="J72" s="106"/>
      <c r="K72" s="106"/>
      <c r="L72" s="417"/>
      <c r="M72" s="417"/>
      <c r="N72" s="417"/>
    </row>
    <row r="73" spans="2:14" x14ac:dyDescent="0.35">
      <c r="B73" s="2466">
        <f>IF('PROJECTED SCH. B'!A73=0,"",'PROJECTED SCH. B'!A73)</f>
        <v>4</v>
      </c>
      <c r="C73" s="2467" t="str">
        <f>IF('PROJECTED SCH. B'!B73=0,"",'PROJECTED SCH. B'!B73)</f>
        <v>Consultant for master plan</v>
      </c>
      <c r="D73" s="1912"/>
      <c r="E73" s="1921"/>
      <c r="F73" s="1922"/>
      <c r="G73" s="1941"/>
      <c r="H73" s="1935"/>
      <c r="I73" s="106"/>
      <c r="J73" s="106"/>
      <c r="K73" s="106"/>
      <c r="L73" s="417"/>
      <c r="M73" s="417"/>
      <c r="N73" s="417"/>
    </row>
    <row r="74" spans="2:14" x14ac:dyDescent="0.35">
      <c r="B74" s="2466">
        <f>IF('PROJECTED SCH. B'!A74=0,"",'PROJECTED SCH. B'!A74)</f>
        <v>5</v>
      </c>
      <c r="C74" s="2467" t="str">
        <f>IF('PROJECTED SCH. B'!B74=0,"",'PROJECTED SCH. B'!B74)</f>
        <v>POLICE CHIEF SEARCH PROCESS &amp; ASSESSMENT CENTER</v>
      </c>
      <c r="D74" s="1912"/>
      <c r="E74" s="1935"/>
      <c r="F74" s="1944"/>
      <c r="G74" s="1941"/>
      <c r="H74" s="1935"/>
      <c r="I74" s="106"/>
      <c r="J74" s="106"/>
      <c r="K74" s="106"/>
      <c r="L74" s="417"/>
      <c r="M74" s="417"/>
      <c r="N74" s="417"/>
    </row>
    <row r="75" spans="2:14" x14ac:dyDescent="0.35">
      <c r="B75" s="2466">
        <f>IF('PROJECTED SCH. B'!A75=0,"",'PROJECTED SCH. B'!A75)</f>
        <v>6</v>
      </c>
      <c r="C75" s="2467" t="str">
        <f>IF('PROJECTED SCH. B'!B75=0,"",'PROJECTED SCH. B'!B75)</f>
        <v>ELEMENTARY SCHOOLS SURVEILLANCE &amp; SECURITY SYSTEMS</v>
      </c>
      <c r="D75" s="1912"/>
      <c r="E75" s="1935"/>
      <c r="F75" s="1942"/>
      <c r="G75" s="1941"/>
      <c r="H75" s="1935"/>
      <c r="I75" s="106"/>
      <c r="J75" s="106"/>
      <c r="K75" s="106"/>
      <c r="L75" s="417"/>
      <c r="M75" s="417"/>
      <c r="N75" s="417"/>
    </row>
    <row r="76" spans="2:14" x14ac:dyDescent="0.35">
      <c r="B76" s="2466">
        <f>IF('PROJECTED SCH. B'!A76=0,"",'PROJECTED SCH. B'!A76)</f>
        <v>7</v>
      </c>
      <c r="C76" s="2467" t="str">
        <f>IF('PROJECTED SCH. B'!B76=0,"",'PROJECTED SCH. B'!B76)</f>
        <v xml:space="preserve">REVOKE SOLID WASTE ENTERPRISE FUND </v>
      </c>
      <c r="D76" s="1912"/>
      <c r="E76" s="1935"/>
      <c r="F76" s="1942"/>
      <c r="G76" s="1941"/>
      <c r="H76" s="1935"/>
      <c r="I76" s="106"/>
      <c r="J76" s="106"/>
      <c r="K76" s="106"/>
      <c r="L76" s="581"/>
      <c r="M76" s="581"/>
      <c r="N76" s="581"/>
    </row>
    <row r="77" spans="2:14" x14ac:dyDescent="0.35">
      <c r="B77" s="2466">
        <f>IF('PROJECTED SCH. B'!A77=0,"",'PROJECTED SCH. B'!A77)</f>
        <v>8</v>
      </c>
      <c r="C77" s="2467" t="str">
        <f>IF('PROJECTED SCH. B'!B77=0,"",'PROJECTED SCH. B'!B77)</f>
        <v xml:space="preserve">RESCIND PRIOR YEAR BOND AUTHORIZATION  </v>
      </c>
      <c r="D77" s="1912"/>
      <c r="E77" s="1935"/>
      <c r="F77" s="1942"/>
      <c r="G77" s="1941"/>
      <c r="H77" s="1935"/>
      <c r="I77" s="106"/>
      <c r="J77" s="106"/>
      <c r="K77" s="106"/>
      <c r="L77" s="417"/>
      <c r="M77" s="417"/>
      <c r="N77" s="417"/>
    </row>
    <row r="78" spans="2:14" x14ac:dyDescent="0.35">
      <c r="B78" s="2466">
        <f>IF('PROJECTED SCH. B'!A78=0,"",'PROJECTED SCH. B'!A78)</f>
        <v>9</v>
      </c>
      <c r="C78" s="2467" t="str">
        <f>IF('PROJECTED SCH. B'!B78=0,"",'PROJECTED SCH. B'!B78)</f>
        <v>ROAD REPAIRS TO PROSPECT STREET AND RIVER ROAD</v>
      </c>
      <c r="D78" s="1941"/>
      <c r="E78" s="1935"/>
      <c r="F78" s="1942"/>
      <c r="G78" s="1941"/>
      <c r="H78" s="1935"/>
      <c r="I78" s="106"/>
      <c r="J78" s="106"/>
      <c r="K78" s="106"/>
      <c r="L78" s="417"/>
      <c r="M78" s="417"/>
      <c r="N78" s="417"/>
    </row>
    <row r="79" spans="2:14" x14ac:dyDescent="0.35">
      <c r="B79" s="2466">
        <f>IF('PROJECTED SCH. B'!A79=0,"",'PROJECTED SCH. B'!A79)</f>
        <v>10</v>
      </c>
      <c r="C79" s="2467" t="str">
        <f>IF('PROJECTED SCH. B'!B79=0,"",'PROJECTED SCH. B'!B79)</f>
        <v>PEG Access</v>
      </c>
      <c r="D79" s="1945"/>
      <c r="E79" s="1935"/>
      <c r="F79" s="1919"/>
      <c r="G79" s="1935"/>
      <c r="H79" s="1935"/>
      <c r="I79" s="106"/>
      <c r="J79" s="106"/>
      <c r="K79" s="106"/>
      <c r="L79" s="107"/>
      <c r="M79" s="107"/>
      <c r="N79" s="107"/>
    </row>
    <row r="80" spans="2:14" ht="13.15" thickBot="1" x14ac:dyDescent="0.4">
      <c r="B80" s="2466">
        <f>IF('PROJECTED SCH. B'!A80=0,"",'PROJECTED SCH. B'!A80)</f>
        <v>11</v>
      </c>
      <c r="C80" s="2467" t="str">
        <f>IF('PROJECTED SCH. B'!B80=0,"",'PROJECTED SCH. B'!B80)</f>
        <v/>
      </c>
      <c r="D80" s="1937"/>
      <c r="E80" s="1947"/>
      <c r="F80" s="1947"/>
      <c r="G80" s="1947"/>
      <c r="H80" s="1947"/>
      <c r="I80" s="113"/>
      <c r="J80" s="113"/>
      <c r="K80" s="113"/>
      <c r="L80" s="107"/>
      <c r="M80" s="107"/>
      <c r="N80" s="107"/>
    </row>
    <row r="81" spans="2:14" ht="13.15" thickBot="1" x14ac:dyDescent="0.4">
      <c r="B81" s="2466" t="str">
        <f>IF('PROJECTED SCH. B'!A81=0,"",'PROJECTED SCH. B'!A81)</f>
        <v/>
      </c>
      <c r="C81" s="2467" t="str">
        <f>IF('PROJECTED SCH. B'!B81=0,"",'PROJECTED SCH. B'!B81)</f>
        <v/>
      </c>
      <c r="D81" s="1949"/>
      <c r="E81" s="1949"/>
      <c r="F81" s="1949"/>
      <c r="G81" s="1949"/>
      <c r="H81" s="1949"/>
      <c r="I81" s="121"/>
      <c r="J81" s="121"/>
      <c r="K81" s="121"/>
      <c r="L81" s="122"/>
      <c r="M81" s="122"/>
      <c r="N81" s="122"/>
    </row>
    <row r="82" spans="2:14" ht="13.15" thickBot="1" x14ac:dyDescent="0.4">
      <c r="B82" s="1907" t="str">
        <f>IF('PROJECTED SCH. B'!A82=0,"",'PROJECTED SCH. B'!A82)</f>
        <v/>
      </c>
      <c r="C82" s="1908" t="str">
        <f>IF('PROJECTED SCH. B'!B82=0,"",'PROJECTED SCH. B'!B82)</f>
        <v/>
      </c>
      <c r="E82" s="1951"/>
      <c r="F82" s="1917"/>
      <c r="G82" s="1917"/>
      <c r="H82" s="1917"/>
      <c r="I82" s="108"/>
      <c r="J82" s="108"/>
      <c r="L82" s="124"/>
    </row>
    <row r="83" spans="2:14" x14ac:dyDescent="0.35">
      <c r="B83" s="1907" t="str">
        <f>IF('PROJECTED SCH. B'!A83=0,"",'PROJECTED SCH. B'!A83)</f>
        <v/>
      </c>
      <c r="C83" s="1908" t="str">
        <f>IF('PROJECTED SCH. B'!B83=0,"",'PROJECTED SCH. B'!B83)</f>
        <v>TOTAL STM ARTICLES</v>
      </c>
      <c r="D83" s="1951"/>
      <c r="E83" s="1917"/>
      <c r="F83" s="1917"/>
      <c r="G83" s="1917"/>
      <c r="H83" s="1951"/>
      <c r="I83" s="125"/>
      <c r="J83" s="108"/>
    </row>
    <row r="84" spans="2:14" x14ac:dyDescent="0.35">
      <c r="B84" s="1950"/>
      <c r="C84" s="1950"/>
      <c r="D84" s="1952"/>
      <c r="E84" s="1917"/>
      <c r="F84" s="1917"/>
      <c r="G84" s="1917"/>
      <c r="H84" s="1952"/>
      <c r="I84" s="125"/>
      <c r="J84" s="125"/>
      <c r="K84" s="125"/>
    </row>
    <row r="85" spans="2:14" x14ac:dyDescent="0.35">
      <c r="B85" s="1950"/>
      <c r="C85" s="1950"/>
      <c r="D85" s="1951"/>
      <c r="E85" s="1917"/>
      <c r="F85" s="1917"/>
      <c r="G85" s="1951"/>
      <c r="H85" s="1951"/>
      <c r="I85" s="108"/>
      <c r="J85" s="125"/>
      <c r="K85" s="125"/>
      <c r="L85" s="125"/>
    </row>
    <row r="86" spans="2:14" x14ac:dyDescent="0.35">
      <c r="B86" s="1953"/>
      <c r="C86" s="1953"/>
      <c r="D86" s="1953"/>
      <c r="E86" s="1954"/>
      <c r="F86" s="1953"/>
      <c r="G86" s="1953"/>
      <c r="H86" s="1953"/>
      <c r="I86"/>
      <c r="J86" s="108"/>
      <c r="L86" s="125"/>
    </row>
    <row r="87" spans="2:14" x14ac:dyDescent="0.35">
      <c r="B87" s="1953"/>
      <c r="C87" s="1953"/>
      <c r="D87" s="1955"/>
      <c r="E87" s="1953"/>
      <c r="F87" s="1953"/>
      <c r="G87" s="1953"/>
      <c r="H87" s="1953"/>
      <c r="I87"/>
      <c r="J87"/>
      <c r="K87"/>
      <c r="L87"/>
    </row>
    <row r="88" spans="2:14" x14ac:dyDescent="0.35">
      <c r="B88" s="1955"/>
      <c r="C88" s="1955"/>
      <c r="D88" s="1953"/>
      <c r="E88" s="1953"/>
      <c r="F88" s="1953"/>
      <c r="G88" s="1953"/>
      <c r="H88" s="1953"/>
      <c r="I88"/>
      <c r="J88"/>
      <c r="K88"/>
      <c r="L88"/>
    </row>
    <row r="89" spans="2:14" x14ac:dyDescent="0.35">
      <c r="B89" s="1953"/>
      <c r="C89" s="1953"/>
      <c r="D89" s="1953"/>
      <c r="E89" s="1953"/>
      <c r="F89" s="1953"/>
      <c r="G89" s="1953"/>
      <c r="H89" s="1953"/>
      <c r="I89"/>
      <c r="J89"/>
      <c r="K89"/>
      <c r="L89"/>
    </row>
    <row r="90" spans="2:14" x14ac:dyDescent="0.35">
      <c r="B90" s="1953"/>
      <c r="C90" s="1953"/>
      <c r="D90" s="1953"/>
      <c r="E90" s="1953"/>
      <c r="F90" s="1953"/>
      <c r="G90" s="1953"/>
      <c r="H90" s="1953"/>
      <c r="I90"/>
      <c r="J90"/>
      <c r="K90"/>
      <c r="L90"/>
    </row>
    <row r="91" spans="2:14" x14ac:dyDescent="0.35">
      <c r="B91" s="1953"/>
      <c r="C91" s="1953"/>
      <c r="D91" s="1953"/>
      <c r="E91" s="1953"/>
      <c r="F91" s="1953"/>
      <c r="G91" s="1953"/>
      <c r="H91" s="1953"/>
      <c r="I91"/>
      <c r="J91"/>
      <c r="K91"/>
      <c r="L91"/>
    </row>
    <row r="92" spans="2:14" x14ac:dyDescent="0.35">
      <c r="B92" s="1953"/>
      <c r="C92" s="1953"/>
      <c r="D92" s="1953"/>
      <c r="E92" s="1953"/>
      <c r="F92" s="1953"/>
      <c r="G92" s="1953"/>
      <c r="H92" s="1953"/>
      <c r="I92"/>
      <c r="J92"/>
      <c r="K92"/>
      <c r="L92"/>
    </row>
    <row r="93" spans="2:14" x14ac:dyDescent="0.35">
      <c r="B93" s="1953"/>
      <c r="C93" s="1953"/>
      <c r="D93" s="1953"/>
      <c r="E93" s="1953"/>
      <c r="F93" s="1953"/>
      <c r="G93" s="1953"/>
      <c r="H93" s="1953"/>
      <c r="I93"/>
      <c r="J93"/>
      <c r="K93"/>
      <c r="L93"/>
    </row>
    <row r="94" spans="2:14" x14ac:dyDescent="0.35">
      <c r="B94" s="1953"/>
      <c r="C94" s="1953"/>
      <c r="D94" s="1953"/>
      <c r="E94" s="1953"/>
      <c r="F94" s="1953"/>
      <c r="G94" s="1953"/>
      <c r="H94" s="1953"/>
      <c r="I94"/>
      <c r="J94"/>
      <c r="K94"/>
      <c r="L94"/>
    </row>
    <row r="95" spans="2:14" x14ac:dyDescent="0.35">
      <c r="B95" s="1953"/>
      <c r="C95" s="1953"/>
      <c r="D95" s="1953"/>
      <c r="E95" s="1953"/>
      <c r="F95" s="1953"/>
      <c r="G95" s="1953"/>
      <c r="H95" s="1953"/>
      <c r="I95"/>
      <c r="J95"/>
      <c r="K95"/>
      <c r="L95"/>
    </row>
    <row r="96" spans="2:14" x14ac:dyDescent="0.35">
      <c r="B96" s="1953"/>
      <c r="C96" s="1953"/>
      <c r="D96" s="1953"/>
      <c r="E96" s="1953"/>
      <c r="F96" s="1953"/>
      <c r="G96" s="1953"/>
      <c r="H96" s="1953"/>
      <c r="I96"/>
      <c r="J96"/>
      <c r="K96"/>
      <c r="L96"/>
    </row>
    <row r="97" spans="2:12" x14ac:dyDescent="0.35">
      <c r="B97" s="1953"/>
      <c r="C97" s="1953"/>
      <c r="D97" s="1953"/>
      <c r="E97" s="1953"/>
      <c r="F97" s="1953"/>
      <c r="G97" s="1953"/>
      <c r="H97" s="1953"/>
      <c r="I97"/>
      <c r="J97"/>
      <c r="K97"/>
      <c r="L97"/>
    </row>
    <row r="98" spans="2:12" x14ac:dyDescent="0.35">
      <c r="B98" s="1953"/>
      <c r="C98" s="1953"/>
      <c r="D98" s="1953"/>
      <c r="E98" s="1953"/>
      <c r="F98" s="1953"/>
      <c r="G98" s="1953"/>
      <c r="H98" s="1953"/>
      <c r="I98"/>
      <c r="J98"/>
      <c r="K98"/>
      <c r="L98"/>
    </row>
    <row r="99" spans="2:12" x14ac:dyDescent="0.35">
      <c r="B99" s="1953"/>
      <c r="C99" s="1953"/>
      <c r="D99" s="1953"/>
      <c r="E99" s="1953"/>
      <c r="F99" s="1953"/>
      <c r="G99" s="1953"/>
      <c r="H99" s="1953"/>
      <c r="I99"/>
      <c r="J99"/>
      <c r="K99"/>
      <c r="L99"/>
    </row>
    <row r="100" spans="2:12" x14ac:dyDescent="0.35">
      <c r="B100" s="1953"/>
      <c r="C100" s="1953"/>
      <c r="D100" s="1953"/>
      <c r="E100" s="1953"/>
      <c r="F100" s="1953"/>
      <c r="G100" s="1953"/>
      <c r="H100" s="1953"/>
      <c r="I100"/>
      <c r="J100"/>
      <c r="K100"/>
      <c r="L100"/>
    </row>
    <row r="101" spans="2:12" x14ac:dyDescent="0.35">
      <c r="B101" s="1953"/>
      <c r="C101" s="1953"/>
      <c r="D101" s="1953"/>
      <c r="E101" s="1953"/>
      <c r="F101" s="1953"/>
      <c r="G101" s="1953"/>
      <c r="H101" s="1953"/>
      <c r="I101"/>
      <c r="J101"/>
      <c r="K101"/>
      <c r="L101"/>
    </row>
    <row r="102" spans="2:12" x14ac:dyDescent="0.35">
      <c r="B102" s="1953"/>
      <c r="C102" s="1953"/>
      <c r="D102" s="1953"/>
      <c r="E102" s="1953"/>
      <c r="F102" s="1953"/>
      <c r="G102" s="1953"/>
      <c r="H102" s="1953"/>
      <c r="I102"/>
      <c r="J102"/>
      <c r="K102"/>
      <c r="L102"/>
    </row>
    <row r="103" spans="2:12" x14ac:dyDescent="0.35">
      <c r="B103" s="1953"/>
      <c r="C103" s="1953"/>
      <c r="D103" s="1953"/>
      <c r="E103" s="1953"/>
      <c r="F103" s="1953"/>
      <c r="G103" s="1953"/>
      <c r="H103" s="1953"/>
      <c r="I103"/>
      <c r="J103"/>
      <c r="K103"/>
      <c r="L103"/>
    </row>
    <row r="104" spans="2:12" x14ac:dyDescent="0.35">
      <c r="B104" s="1953"/>
      <c r="C104" s="1953"/>
      <c r="D104" s="1953"/>
      <c r="E104" s="1953"/>
      <c r="F104" s="1953"/>
      <c r="G104" s="1953"/>
      <c r="H104" s="1953"/>
      <c r="I104"/>
      <c r="J104"/>
      <c r="K104"/>
      <c r="L104"/>
    </row>
    <row r="105" spans="2:12" x14ac:dyDescent="0.35">
      <c r="B105" s="1953"/>
      <c r="C105" s="1953"/>
      <c r="D105" s="1953"/>
      <c r="E105" s="1953"/>
      <c r="F105" s="1953"/>
      <c r="G105" s="1953"/>
      <c r="H105" s="1953"/>
      <c r="I105"/>
      <c r="J105"/>
      <c r="K105"/>
      <c r="L105"/>
    </row>
    <row r="106" spans="2:12" x14ac:dyDescent="0.35">
      <c r="B106" s="1953"/>
      <c r="C106" s="1953"/>
      <c r="D106" s="1953"/>
      <c r="E106" s="1953"/>
      <c r="F106" s="1953"/>
      <c r="G106" s="1953"/>
      <c r="H106" s="1953"/>
      <c r="I106"/>
      <c r="J106"/>
      <c r="K106"/>
      <c r="L106"/>
    </row>
    <row r="107" spans="2:12" x14ac:dyDescent="0.35">
      <c r="B107" s="1953"/>
      <c r="C107" s="1953"/>
      <c r="D107" s="1953"/>
      <c r="E107" s="1953"/>
      <c r="F107" s="1953"/>
      <c r="G107" s="1953"/>
      <c r="H107" s="1953"/>
      <c r="I107"/>
      <c r="J107"/>
      <c r="K107"/>
      <c r="L107"/>
    </row>
    <row r="108" spans="2:12" x14ac:dyDescent="0.35">
      <c r="B108" s="1953"/>
      <c r="C108" s="1953"/>
      <c r="D108" s="1953"/>
      <c r="E108" s="1953"/>
      <c r="F108" s="1953"/>
      <c r="G108" s="1953"/>
      <c r="H108" s="1953"/>
      <c r="I108"/>
      <c r="J108"/>
      <c r="K108"/>
      <c r="L108"/>
    </row>
    <row r="109" spans="2:12" x14ac:dyDescent="0.35">
      <c r="B109" s="1953"/>
      <c r="C109" s="1953"/>
      <c r="D109" s="1953"/>
      <c r="E109" s="1953"/>
      <c r="F109" s="1953"/>
      <c r="G109" s="1953"/>
      <c r="H109" s="1953"/>
      <c r="I109"/>
      <c r="J109"/>
      <c r="K109"/>
      <c r="L109"/>
    </row>
    <row r="110" spans="2:12" x14ac:dyDescent="0.35">
      <c r="B110" s="1953"/>
      <c r="C110" s="1953"/>
      <c r="D110" s="1953"/>
      <c r="E110" s="1953"/>
      <c r="F110" s="1953"/>
      <c r="G110" s="1953"/>
      <c r="H110" s="1953"/>
      <c r="I110"/>
      <c r="J110"/>
      <c r="K110"/>
      <c r="L110"/>
    </row>
    <row r="111" spans="2:12" x14ac:dyDescent="0.35">
      <c r="B111" s="1953"/>
      <c r="C111" s="1953"/>
      <c r="D111" s="1953"/>
      <c r="E111" s="1953"/>
      <c r="F111" s="1953"/>
      <c r="G111" s="1953"/>
      <c r="H111" s="1953"/>
      <c r="I111"/>
      <c r="J111"/>
      <c r="K111"/>
      <c r="L111"/>
    </row>
    <row r="112" spans="2:12" x14ac:dyDescent="0.35">
      <c r="B112" s="1953"/>
      <c r="C112" s="1953"/>
      <c r="D112" s="1953"/>
      <c r="E112" s="1953"/>
      <c r="F112" s="1953"/>
      <c r="G112" s="1953"/>
      <c r="H112" s="1953"/>
      <c r="I112"/>
      <c r="J112"/>
      <c r="K112"/>
      <c r="L112"/>
    </row>
    <row r="113" spans="2:12" x14ac:dyDescent="0.35">
      <c r="B113" s="1953"/>
      <c r="C113" s="1953"/>
      <c r="D113" s="1953"/>
      <c r="E113" s="1953"/>
      <c r="F113" s="1953"/>
      <c r="G113" s="1953"/>
      <c r="H113" s="1953"/>
      <c r="I113"/>
      <c r="J113"/>
      <c r="K113"/>
      <c r="L113"/>
    </row>
    <row r="114" spans="2:12" x14ac:dyDescent="0.35">
      <c r="B114" s="1953"/>
      <c r="C114" s="1953"/>
      <c r="D114" s="1953"/>
      <c r="E114" s="1953"/>
      <c r="F114" s="1953"/>
      <c r="G114" s="1953"/>
      <c r="H114" s="1953"/>
      <c r="I114"/>
      <c r="J114"/>
      <c r="K114"/>
      <c r="L114"/>
    </row>
    <row r="115" spans="2:12" x14ac:dyDescent="0.35">
      <c r="B115" s="1953"/>
      <c r="C115" s="1953"/>
      <c r="D115" s="1953"/>
      <c r="E115" s="1953"/>
      <c r="F115" s="1953"/>
      <c r="G115" s="1953"/>
      <c r="H115" s="1953"/>
      <c r="I115"/>
      <c r="J115"/>
      <c r="K115"/>
      <c r="L115"/>
    </row>
    <row r="116" spans="2:12" x14ac:dyDescent="0.35">
      <c r="B116" s="1953"/>
      <c r="C116" s="1953"/>
      <c r="D116" s="1953"/>
      <c r="E116" s="1953"/>
      <c r="F116" s="1953"/>
      <c r="G116" s="1953"/>
      <c r="H116" s="1953"/>
      <c r="I116"/>
      <c r="J116"/>
      <c r="K116"/>
      <c r="L116"/>
    </row>
    <row r="117" spans="2:12" x14ac:dyDescent="0.35">
      <c r="B117" s="1953"/>
      <c r="C117" s="1953"/>
      <c r="D117" s="1953"/>
      <c r="E117" s="1953"/>
      <c r="F117" s="1953"/>
      <c r="G117" s="1953"/>
      <c r="H117" s="1953"/>
      <c r="I117"/>
      <c r="J117"/>
      <c r="K117"/>
      <c r="L117"/>
    </row>
    <row r="118" spans="2:12" x14ac:dyDescent="0.35">
      <c r="B118" s="1953"/>
      <c r="C118" s="1953"/>
      <c r="D118" s="1953"/>
      <c r="E118" s="1953"/>
      <c r="F118" s="1953"/>
      <c r="G118" s="1953"/>
      <c r="H118" s="1953"/>
      <c r="I118"/>
      <c r="J118"/>
      <c r="K118"/>
      <c r="L118"/>
    </row>
    <row r="119" spans="2:12" x14ac:dyDescent="0.35">
      <c r="B119" s="1953"/>
      <c r="C119" s="1953"/>
      <c r="D119" s="1953"/>
      <c r="E119" s="1953"/>
      <c r="F119" s="1953"/>
      <c r="G119" s="1953"/>
      <c r="H119" s="1953"/>
      <c r="I119"/>
      <c r="J119"/>
      <c r="K119"/>
      <c r="L119"/>
    </row>
    <row r="120" spans="2:12" x14ac:dyDescent="0.35">
      <c r="B120" s="1953"/>
      <c r="C120" s="1953"/>
      <c r="D120" s="1953"/>
      <c r="E120" s="1953"/>
      <c r="F120" s="1953"/>
      <c r="G120" s="1953"/>
      <c r="H120" s="1953"/>
      <c r="I120"/>
      <c r="J120"/>
      <c r="K120"/>
      <c r="L120"/>
    </row>
    <row r="121" spans="2:12" x14ac:dyDescent="0.35">
      <c r="B121" s="1953"/>
      <c r="C121" s="1953"/>
      <c r="D121" s="1953"/>
      <c r="E121" s="1953"/>
      <c r="F121" s="1953"/>
      <c r="G121" s="1953"/>
      <c r="H121" s="1953"/>
      <c r="I121"/>
      <c r="J121"/>
      <c r="K121"/>
      <c r="L121"/>
    </row>
    <row r="122" spans="2:12" x14ac:dyDescent="0.35">
      <c r="B122" s="1953"/>
      <c r="C122" s="1953"/>
      <c r="D122" s="1953"/>
      <c r="E122" s="1953"/>
      <c r="F122" s="1953"/>
      <c r="G122" s="1953"/>
      <c r="H122" s="1953"/>
      <c r="I122"/>
      <c r="J122"/>
      <c r="K122"/>
      <c r="L122"/>
    </row>
    <row r="123" spans="2:12" x14ac:dyDescent="0.35">
      <c r="B123" s="1953"/>
      <c r="C123" s="1953"/>
      <c r="D123" s="1953"/>
      <c r="E123" s="1953"/>
      <c r="F123" s="1953"/>
      <c r="G123" s="1953"/>
      <c r="H123" s="1953"/>
      <c r="I123"/>
      <c r="J123"/>
      <c r="K123"/>
      <c r="L123"/>
    </row>
    <row r="124" spans="2:12" x14ac:dyDescent="0.35">
      <c r="B124" s="1953"/>
      <c r="C124" s="1953"/>
      <c r="D124" s="1953"/>
      <c r="E124" s="1953"/>
      <c r="F124" s="1953"/>
      <c r="G124" s="1953"/>
      <c r="H124" s="1953"/>
      <c r="I124"/>
      <c r="J124"/>
      <c r="K124"/>
      <c r="L124"/>
    </row>
    <row r="125" spans="2:12" x14ac:dyDescent="0.35">
      <c r="B125" s="1953"/>
      <c r="C125" s="1953"/>
      <c r="D125" s="1953"/>
      <c r="E125" s="1953"/>
      <c r="F125" s="1953"/>
      <c r="G125" s="1953"/>
      <c r="H125" s="1953"/>
      <c r="I125"/>
      <c r="J125"/>
      <c r="K125"/>
      <c r="L125"/>
    </row>
    <row r="126" spans="2:12" x14ac:dyDescent="0.35">
      <c r="B126" s="1953"/>
      <c r="C126" s="1953"/>
      <c r="D126" s="1953"/>
      <c r="E126" s="1953"/>
      <c r="F126" s="1953"/>
      <c r="G126" s="1953"/>
      <c r="H126" s="1953"/>
      <c r="I126"/>
      <c r="J126"/>
      <c r="K126"/>
      <c r="L126"/>
    </row>
    <row r="127" spans="2:12" x14ac:dyDescent="0.35">
      <c r="B127" s="1953"/>
      <c r="C127" s="1953"/>
      <c r="D127" s="1953"/>
      <c r="E127" s="1953"/>
      <c r="F127" s="1953"/>
      <c r="G127" s="1953"/>
      <c r="H127" s="1953"/>
      <c r="I127"/>
      <c r="J127"/>
      <c r="K127"/>
      <c r="L127"/>
    </row>
    <row r="128" spans="2:12" x14ac:dyDescent="0.35">
      <c r="B128" s="1953"/>
      <c r="C128" s="1953"/>
      <c r="D128" s="1953"/>
      <c r="E128" s="1953"/>
      <c r="F128" s="1953"/>
      <c r="G128" s="1953"/>
      <c r="H128" s="1953"/>
      <c r="I128"/>
      <c r="J128"/>
      <c r="K128"/>
      <c r="L128"/>
    </row>
    <row r="129" spans="2:12" x14ac:dyDescent="0.35">
      <c r="B129" s="1953"/>
      <c r="C129" s="1953"/>
      <c r="D129" s="1953"/>
      <c r="E129" s="1953"/>
      <c r="F129" s="1953"/>
      <c r="G129" s="1953"/>
      <c r="H129" s="1953"/>
      <c r="I129"/>
      <c r="J129"/>
      <c r="K129"/>
      <c r="L129"/>
    </row>
    <row r="130" spans="2:12" x14ac:dyDescent="0.35">
      <c r="B130" s="1953"/>
      <c r="C130" s="1953"/>
      <c r="D130" s="1953"/>
      <c r="E130" s="1953"/>
      <c r="F130" s="1953"/>
      <c r="G130" s="1953"/>
      <c r="H130" s="1953"/>
      <c r="I130"/>
      <c r="J130"/>
      <c r="K130"/>
      <c r="L130"/>
    </row>
    <row r="131" spans="2:12" x14ac:dyDescent="0.35">
      <c r="B131" s="1953"/>
      <c r="C131" s="1953"/>
      <c r="D131" s="1953"/>
      <c r="E131" s="1953"/>
      <c r="F131" s="1953"/>
      <c r="G131" s="1953"/>
      <c r="H131" s="1953"/>
      <c r="I131"/>
      <c r="J131"/>
      <c r="K131"/>
      <c r="L131"/>
    </row>
    <row r="132" spans="2:12" x14ac:dyDescent="0.35">
      <c r="B132" s="1953"/>
      <c r="C132" s="1953"/>
      <c r="D132" s="1953"/>
      <c r="E132" s="1953"/>
      <c r="F132" s="1953"/>
      <c r="G132" s="1953"/>
      <c r="H132" s="1953"/>
      <c r="I132"/>
      <c r="J132"/>
      <c r="K132"/>
      <c r="L132"/>
    </row>
    <row r="133" spans="2:12" x14ac:dyDescent="0.35">
      <c r="B133" s="1953"/>
      <c r="C133" s="1953"/>
      <c r="D133" s="1953"/>
      <c r="E133" s="1953"/>
      <c r="F133" s="1953"/>
      <c r="G133" s="1953"/>
      <c r="H133" s="1953"/>
      <c r="I133"/>
      <c r="J133"/>
      <c r="K133"/>
      <c r="L133"/>
    </row>
    <row r="134" spans="2:12" x14ac:dyDescent="0.35">
      <c r="B134" s="1953"/>
      <c r="C134" s="1953"/>
      <c r="D134" s="1953"/>
      <c r="E134" s="1953"/>
      <c r="F134" s="1953"/>
      <c r="G134" s="1953"/>
      <c r="H134" s="1953"/>
      <c r="I134"/>
      <c r="J134"/>
      <c r="K134"/>
      <c r="L134"/>
    </row>
    <row r="135" spans="2:12" x14ac:dyDescent="0.35">
      <c r="B135" s="1953"/>
      <c r="C135" s="1953"/>
      <c r="D135" s="1953"/>
      <c r="E135" s="1953"/>
      <c r="F135" s="1953"/>
      <c r="G135" s="1953"/>
      <c r="H135" s="1953"/>
      <c r="I135"/>
      <c r="J135"/>
      <c r="K135"/>
      <c r="L135"/>
    </row>
    <row r="136" spans="2:12" x14ac:dyDescent="0.35">
      <c r="B136" s="1953"/>
      <c r="C136" s="1953"/>
      <c r="D136" s="1953"/>
      <c r="E136" s="1953"/>
      <c r="F136" s="1953"/>
      <c r="G136" s="1953"/>
      <c r="H136" s="1953"/>
      <c r="I136"/>
      <c r="J136"/>
      <c r="K136"/>
      <c r="L136"/>
    </row>
    <row r="137" spans="2:12" x14ac:dyDescent="0.35">
      <c r="B137" s="1953"/>
      <c r="C137" s="1953"/>
      <c r="D137" s="1953"/>
      <c r="E137" s="1953"/>
      <c r="F137" s="1953"/>
      <c r="G137" s="1953"/>
      <c r="H137" s="1953"/>
      <c r="I137"/>
      <c r="J137"/>
      <c r="K137"/>
      <c r="L137"/>
    </row>
    <row r="138" spans="2:12" x14ac:dyDescent="0.35">
      <c r="B138" s="1953"/>
      <c r="C138" s="1953"/>
      <c r="D138" s="1953"/>
      <c r="E138" s="1953"/>
      <c r="F138" s="1953"/>
      <c r="G138" s="1953"/>
      <c r="H138" s="1953"/>
      <c r="I138"/>
      <c r="J138"/>
      <c r="K138"/>
      <c r="L138"/>
    </row>
    <row r="139" spans="2:12" x14ac:dyDescent="0.35">
      <c r="B139" s="1953"/>
      <c r="C139" s="1953"/>
      <c r="D139" s="1953"/>
      <c r="E139" s="1953"/>
      <c r="F139" s="1953"/>
      <c r="G139" s="1953"/>
      <c r="H139" s="1953"/>
      <c r="I139"/>
      <c r="J139"/>
      <c r="K139"/>
      <c r="L139"/>
    </row>
    <row r="140" spans="2:12" x14ac:dyDescent="0.35">
      <c r="B140" s="1953"/>
      <c r="C140" s="1953"/>
      <c r="D140" s="1953"/>
      <c r="E140" s="1953"/>
      <c r="F140" s="1953"/>
      <c r="G140" s="1953"/>
      <c r="H140" s="1953"/>
      <c r="I140"/>
      <c r="J140"/>
      <c r="K140"/>
      <c r="L140"/>
    </row>
    <row r="141" spans="2:12" x14ac:dyDescent="0.35">
      <c r="B141" s="1953"/>
      <c r="C141" s="1953"/>
      <c r="D141" s="1953"/>
      <c r="E141" s="1953"/>
      <c r="F141" s="1953"/>
      <c r="G141" s="1953"/>
      <c r="H141" s="1953"/>
      <c r="I141"/>
      <c r="J141"/>
      <c r="K141"/>
      <c r="L141"/>
    </row>
    <row r="142" spans="2:12" x14ac:dyDescent="0.35">
      <c r="B142" s="1953"/>
      <c r="C142" s="1953"/>
      <c r="D142" s="1953"/>
      <c r="E142" s="1953"/>
      <c r="F142" s="1953"/>
      <c r="G142" s="1953"/>
      <c r="H142" s="1953"/>
      <c r="I142"/>
      <c r="J142"/>
      <c r="K142"/>
      <c r="L142"/>
    </row>
    <row r="143" spans="2:12" x14ac:dyDescent="0.35">
      <c r="B143" s="1953"/>
      <c r="C143" s="1953"/>
      <c r="D143" s="1953"/>
      <c r="E143" s="1953"/>
      <c r="F143" s="1953"/>
      <c r="G143" s="1953"/>
      <c r="H143" s="1953"/>
      <c r="I143"/>
      <c r="J143"/>
      <c r="K143"/>
      <c r="L143"/>
    </row>
    <row r="144" spans="2:12" x14ac:dyDescent="0.35">
      <c r="B144" s="1953"/>
      <c r="C144" s="1953"/>
      <c r="D144" s="1953"/>
      <c r="E144" s="1953"/>
      <c r="F144" s="1953"/>
      <c r="G144" s="1953"/>
      <c r="H144" s="1953"/>
      <c r="I144"/>
      <c r="J144"/>
      <c r="K144"/>
      <c r="L144"/>
    </row>
    <row r="145" spans="2:12" x14ac:dyDescent="0.35">
      <c r="B145" s="1953"/>
      <c r="C145" s="1953"/>
      <c r="D145" s="1953"/>
      <c r="E145" s="1953"/>
      <c r="F145" s="1953"/>
      <c r="G145" s="1953"/>
      <c r="H145" s="1953"/>
      <c r="I145"/>
      <c r="J145"/>
      <c r="K145"/>
      <c r="L145"/>
    </row>
    <row r="146" spans="2:12" x14ac:dyDescent="0.35">
      <c r="B146" s="1953"/>
      <c r="C146" s="1953"/>
      <c r="D146" s="1953"/>
      <c r="E146" s="1953"/>
      <c r="F146" s="1953"/>
      <c r="G146" s="1953"/>
      <c r="H146" s="1953"/>
      <c r="I146"/>
      <c r="J146"/>
      <c r="K146"/>
      <c r="L146"/>
    </row>
    <row r="147" spans="2:12" x14ac:dyDescent="0.35">
      <c r="B147" s="1953"/>
      <c r="C147" s="1953"/>
      <c r="D147" s="1953"/>
      <c r="E147" s="1953"/>
      <c r="F147" s="1953"/>
      <c r="G147" s="1953"/>
      <c r="H147" s="1953"/>
      <c r="I147"/>
      <c r="J147"/>
      <c r="K147"/>
      <c r="L147"/>
    </row>
    <row r="148" spans="2:12" x14ac:dyDescent="0.35">
      <c r="B148" s="1953"/>
      <c r="C148" s="1953"/>
      <c r="D148" s="1953"/>
      <c r="E148" s="1953"/>
      <c r="F148" s="1953"/>
      <c r="G148" s="1953"/>
      <c r="H148" s="1953"/>
      <c r="I148"/>
      <c r="J148"/>
      <c r="K148"/>
      <c r="L148"/>
    </row>
    <row r="149" spans="2:12" x14ac:dyDescent="0.35">
      <c r="B149" s="1953"/>
      <c r="C149" s="1953"/>
      <c r="D149" s="1953"/>
      <c r="E149" s="1953"/>
      <c r="F149" s="1953"/>
      <c r="G149" s="1953"/>
      <c r="H149" s="1953"/>
      <c r="I149"/>
      <c r="J149"/>
      <c r="K149"/>
      <c r="L149"/>
    </row>
    <row r="150" spans="2:12" x14ac:dyDescent="0.35">
      <c r="B150" s="1953"/>
      <c r="C150" s="1953"/>
      <c r="D150" s="1953"/>
      <c r="E150" s="1953"/>
      <c r="F150" s="1953"/>
      <c r="G150" s="1953"/>
      <c r="H150" s="1953"/>
      <c r="I150"/>
      <c r="J150"/>
      <c r="K150"/>
      <c r="L150"/>
    </row>
    <row r="151" spans="2:12" x14ac:dyDescent="0.35">
      <c r="B151" s="1953"/>
      <c r="C151" s="1953"/>
      <c r="D151" s="1953"/>
      <c r="E151" s="1953"/>
      <c r="F151" s="1953"/>
      <c r="G151" s="1953"/>
      <c r="H151" s="1953"/>
      <c r="I151"/>
      <c r="J151"/>
      <c r="K151"/>
      <c r="L151"/>
    </row>
    <row r="152" spans="2:12" x14ac:dyDescent="0.35">
      <c r="B152" s="1953"/>
      <c r="C152" s="1953"/>
      <c r="D152" s="1953"/>
      <c r="E152" s="1953"/>
      <c r="F152" s="1953"/>
      <c r="G152" s="1953"/>
      <c r="H152" s="1953"/>
      <c r="I152"/>
      <c r="J152"/>
      <c r="K152"/>
      <c r="L152"/>
    </row>
    <row r="153" spans="2:12" x14ac:dyDescent="0.35">
      <c r="B153" s="1953"/>
      <c r="C153" s="1953"/>
      <c r="D153" s="1953"/>
      <c r="E153" s="1953"/>
      <c r="F153" s="1953"/>
      <c r="G153" s="1953"/>
      <c r="H153" s="1953"/>
      <c r="I153"/>
      <c r="J153"/>
      <c r="K153"/>
      <c r="L153"/>
    </row>
    <row r="154" spans="2:12" x14ac:dyDescent="0.35">
      <c r="B154" s="1953"/>
      <c r="C154" s="1953"/>
      <c r="D154" s="1953"/>
      <c r="E154" s="1953"/>
      <c r="F154" s="1953"/>
      <c r="G154" s="1953"/>
      <c r="H154" s="1953"/>
      <c r="I154"/>
      <c r="J154"/>
      <c r="K154"/>
      <c r="L154"/>
    </row>
    <row r="155" spans="2:12" x14ac:dyDescent="0.35">
      <c r="B155" s="1953"/>
      <c r="C155" s="1953"/>
      <c r="D155" s="1953"/>
      <c r="E155" s="1953"/>
      <c r="F155" s="1953"/>
      <c r="G155" s="1953"/>
      <c r="H155" s="1953"/>
      <c r="I155"/>
      <c r="J155"/>
      <c r="K155"/>
      <c r="L155"/>
    </row>
    <row r="156" spans="2:12" x14ac:dyDescent="0.35">
      <c r="B156" s="1953"/>
      <c r="C156" s="1953"/>
      <c r="D156" s="1953"/>
      <c r="E156" s="1953"/>
      <c r="F156" s="1953"/>
      <c r="G156" s="1953"/>
      <c r="H156" s="1953"/>
      <c r="I156"/>
      <c r="J156"/>
      <c r="K156"/>
      <c r="L156"/>
    </row>
    <row r="157" spans="2:12" x14ac:dyDescent="0.35">
      <c r="B157" s="1953"/>
      <c r="C157" s="1953"/>
      <c r="D157" s="1953"/>
      <c r="E157" s="1953"/>
      <c r="F157" s="1953"/>
      <c r="G157" s="1953"/>
      <c r="H157" s="1953"/>
      <c r="I157"/>
      <c r="J157"/>
      <c r="K157"/>
      <c r="L157"/>
    </row>
    <row r="158" spans="2:12" x14ac:dyDescent="0.35">
      <c r="B158" s="1953"/>
      <c r="C158" s="1953"/>
      <c r="D158" s="1953"/>
      <c r="E158" s="1953"/>
      <c r="F158" s="1953"/>
      <c r="G158" s="1953"/>
      <c r="H158" s="1953"/>
      <c r="I158"/>
      <c r="J158"/>
      <c r="K158"/>
      <c r="L158"/>
    </row>
    <row r="159" spans="2:12" x14ac:dyDescent="0.35">
      <c r="B159" s="1953"/>
      <c r="C159" s="1953"/>
      <c r="D159" s="1953"/>
      <c r="E159" s="1953"/>
      <c r="F159" s="1953"/>
      <c r="G159" s="1953"/>
      <c r="H159" s="1953"/>
      <c r="I159"/>
      <c r="J159"/>
      <c r="K159"/>
      <c r="L159"/>
    </row>
    <row r="160" spans="2:12" x14ac:dyDescent="0.35">
      <c r="B160" s="1953"/>
      <c r="C160" s="1953"/>
      <c r="D160" s="1953"/>
      <c r="E160" s="1953"/>
      <c r="F160" s="1953"/>
      <c r="G160" s="1953"/>
      <c r="H160" s="1953"/>
      <c r="I160"/>
      <c r="J160"/>
      <c r="K160"/>
      <c r="L160"/>
    </row>
    <row r="161" spans="2:12" x14ac:dyDescent="0.35">
      <c r="B161" s="1953"/>
      <c r="C161" s="1953"/>
      <c r="D161" s="1953"/>
      <c r="E161" s="1953"/>
      <c r="F161" s="1953"/>
      <c r="G161" s="1953"/>
      <c r="H161" s="1953"/>
      <c r="I161"/>
      <c r="J161"/>
      <c r="K161"/>
      <c r="L161"/>
    </row>
    <row r="162" spans="2:12" x14ac:dyDescent="0.35">
      <c r="B162" s="1953"/>
      <c r="C162" s="1953"/>
      <c r="D162" s="1953"/>
      <c r="E162" s="1953"/>
      <c r="F162" s="1953"/>
      <c r="G162" s="1953"/>
      <c r="H162" s="1953"/>
      <c r="I162"/>
      <c r="J162"/>
      <c r="K162"/>
      <c r="L162"/>
    </row>
    <row r="163" spans="2:12" x14ac:dyDescent="0.35">
      <c r="B163" s="1953"/>
      <c r="C163" s="1953"/>
      <c r="D163" s="1953"/>
      <c r="E163" s="1953"/>
      <c r="F163" s="1953"/>
      <c r="G163" s="1953"/>
      <c r="H163" s="1953"/>
      <c r="I163"/>
      <c r="J163"/>
      <c r="K163"/>
      <c r="L163"/>
    </row>
    <row r="164" spans="2:12" x14ac:dyDescent="0.35">
      <c r="B164" s="1953"/>
      <c r="C164" s="1953"/>
      <c r="D164" s="1953"/>
      <c r="E164" s="1953"/>
      <c r="F164" s="1953"/>
      <c r="G164" s="1953"/>
      <c r="H164" s="1953"/>
      <c r="I164"/>
      <c r="J164"/>
      <c r="K164"/>
      <c r="L164"/>
    </row>
    <row r="165" spans="2:12" x14ac:dyDescent="0.35">
      <c r="B165" s="1953"/>
      <c r="C165" s="1953"/>
      <c r="D165" s="1953"/>
      <c r="E165" s="1953"/>
      <c r="F165" s="1953"/>
      <c r="G165" s="1953"/>
      <c r="H165" s="1953"/>
      <c r="I165"/>
      <c r="J165"/>
      <c r="K165"/>
      <c r="L165"/>
    </row>
    <row r="166" spans="2:12" x14ac:dyDescent="0.35">
      <c r="B166" s="1953"/>
      <c r="C166" s="1953"/>
      <c r="D166" s="1953"/>
      <c r="E166" s="1953"/>
      <c r="F166" s="1953"/>
      <c r="G166" s="1953"/>
      <c r="H166" s="1953"/>
      <c r="I166"/>
      <c r="J166"/>
      <c r="K166"/>
      <c r="L166"/>
    </row>
    <row r="167" spans="2:12" x14ac:dyDescent="0.35">
      <c r="B167" s="1953"/>
      <c r="C167" s="1953"/>
      <c r="D167" s="1953"/>
      <c r="E167" s="1953"/>
      <c r="F167" s="1953"/>
      <c r="G167" s="1953"/>
      <c r="H167" s="1953"/>
      <c r="I167"/>
      <c r="J167"/>
      <c r="K167"/>
      <c r="L167"/>
    </row>
    <row r="168" spans="2:12" x14ac:dyDescent="0.35">
      <c r="B168" s="1953"/>
      <c r="C168" s="1953"/>
      <c r="D168" s="1953"/>
      <c r="E168" s="1953"/>
      <c r="F168" s="1953"/>
      <c r="G168" s="1953"/>
      <c r="H168" s="1953"/>
      <c r="I168"/>
      <c r="J168"/>
      <c r="K168"/>
      <c r="L168"/>
    </row>
    <row r="169" spans="2:12" x14ac:dyDescent="0.35">
      <c r="B169" s="1953"/>
      <c r="C169" s="1953"/>
      <c r="D169" s="1953"/>
      <c r="E169" s="1953"/>
      <c r="F169" s="1953"/>
      <c r="G169" s="1953"/>
      <c r="H169" s="1953"/>
      <c r="I169"/>
      <c r="J169"/>
      <c r="K169"/>
      <c r="L169"/>
    </row>
    <row r="170" spans="2:12" x14ac:dyDescent="0.35">
      <c r="B170" s="1953"/>
      <c r="C170" s="1953"/>
      <c r="D170" s="1953"/>
      <c r="E170" s="1953"/>
      <c r="F170" s="1953"/>
      <c r="G170" s="1953"/>
      <c r="H170" s="1953"/>
      <c r="I170"/>
      <c r="J170"/>
      <c r="K170"/>
      <c r="L170"/>
    </row>
    <row r="171" spans="2:12" x14ac:dyDescent="0.35">
      <c r="B171" s="1953"/>
      <c r="C171" s="1953"/>
      <c r="D171" s="1953"/>
      <c r="E171" s="1953"/>
      <c r="F171" s="1953"/>
      <c r="G171" s="1953"/>
      <c r="H171" s="1953"/>
      <c r="I171"/>
      <c r="J171"/>
      <c r="K171"/>
      <c r="L171"/>
    </row>
    <row r="172" spans="2:12" x14ac:dyDescent="0.35">
      <c r="B172" s="1953"/>
      <c r="C172" s="1953"/>
      <c r="D172" s="1953"/>
      <c r="E172" s="1953"/>
      <c r="F172" s="1953"/>
      <c r="G172" s="1953"/>
      <c r="H172" s="1953"/>
      <c r="I172"/>
      <c r="J172"/>
      <c r="K172"/>
      <c r="L172"/>
    </row>
    <row r="173" spans="2:12" x14ac:dyDescent="0.35">
      <c r="B173" s="1953"/>
      <c r="C173" s="1953"/>
      <c r="D173" s="1953"/>
      <c r="E173" s="1953"/>
      <c r="F173" s="1953"/>
      <c r="G173" s="1953"/>
      <c r="H173" s="1953"/>
      <c r="I173"/>
      <c r="J173"/>
      <c r="K173"/>
      <c r="L173"/>
    </row>
    <row r="174" spans="2:12" x14ac:dyDescent="0.35">
      <c r="B174" s="1953"/>
      <c r="C174" s="1953"/>
      <c r="D174" s="1953"/>
      <c r="E174" s="1953"/>
      <c r="F174" s="1953"/>
      <c r="G174" s="1953"/>
      <c r="H174" s="1953"/>
      <c r="I174"/>
      <c r="J174"/>
      <c r="K174"/>
      <c r="L174"/>
    </row>
    <row r="175" spans="2:12" x14ac:dyDescent="0.35">
      <c r="B175" s="1953"/>
      <c r="C175" s="1953"/>
      <c r="D175" s="1953"/>
      <c r="E175" s="1953"/>
      <c r="F175" s="1953"/>
      <c r="G175" s="1953"/>
      <c r="H175" s="1953"/>
      <c r="I175"/>
      <c r="J175"/>
      <c r="K175"/>
      <c r="L175"/>
    </row>
    <row r="176" spans="2:12" x14ac:dyDescent="0.35">
      <c r="B176" s="1953"/>
      <c r="C176" s="1953"/>
      <c r="D176" s="1953"/>
      <c r="E176" s="1953"/>
      <c r="F176" s="1953"/>
      <c r="G176" s="1953"/>
      <c r="H176" s="1953"/>
      <c r="I176"/>
      <c r="J176"/>
      <c r="K176"/>
      <c r="L176"/>
    </row>
    <row r="177" spans="2:12" x14ac:dyDescent="0.35">
      <c r="B177" s="1953"/>
      <c r="C177" s="1953"/>
      <c r="D177" s="1953"/>
      <c r="E177" s="1953"/>
      <c r="F177" s="1953"/>
      <c r="G177" s="1953"/>
      <c r="H177" s="1953"/>
      <c r="I177"/>
      <c r="J177"/>
      <c r="K177"/>
      <c r="L177"/>
    </row>
    <row r="178" spans="2:12" x14ac:dyDescent="0.35">
      <c r="B178" s="1953"/>
      <c r="C178" s="1953"/>
      <c r="D178" s="1953"/>
      <c r="E178" s="1953"/>
      <c r="F178" s="1953"/>
      <c r="G178" s="1953"/>
      <c r="H178" s="1953"/>
      <c r="I178"/>
      <c r="J178"/>
      <c r="K178"/>
      <c r="L178"/>
    </row>
    <row r="179" spans="2:12" x14ac:dyDescent="0.35">
      <c r="B179" s="1953"/>
      <c r="C179" s="1953"/>
      <c r="D179" s="1953"/>
      <c r="E179" s="1953"/>
      <c r="F179" s="1953"/>
      <c r="G179" s="1953"/>
      <c r="H179" s="1953"/>
      <c r="I179"/>
      <c r="J179"/>
      <c r="K179"/>
      <c r="L179"/>
    </row>
    <row r="180" spans="2:12" x14ac:dyDescent="0.35">
      <c r="B180" s="1953"/>
      <c r="C180" s="1953"/>
      <c r="D180" s="1953"/>
      <c r="E180" s="1953"/>
      <c r="F180" s="1953"/>
      <c r="G180" s="1953"/>
      <c r="H180" s="1953"/>
      <c r="I180"/>
      <c r="J180"/>
      <c r="K180"/>
      <c r="L180"/>
    </row>
    <row r="181" spans="2:12" x14ac:dyDescent="0.35">
      <c r="B181" s="1953"/>
      <c r="C181" s="1953"/>
      <c r="D181" s="1953"/>
      <c r="E181" s="1953"/>
      <c r="F181" s="1953"/>
      <c r="G181" s="1953"/>
      <c r="H181" s="1953"/>
      <c r="I181"/>
      <c r="J181"/>
      <c r="K181"/>
      <c r="L181"/>
    </row>
    <row r="182" spans="2:12" x14ac:dyDescent="0.35">
      <c r="B182" s="1953"/>
      <c r="C182" s="1953"/>
      <c r="D182" s="1953"/>
      <c r="E182" s="1953"/>
      <c r="F182" s="1953"/>
      <c r="G182" s="1953"/>
      <c r="H182" s="1953"/>
      <c r="I182"/>
      <c r="J182"/>
      <c r="K182"/>
      <c r="L182"/>
    </row>
    <row r="183" spans="2:12" x14ac:dyDescent="0.35">
      <c r="B183" s="1953"/>
      <c r="C183" s="1953"/>
      <c r="D183" s="1953"/>
      <c r="E183" s="1953"/>
      <c r="F183" s="1953"/>
      <c r="G183" s="1953"/>
      <c r="H183" s="1953"/>
      <c r="I183"/>
      <c r="J183"/>
      <c r="K183"/>
      <c r="L183"/>
    </row>
    <row r="184" spans="2:12" x14ac:dyDescent="0.35">
      <c r="B184" s="1953"/>
      <c r="C184" s="1953"/>
      <c r="D184" s="1953"/>
      <c r="E184" s="1953"/>
      <c r="F184" s="1953"/>
      <c r="G184" s="1953"/>
      <c r="H184" s="1953"/>
      <c r="I184"/>
      <c r="J184"/>
      <c r="K184"/>
      <c r="L184"/>
    </row>
    <row r="185" spans="2:12" x14ac:dyDescent="0.35">
      <c r="B185" s="1953"/>
      <c r="C185" s="1953"/>
      <c r="D185" s="1953"/>
      <c r="E185" s="1953"/>
      <c r="F185" s="1953"/>
      <c r="G185" s="1953"/>
      <c r="H185" s="1953"/>
      <c r="I185"/>
      <c r="J185"/>
      <c r="K185"/>
      <c r="L185"/>
    </row>
    <row r="186" spans="2:12" x14ac:dyDescent="0.35">
      <c r="B186" s="1953"/>
      <c r="C186" s="1953"/>
      <c r="D186" s="1953"/>
      <c r="E186" s="1953"/>
      <c r="F186" s="1953"/>
      <c r="G186" s="1953"/>
      <c r="H186" s="1953"/>
      <c r="I186"/>
      <c r="J186"/>
      <c r="K186"/>
      <c r="L186"/>
    </row>
    <row r="187" spans="2:12" x14ac:dyDescent="0.35">
      <c r="B187" s="1953"/>
      <c r="C187" s="1953"/>
      <c r="D187" s="1953"/>
      <c r="E187" s="1953"/>
      <c r="F187" s="1953"/>
      <c r="G187" s="1953"/>
      <c r="H187" s="1953"/>
      <c r="I187"/>
      <c r="J187"/>
      <c r="K187"/>
      <c r="L187"/>
    </row>
    <row r="188" spans="2:12" x14ac:dyDescent="0.35">
      <c r="B188" s="1953"/>
      <c r="C188" s="1953"/>
      <c r="D188" s="1953"/>
      <c r="E188" s="1953"/>
      <c r="F188" s="1953"/>
      <c r="G188" s="1953"/>
      <c r="H188" s="1953"/>
      <c r="I188"/>
      <c r="J188"/>
      <c r="K188"/>
      <c r="L188"/>
    </row>
    <row r="189" spans="2:12" x14ac:dyDescent="0.35">
      <c r="B189" s="1953"/>
      <c r="C189" s="1953"/>
      <c r="D189" s="1953"/>
      <c r="E189" s="1953"/>
      <c r="F189" s="1953"/>
      <c r="G189" s="1953"/>
      <c r="H189" s="1953"/>
      <c r="I189"/>
      <c r="J189"/>
      <c r="K189"/>
      <c r="L189"/>
    </row>
    <row r="190" spans="2:12" x14ac:dyDescent="0.35">
      <c r="B190" s="1953"/>
      <c r="C190" s="1953"/>
      <c r="D190" s="1953"/>
      <c r="E190" s="1953"/>
      <c r="F190" s="1953"/>
      <c r="G190" s="1953"/>
      <c r="H190" s="1953"/>
      <c r="I190"/>
      <c r="J190"/>
      <c r="K190"/>
      <c r="L190"/>
    </row>
    <row r="191" spans="2:12" x14ac:dyDescent="0.35">
      <c r="B191" s="1953"/>
      <c r="C191" s="1953"/>
      <c r="D191" s="1953"/>
      <c r="E191" s="1953"/>
      <c r="F191" s="1953"/>
      <c r="G191" s="1953"/>
      <c r="H191" s="1953"/>
      <c r="I191"/>
      <c r="J191"/>
      <c r="K191"/>
      <c r="L191"/>
    </row>
    <row r="192" spans="2:12" x14ac:dyDescent="0.35">
      <c r="B192" s="1953"/>
      <c r="C192" s="1953"/>
      <c r="D192" s="1953"/>
      <c r="E192" s="1953"/>
      <c r="F192" s="1953"/>
      <c r="G192" s="1953"/>
      <c r="H192" s="1953"/>
      <c r="I192"/>
      <c r="J192"/>
      <c r="K192"/>
      <c r="L192"/>
    </row>
    <row r="193" spans="2:12" x14ac:dyDescent="0.35">
      <c r="B193" s="1953"/>
      <c r="C193" s="1953"/>
      <c r="D193" s="1953"/>
      <c r="E193" s="1953"/>
      <c r="F193" s="1953"/>
      <c r="G193" s="1953"/>
      <c r="H193" s="1953"/>
      <c r="I193"/>
      <c r="J193"/>
      <c r="K193"/>
      <c r="L193"/>
    </row>
    <row r="194" spans="2:12" x14ac:dyDescent="0.35">
      <c r="B194" s="1953"/>
      <c r="C194" s="1953"/>
      <c r="D194" s="1953"/>
      <c r="E194" s="1953"/>
      <c r="F194" s="1953"/>
      <c r="G194" s="1953"/>
      <c r="H194" s="1953"/>
      <c r="I194"/>
      <c r="J194"/>
      <c r="K194"/>
      <c r="L194"/>
    </row>
    <row r="195" spans="2:12" x14ac:dyDescent="0.35">
      <c r="B195" s="1953"/>
      <c r="C195" s="1953"/>
      <c r="D195" s="1953"/>
      <c r="E195" s="1953"/>
      <c r="F195" s="1953"/>
      <c r="G195" s="1953"/>
      <c r="H195" s="1953"/>
      <c r="I195"/>
      <c r="J195"/>
      <c r="K195"/>
      <c r="L195"/>
    </row>
    <row r="196" spans="2:12" x14ac:dyDescent="0.35">
      <c r="B196" s="1953"/>
      <c r="C196" s="1953"/>
      <c r="D196" s="1953"/>
      <c r="E196" s="1953"/>
      <c r="F196" s="1953"/>
      <c r="G196" s="1953"/>
      <c r="H196" s="1953"/>
      <c r="I196"/>
      <c r="J196"/>
      <c r="K196"/>
      <c r="L196"/>
    </row>
    <row r="197" spans="2:12" x14ac:dyDescent="0.35">
      <c r="B197" s="1953"/>
      <c r="C197" s="1953"/>
      <c r="D197" s="1953"/>
      <c r="E197" s="1953"/>
      <c r="F197" s="1953"/>
      <c r="G197" s="1953"/>
      <c r="H197" s="1953"/>
      <c r="I197"/>
      <c r="J197"/>
      <c r="K197"/>
      <c r="L197"/>
    </row>
    <row r="198" spans="2:12" x14ac:dyDescent="0.35">
      <c r="B198" s="1953"/>
      <c r="C198" s="1953"/>
      <c r="D198" s="1953"/>
      <c r="E198" s="1953"/>
      <c r="F198" s="1953"/>
      <c r="G198" s="1953"/>
      <c r="H198" s="1953"/>
      <c r="I198"/>
      <c r="J198"/>
      <c r="K198"/>
      <c r="L198"/>
    </row>
    <row r="199" spans="2:12" x14ac:dyDescent="0.35">
      <c r="B199" s="1953"/>
      <c r="C199" s="1953"/>
      <c r="D199" s="1953"/>
      <c r="E199" s="1953"/>
      <c r="F199" s="1953"/>
      <c r="G199" s="1953"/>
      <c r="H199" s="1953"/>
      <c r="I199"/>
      <c r="J199"/>
      <c r="K199"/>
      <c r="L199"/>
    </row>
    <row r="200" spans="2:12" x14ac:dyDescent="0.35">
      <c r="B200" s="1953"/>
      <c r="C200" s="1953"/>
      <c r="D200" s="1953"/>
      <c r="E200" s="1953"/>
      <c r="F200" s="1953"/>
      <c r="G200" s="1953"/>
      <c r="H200" s="1953"/>
      <c r="I200"/>
      <c r="J200"/>
      <c r="K200"/>
      <c r="L200"/>
    </row>
    <row r="201" spans="2:12" x14ac:dyDescent="0.35">
      <c r="B201" s="1953"/>
      <c r="C201" s="1953"/>
      <c r="D201" s="1953"/>
      <c r="E201" s="1953"/>
      <c r="F201" s="1953"/>
      <c r="G201" s="1953"/>
      <c r="H201" s="1953"/>
      <c r="I201"/>
      <c r="J201"/>
      <c r="K201"/>
      <c r="L201"/>
    </row>
    <row r="202" spans="2:12" x14ac:dyDescent="0.35">
      <c r="B202" s="1953"/>
      <c r="C202" s="1953"/>
      <c r="D202" s="1953"/>
      <c r="E202" s="1953"/>
      <c r="F202" s="1953"/>
      <c r="G202" s="1953"/>
      <c r="H202" s="1953"/>
      <c r="I202"/>
      <c r="J202"/>
      <c r="K202"/>
      <c r="L202"/>
    </row>
    <row r="203" spans="2:12" x14ac:dyDescent="0.35">
      <c r="B203" s="1953"/>
      <c r="C203" s="1953"/>
      <c r="D203" s="1953"/>
      <c r="E203" s="1953"/>
      <c r="F203" s="1953"/>
      <c r="G203" s="1953"/>
      <c r="H203" s="1953"/>
      <c r="I203"/>
      <c r="J203"/>
      <c r="K203"/>
      <c r="L203"/>
    </row>
    <row r="204" spans="2:12" x14ac:dyDescent="0.35">
      <c r="B204" s="1953"/>
      <c r="C204" s="1953"/>
      <c r="D204" s="1953"/>
      <c r="E204" s="1953"/>
      <c r="F204" s="1953"/>
      <c r="G204" s="1953"/>
      <c r="H204" s="1953"/>
      <c r="I204"/>
      <c r="J204"/>
      <c r="K204"/>
      <c r="L204"/>
    </row>
    <row r="205" spans="2:12" x14ac:dyDescent="0.35">
      <c r="B205" s="1953"/>
      <c r="C205" s="1953"/>
      <c r="D205" s="1953"/>
      <c r="E205" s="1953"/>
      <c r="F205" s="1953"/>
      <c r="G205" s="1953"/>
      <c r="H205" s="1953"/>
      <c r="I205"/>
      <c r="J205"/>
      <c r="K205"/>
      <c r="L205"/>
    </row>
    <row r="206" spans="2:12" x14ac:dyDescent="0.35">
      <c r="B206" s="1953"/>
      <c r="C206" s="1953"/>
      <c r="D206" s="1953"/>
      <c r="E206" s="1953"/>
      <c r="F206" s="1953"/>
      <c r="G206" s="1953"/>
      <c r="H206" s="1953"/>
      <c r="I206"/>
      <c r="J206"/>
      <c r="K206"/>
      <c r="L206"/>
    </row>
    <row r="207" spans="2:12" x14ac:dyDescent="0.35">
      <c r="B207" s="1953"/>
      <c r="C207" s="1953"/>
      <c r="D207" s="1953"/>
      <c r="E207" s="1953"/>
      <c r="F207" s="1953"/>
      <c r="G207" s="1953"/>
      <c r="H207" s="1953"/>
      <c r="I207"/>
      <c r="J207"/>
      <c r="K207"/>
      <c r="L207"/>
    </row>
    <row r="208" spans="2:12" x14ac:dyDescent="0.35">
      <c r="B208" s="1953"/>
      <c r="C208" s="1953"/>
      <c r="D208" s="1953"/>
      <c r="E208" s="1953"/>
      <c r="F208" s="1953"/>
      <c r="G208" s="1953"/>
      <c r="H208" s="1953"/>
      <c r="I208"/>
      <c r="J208"/>
      <c r="K208"/>
      <c r="L208"/>
    </row>
    <row r="209" spans="2:12" x14ac:dyDescent="0.35">
      <c r="B209" s="1953"/>
      <c r="C209" s="1953"/>
      <c r="D209" s="1953"/>
      <c r="E209" s="1953"/>
      <c r="F209" s="1953"/>
      <c r="G209" s="1953"/>
      <c r="H209" s="1953"/>
      <c r="I209"/>
      <c r="J209"/>
      <c r="K209"/>
      <c r="L209"/>
    </row>
    <row r="210" spans="2:12" x14ac:dyDescent="0.35">
      <c r="B210" s="1953"/>
      <c r="C210" s="1953"/>
      <c r="D210" s="1953"/>
      <c r="E210" s="1953"/>
      <c r="F210" s="1953"/>
      <c r="G210" s="1953"/>
      <c r="H210" s="1953"/>
      <c r="I210"/>
      <c r="J210"/>
      <c r="K210"/>
      <c r="L210"/>
    </row>
    <row r="211" spans="2:12" x14ac:dyDescent="0.35">
      <c r="B211" s="1953"/>
      <c r="C211" s="1953"/>
      <c r="D211" s="1953"/>
      <c r="E211" s="1953"/>
      <c r="F211" s="1953"/>
      <c r="G211" s="1953"/>
      <c r="H211" s="1953"/>
      <c r="I211"/>
      <c r="J211"/>
      <c r="K211"/>
      <c r="L211"/>
    </row>
    <row r="212" spans="2:12" x14ac:dyDescent="0.35">
      <c r="B212" s="1953"/>
      <c r="C212" s="1953"/>
      <c r="D212" s="1953"/>
      <c r="E212" s="1953"/>
      <c r="F212" s="1953"/>
      <c r="G212" s="1953"/>
      <c r="H212" s="1953"/>
      <c r="I212"/>
      <c r="J212"/>
      <c r="K212"/>
      <c r="L212"/>
    </row>
    <row r="213" spans="2:12" x14ac:dyDescent="0.35">
      <c r="B213" s="1953"/>
      <c r="C213" s="1953"/>
      <c r="D213" s="1953"/>
      <c r="E213" s="1953"/>
      <c r="F213" s="1953"/>
      <c r="G213" s="1953"/>
      <c r="H213" s="1953"/>
      <c r="I213"/>
      <c r="J213"/>
      <c r="K213"/>
      <c r="L213"/>
    </row>
    <row r="214" spans="2:12" x14ac:dyDescent="0.35">
      <c r="B214" s="1953"/>
      <c r="C214" s="1953"/>
      <c r="D214" s="1953"/>
      <c r="E214" s="1953"/>
      <c r="F214" s="1953"/>
      <c r="G214" s="1953"/>
      <c r="H214" s="1953"/>
      <c r="I214"/>
      <c r="J214"/>
      <c r="K214"/>
      <c r="L214"/>
    </row>
    <row r="215" spans="2:12" x14ac:dyDescent="0.35">
      <c r="B215" s="1953"/>
      <c r="C215" s="1953"/>
      <c r="D215" s="1953"/>
      <c r="E215" s="1953"/>
      <c r="F215" s="1953"/>
      <c r="G215" s="1953"/>
      <c r="H215" s="1953"/>
      <c r="I215"/>
      <c r="J215"/>
      <c r="K215"/>
      <c r="L215"/>
    </row>
    <row r="216" spans="2:12" x14ac:dyDescent="0.35">
      <c r="B216" s="1953"/>
      <c r="C216" s="1953"/>
      <c r="D216" s="1953"/>
      <c r="E216" s="1953"/>
      <c r="F216" s="1953"/>
      <c r="G216" s="1953"/>
      <c r="H216" s="1953"/>
      <c r="I216"/>
      <c r="J216"/>
      <c r="K216"/>
      <c r="L216"/>
    </row>
    <row r="217" spans="2:12" x14ac:dyDescent="0.35">
      <c r="B217" s="1953"/>
      <c r="C217" s="1953"/>
      <c r="D217" s="1953"/>
      <c r="E217" s="1953"/>
      <c r="F217" s="1953"/>
      <c r="G217" s="1953"/>
      <c r="H217" s="1953"/>
      <c r="I217"/>
      <c r="J217"/>
      <c r="K217"/>
      <c r="L217"/>
    </row>
    <row r="218" spans="2:12" x14ac:dyDescent="0.35">
      <c r="B218" s="1953"/>
      <c r="C218" s="1953"/>
      <c r="D218" s="1953"/>
      <c r="E218" s="1953"/>
      <c r="F218" s="1953"/>
      <c r="G218" s="1953"/>
      <c r="H218" s="1953"/>
      <c r="I218"/>
      <c r="J218"/>
      <c r="K218"/>
      <c r="L218"/>
    </row>
    <row r="219" spans="2:12" x14ac:dyDescent="0.35">
      <c r="B219" s="1953"/>
      <c r="C219" s="1953"/>
      <c r="D219" s="1953"/>
      <c r="E219" s="1953"/>
      <c r="F219" s="1953"/>
      <c r="G219" s="1953"/>
      <c r="H219" s="1953"/>
      <c r="I219"/>
      <c r="J219"/>
      <c r="K219"/>
      <c r="L219"/>
    </row>
    <row r="220" spans="2:12" x14ac:dyDescent="0.35">
      <c r="B220" s="1953"/>
      <c r="C220" s="1953"/>
      <c r="D220" s="1953"/>
      <c r="E220" s="1953"/>
      <c r="F220" s="1953"/>
      <c r="G220" s="1953"/>
      <c r="H220" s="1953"/>
      <c r="I220"/>
      <c r="J220"/>
      <c r="K220"/>
      <c r="L220"/>
    </row>
    <row r="221" spans="2:12" x14ac:dyDescent="0.35">
      <c r="B221" s="1953"/>
      <c r="C221" s="1953"/>
      <c r="D221" s="1953"/>
      <c r="E221" s="1953"/>
      <c r="F221" s="1953"/>
      <c r="G221" s="1953"/>
      <c r="H221" s="1953"/>
      <c r="I221"/>
      <c r="J221"/>
      <c r="K221"/>
      <c r="L221"/>
    </row>
    <row r="222" spans="2:12" x14ac:dyDescent="0.35">
      <c r="B222" s="1953"/>
      <c r="C222" s="1953"/>
      <c r="D222" s="1953"/>
      <c r="E222" s="1953"/>
      <c r="F222" s="1953"/>
      <c r="G222" s="1953"/>
      <c r="H222" s="1953"/>
      <c r="I222"/>
      <c r="J222"/>
      <c r="K222"/>
      <c r="L222"/>
    </row>
    <row r="223" spans="2:12" x14ac:dyDescent="0.35">
      <c r="B223" s="1953"/>
      <c r="C223" s="1953"/>
      <c r="D223" s="1953"/>
      <c r="E223" s="1953"/>
      <c r="F223" s="1953"/>
      <c r="G223" s="1953"/>
      <c r="H223" s="1953"/>
      <c r="I223"/>
      <c r="J223"/>
      <c r="K223"/>
      <c r="L223"/>
    </row>
    <row r="224" spans="2:12" x14ac:dyDescent="0.35">
      <c r="B224" s="1953"/>
      <c r="C224" s="1953"/>
      <c r="D224" s="1953"/>
      <c r="E224" s="1953"/>
      <c r="F224" s="1953"/>
      <c r="G224" s="1953"/>
      <c r="H224" s="1953"/>
      <c r="I224"/>
      <c r="J224"/>
      <c r="K224"/>
      <c r="L224"/>
    </row>
    <row r="225" spans="2:12" x14ac:dyDescent="0.35">
      <c r="B225" s="1953"/>
      <c r="C225" s="1953"/>
      <c r="D225" s="1953"/>
      <c r="E225" s="1953"/>
      <c r="F225" s="1953"/>
      <c r="G225" s="1953"/>
      <c r="H225" s="1953"/>
      <c r="I225"/>
      <c r="J225"/>
      <c r="K225"/>
      <c r="L225"/>
    </row>
    <row r="226" spans="2:12" x14ac:dyDescent="0.35">
      <c r="B226" s="1953"/>
      <c r="C226" s="1953"/>
      <c r="D226" s="1953"/>
      <c r="E226" s="1953"/>
      <c r="F226" s="1953"/>
      <c r="G226" s="1953"/>
      <c r="H226" s="1953"/>
      <c r="I226"/>
      <c r="J226"/>
      <c r="K226"/>
      <c r="L226"/>
    </row>
    <row r="227" spans="2:12" x14ac:dyDescent="0.35">
      <c r="B227" s="1953"/>
      <c r="C227" s="1953"/>
      <c r="D227" s="1953"/>
      <c r="E227" s="1953"/>
      <c r="F227" s="1953"/>
      <c r="G227" s="1953"/>
      <c r="H227" s="1953"/>
      <c r="I227"/>
      <c r="J227"/>
      <c r="K227"/>
      <c r="L227"/>
    </row>
    <row r="228" spans="2:12" x14ac:dyDescent="0.35">
      <c r="B228" s="1953"/>
      <c r="C228" s="1953"/>
      <c r="D228" s="1953"/>
      <c r="E228" s="1953"/>
      <c r="F228" s="1953"/>
      <c r="G228" s="1953"/>
      <c r="H228" s="1953"/>
      <c r="I228"/>
      <c r="J228"/>
      <c r="K228"/>
      <c r="L228"/>
    </row>
    <row r="229" spans="2:12" x14ac:dyDescent="0.35">
      <c r="B229" s="1953"/>
      <c r="C229" s="1953"/>
      <c r="D229" s="1953"/>
      <c r="E229" s="1953"/>
      <c r="F229" s="1953"/>
      <c r="G229" s="1953"/>
      <c r="H229" s="1953"/>
      <c r="I229"/>
      <c r="J229"/>
      <c r="K229"/>
      <c r="L229"/>
    </row>
    <row r="230" spans="2:12" x14ac:dyDescent="0.35">
      <c r="B230" s="1953"/>
      <c r="C230" s="1953"/>
      <c r="D230" s="1953"/>
      <c r="E230" s="1953"/>
      <c r="F230" s="1953"/>
      <c r="G230" s="1953"/>
      <c r="H230" s="1953"/>
      <c r="I230"/>
      <c r="J230"/>
      <c r="K230"/>
      <c r="L230"/>
    </row>
    <row r="231" spans="2:12" x14ac:dyDescent="0.35">
      <c r="B231" s="1953"/>
      <c r="C231" s="1953"/>
      <c r="D231" s="1953"/>
      <c r="E231" s="1953"/>
      <c r="F231" s="1953"/>
      <c r="G231" s="1953"/>
      <c r="H231" s="1953"/>
      <c r="I231"/>
      <c r="J231"/>
      <c r="K231"/>
      <c r="L231"/>
    </row>
    <row r="232" spans="2:12" x14ac:dyDescent="0.35">
      <c r="B232" s="1953"/>
      <c r="C232" s="1953"/>
      <c r="D232" s="1953"/>
      <c r="E232" s="1953"/>
      <c r="F232" s="1953"/>
      <c r="G232" s="1953"/>
      <c r="H232" s="1953"/>
      <c r="I232"/>
      <c r="J232"/>
      <c r="K232"/>
      <c r="L232"/>
    </row>
    <row r="233" spans="2:12" x14ac:dyDescent="0.35">
      <c r="B233" s="1953"/>
      <c r="C233" s="1953"/>
      <c r="D233" s="1953"/>
      <c r="E233" s="1953"/>
      <c r="F233" s="1953"/>
      <c r="G233" s="1953"/>
      <c r="H233" s="1953"/>
      <c r="I233"/>
      <c r="J233"/>
      <c r="K233"/>
      <c r="L233"/>
    </row>
    <row r="234" spans="2:12" x14ac:dyDescent="0.35">
      <c r="B234" s="1953"/>
      <c r="C234" s="1953"/>
      <c r="D234" s="1953"/>
      <c r="E234" s="1953"/>
      <c r="F234" s="1953"/>
      <c r="G234" s="1953"/>
      <c r="H234" s="1953"/>
      <c r="I234"/>
      <c r="J234"/>
      <c r="K234"/>
      <c r="L234"/>
    </row>
    <row r="235" spans="2:12" x14ac:dyDescent="0.35">
      <c r="B235" s="1953"/>
      <c r="C235" s="1953"/>
      <c r="D235" s="1953"/>
      <c r="E235" s="1953"/>
      <c r="F235" s="1953"/>
      <c r="G235" s="1953"/>
      <c r="H235" s="1953"/>
      <c r="I235"/>
      <c r="J235"/>
      <c r="K235"/>
      <c r="L235"/>
    </row>
    <row r="236" spans="2:12" x14ac:dyDescent="0.35">
      <c r="B236" s="1953"/>
      <c r="C236" s="1953"/>
      <c r="D236" s="1953"/>
      <c r="E236" s="1953"/>
      <c r="F236" s="1953"/>
      <c r="G236" s="1953"/>
      <c r="H236" s="1953"/>
      <c r="I236"/>
      <c r="J236"/>
      <c r="K236"/>
      <c r="L236"/>
    </row>
    <row r="237" spans="2:12" x14ac:dyDescent="0.35">
      <c r="B237" s="1953"/>
      <c r="C237" s="1953"/>
      <c r="D237" s="1953"/>
      <c r="E237" s="1953"/>
      <c r="F237" s="1953"/>
      <c r="G237" s="1953"/>
      <c r="H237" s="1953"/>
      <c r="I237"/>
      <c r="J237"/>
      <c r="K237"/>
      <c r="L237"/>
    </row>
    <row r="238" spans="2:12" x14ac:dyDescent="0.35">
      <c r="B238" s="1953"/>
      <c r="C238" s="1953"/>
      <c r="D238" s="1953"/>
      <c r="E238" s="1953"/>
      <c r="F238" s="1953"/>
      <c r="G238" s="1953"/>
      <c r="H238" s="1953"/>
      <c r="I238"/>
      <c r="J238"/>
      <c r="K238"/>
      <c r="L238"/>
    </row>
    <row r="239" spans="2:12" x14ac:dyDescent="0.35">
      <c r="B239" s="1953"/>
      <c r="C239" s="1953"/>
      <c r="D239" s="1953"/>
      <c r="E239" s="1953"/>
      <c r="F239" s="1953"/>
      <c r="G239" s="1953"/>
      <c r="H239" s="1953"/>
      <c r="I239"/>
      <c r="J239"/>
      <c r="K239"/>
      <c r="L239"/>
    </row>
    <row r="240" spans="2:12" x14ac:dyDescent="0.35">
      <c r="B240" s="1953"/>
      <c r="C240" s="1953"/>
      <c r="D240" s="1953"/>
      <c r="E240" s="1953"/>
      <c r="F240" s="1953"/>
      <c r="G240" s="1953"/>
      <c r="H240" s="1953"/>
      <c r="I240"/>
      <c r="J240"/>
      <c r="K240"/>
      <c r="L240"/>
    </row>
    <row r="241" spans="2:12" x14ac:dyDescent="0.35">
      <c r="B241" s="1953"/>
      <c r="C241" s="1953"/>
      <c r="D241" s="1953"/>
      <c r="E241" s="1953"/>
      <c r="F241" s="1953"/>
      <c r="G241" s="1953"/>
      <c r="H241" s="1953"/>
      <c r="I241"/>
      <c r="J241"/>
      <c r="K241"/>
      <c r="L241"/>
    </row>
    <row r="242" spans="2:12" x14ac:dyDescent="0.35">
      <c r="B242" s="1953"/>
      <c r="C242" s="1953"/>
      <c r="D242" s="1953"/>
      <c r="E242" s="1953"/>
      <c r="F242" s="1953"/>
      <c r="G242" s="1953"/>
      <c r="H242" s="1953"/>
      <c r="I242"/>
      <c r="J242"/>
      <c r="K242"/>
      <c r="L242"/>
    </row>
    <row r="243" spans="2:12" x14ac:dyDescent="0.35">
      <c r="B243" s="1953"/>
      <c r="C243" s="1953"/>
      <c r="D243" s="1953"/>
      <c r="E243" s="1953"/>
      <c r="F243" s="1953"/>
      <c r="G243" s="1953"/>
      <c r="H243" s="1953"/>
      <c r="I243"/>
      <c r="J243"/>
      <c r="K243"/>
      <c r="L243"/>
    </row>
    <row r="244" spans="2:12" x14ac:dyDescent="0.35">
      <c r="B244" s="1953"/>
      <c r="C244" s="1953"/>
      <c r="D244" s="1953"/>
      <c r="E244" s="1953"/>
      <c r="F244" s="1953"/>
      <c r="G244" s="1953"/>
      <c r="H244" s="1953"/>
      <c r="I244"/>
      <c r="J244"/>
      <c r="K244"/>
      <c r="L244"/>
    </row>
    <row r="245" spans="2:12" x14ac:dyDescent="0.35">
      <c r="B245" s="1953"/>
      <c r="C245" s="1953"/>
      <c r="D245" s="1953"/>
      <c r="E245" s="1953"/>
      <c r="F245" s="1953"/>
      <c r="G245" s="1953"/>
      <c r="H245" s="1953"/>
      <c r="I245"/>
      <c r="J245"/>
      <c r="K245"/>
      <c r="L245"/>
    </row>
    <row r="246" spans="2:12" x14ac:dyDescent="0.35">
      <c r="B246" s="1953"/>
      <c r="C246" s="1953"/>
      <c r="D246" s="1953"/>
      <c r="E246" s="1953"/>
      <c r="F246" s="1953"/>
      <c r="G246" s="1953"/>
      <c r="H246" s="1953"/>
      <c r="I246"/>
      <c r="J246"/>
      <c r="K246"/>
      <c r="L246"/>
    </row>
    <row r="247" spans="2:12" x14ac:dyDescent="0.35">
      <c r="B247" s="1953"/>
      <c r="C247" s="1953"/>
      <c r="D247" s="1953"/>
      <c r="E247" s="1953"/>
      <c r="F247" s="1953"/>
      <c r="G247" s="1953"/>
      <c r="H247" s="1953"/>
      <c r="I247"/>
      <c r="J247"/>
      <c r="K247"/>
      <c r="L247"/>
    </row>
    <row r="248" spans="2:12" x14ac:dyDescent="0.35">
      <c r="B248" s="1953"/>
      <c r="C248" s="1953"/>
      <c r="D248" s="1953"/>
      <c r="E248" s="1953"/>
      <c r="F248" s="1953"/>
      <c r="G248" s="1953"/>
      <c r="H248" s="1953"/>
      <c r="I248"/>
      <c r="J248"/>
      <c r="K248"/>
      <c r="L248"/>
    </row>
    <row r="249" spans="2:12" x14ac:dyDescent="0.35">
      <c r="B249" s="1953"/>
      <c r="C249" s="1953"/>
      <c r="D249" s="1953"/>
      <c r="E249" s="1953"/>
      <c r="F249" s="1953"/>
      <c r="G249" s="1953"/>
      <c r="H249" s="1953"/>
      <c r="I249"/>
      <c r="J249"/>
      <c r="K249"/>
      <c r="L249"/>
    </row>
    <row r="250" spans="2:12" x14ac:dyDescent="0.35">
      <c r="B250" s="1953"/>
      <c r="C250" s="1953"/>
      <c r="D250" s="1953"/>
      <c r="E250" s="1953"/>
      <c r="F250" s="1953"/>
      <c r="G250" s="1953"/>
      <c r="H250" s="1953"/>
      <c r="I250"/>
      <c r="J250"/>
      <c r="K250"/>
      <c r="L250"/>
    </row>
    <row r="251" spans="2:12" x14ac:dyDescent="0.35">
      <c r="B251" s="1953"/>
      <c r="C251" s="1953"/>
      <c r="D251" s="1953"/>
      <c r="E251" s="1953"/>
      <c r="F251" s="1953"/>
      <c r="G251" s="1953"/>
      <c r="H251" s="1953"/>
      <c r="I251"/>
      <c r="J251"/>
      <c r="K251"/>
      <c r="L251"/>
    </row>
    <row r="252" spans="2:12" x14ac:dyDescent="0.35">
      <c r="B252" s="1953"/>
      <c r="C252" s="1953"/>
      <c r="D252" s="1953"/>
      <c r="E252" s="1953"/>
      <c r="F252" s="1953"/>
      <c r="G252" s="1953"/>
      <c r="H252" s="1953"/>
      <c r="I252"/>
      <c r="J252"/>
      <c r="K252"/>
      <c r="L252"/>
    </row>
    <row r="253" spans="2:12" x14ac:dyDescent="0.35">
      <c r="B253" s="1953"/>
      <c r="C253" s="1953"/>
      <c r="D253" s="1953"/>
      <c r="E253" s="1953"/>
      <c r="F253" s="1953"/>
      <c r="G253" s="1953"/>
      <c r="H253" s="1953"/>
      <c r="I253"/>
      <c r="J253"/>
      <c r="K253"/>
      <c r="L253"/>
    </row>
    <row r="254" spans="2:12" x14ac:dyDescent="0.35">
      <c r="B254" s="1953"/>
      <c r="C254" s="1953"/>
      <c r="D254" s="1953"/>
      <c r="E254" s="1953"/>
      <c r="F254" s="1953"/>
      <c r="G254" s="1953"/>
      <c r="H254" s="1953"/>
      <c r="I254"/>
      <c r="J254"/>
      <c r="K254"/>
      <c r="L254"/>
    </row>
    <row r="255" spans="2:12" x14ac:dyDescent="0.35">
      <c r="B255" s="1953"/>
      <c r="C255" s="1953"/>
      <c r="D255" s="1953"/>
      <c r="E255" s="1953"/>
      <c r="F255" s="1953"/>
      <c r="G255" s="1953"/>
      <c r="H255" s="1953"/>
      <c r="I255"/>
      <c r="J255"/>
      <c r="K255"/>
      <c r="L255"/>
    </row>
    <row r="256" spans="2:12" x14ac:dyDescent="0.35">
      <c r="B256" s="1953"/>
      <c r="C256" s="1953"/>
      <c r="D256" s="1953"/>
      <c r="E256" s="1953"/>
      <c r="F256" s="1953"/>
      <c r="G256" s="1953"/>
      <c r="H256" s="1953"/>
      <c r="I256"/>
      <c r="J256"/>
      <c r="K256"/>
      <c r="L256"/>
    </row>
    <row r="257" spans="2:12" x14ac:dyDescent="0.35">
      <c r="B257" s="1953"/>
      <c r="C257" s="1953"/>
      <c r="D257" s="1953"/>
      <c r="E257" s="1953"/>
      <c r="F257" s="1953"/>
      <c r="G257" s="1953"/>
      <c r="H257" s="1953"/>
      <c r="I257"/>
      <c r="J257"/>
      <c r="K257"/>
      <c r="L257"/>
    </row>
    <row r="258" spans="2:12" x14ac:dyDescent="0.35">
      <c r="B258" s="1953"/>
      <c r="C258" s="1953"/>
      <c r="D258" s="1953"/>
      <c r="E258" s="1953"/>
      <c r="F258" s="1953"/>
      <c r="G258" s="1953"/>
      <c r="H258" s="1953"/>
      <c r="I258"/>
      <c r="J258"/>
      <c r="K258"/>
      <c r="L258"/>
    </row>
    <row r="259" spans="2:12" x14ac:dyDescent="0.35">
      <c r="B259" s="1953"/>
      <c r="C259" s="1953"/>
      <c r="D259" s="1953"/>
      <c r="E259" s="1953"/>
      <c r="F259" s="1953"/>
      <c r="G259" s="1953"/>
      <c r="H259" s="1953"/>
      <c r="I259"/>
      <c r="J259"/>
      <c r="K259"/>
      <c r="L259"/>
    </row>
    <row r="260" spans="2:12" x14ac:dyDescent="0.35">
      <c r="B260" s="1953"/>
      <c r="C260" s="1953"/>
      <c r="D260" s="1953"/>
      <c r="E260" s="1953"/>
      <c r="F260" s="1953"/>
      <c r="G260" s="1953"/>
      <c r="H260" s="1953"/>
      <c r="I260"/>
      <c r="J260"/>
      <c r="K260"/>
      <c r="L260"/>
    </row>
    <row r="261" spans="2:12" x14ac:dyDescent="0.35">
      <c r="B261" s="1953"/>
      <c r="C261" s="1953"/>
      <c r="D261" s="1953"/>
      <c r="E261" s="1953"/>
      <c r="F261" s="1953"/>
      <c r="G261" s="1953"/>
      <c r="H261" s="1953"/>
      <c r="I261"/>
      <c r="J261"/>
      <c r="K261"/>
      <c r="L261"/>
    </row>
    <row r="262" spans="2:12" x14ac:dyDescent="0.35">
      <c r="B262" s="1953"/>
      <c r="C262" s="1953"/>
      <c r="D262" s="1953"/>
      <c r="E262" s="1953"/>
      <c r="F262" s="1953"/>
      <c r="G262" s="1953"/>
      <c r="H262" s="1953"/>
      <c r="I262"/>
      <c r="J262"/>
      <c r="K262"/>
      <c r="L262"/>
    </row>
    <row r="263" spans="2:12" x14ac:dyDescent="0.35">
      <c r="B263" s="1953"/>
      <c r="C263" s="1953"/>
      <c r="D263" s="1953"/>
      <c r="E263" s="1953"/>
      <c r="F263" s="1953"/>
      <c r="G263" s="1953"/>
      <c r="H263" s="1953"/>
      <c r="I263"/>
      <c r="J263"/>
      <c r="K263"/>
      <c r="L263"/>
    </row>
    <row r="264" spans="2:12" x14ac:dyDescent="0.35">
      <c r="B264" s="1953"/>
      <c r="C264" s="1953"/>
      <c r="D264" s="1953"/>
      <c r="E264" s="1953"/>
      <c r="F264" s="1953"/>
      <c r="G264" s="1953"/>
      <c r="H264" s="1953"/>
      <c r="I264"/>
      <c r="J264"/>
      <c r="K264"/>
      <c r="L264"/>
    </row>
    <row r="265" spans="2:12" x14ac:dyDescent="0.35">
      <c r="B265" s="1953"/>
      <c r="C265" s="1953"/>
      <c r="D265" s="1953"/>
      <c r="E265" s="1953"/>
      <c r="F265" s="1953"/>
      <c r="G265" s="1953"/>
      <c r="H265" s="1953"/>
      <c r="I265"/>
      <c r="J265"/>
      <c r="K265"/>
      <c r="L265"/>
    </row>
    <row r="266" spans="2:12" x14ac:dyDescent="0.35">
      <c r="B266" s="1953"/>
      <c r="C266" s="1953"/>
      <c r="D266" s="1953"/>
      <c r="E266" s="1953"/>
      <c r="F266" s="1953"/>
      <c r="G266" s="1953"/>
      <c r="H266" s="1953"/>
      <c r="I266"/>
      <c r="J266"/>
      <c r="K266"/>
      <c r="L266"/>
    </row>
    <row r="267" spans="2:12" x14ac:dyDescent="0.35">
      <c r="B267" s="1953"/>
      <c r="C267" s="1953"/>
      <c r="D267" s="1953"/>
      <c r="E267" s="1953"/>
      <c r="F267" s="1953"/>
      <c r="G267" s="1953"/>
      <c r="H267" s="1953"/>
      <c r="I267"/>
      <c r="J267"/>
      <c r="K267"/>
      <c r="L267"/>
    </row>
    <row r="268" spans="2:12" x14ac:dyDescent="0.35">
      <c r="B268" s="1953"/>
      <c r="C268" s="1953"/>
      <c r="D268" s="1953"/>
      <c r="E268" s="1953"/>
      <c r="F268" s="1953"/>
      <c r="G268" s="1953"/>
      <c r="H268" s="1953"/>
      <c r="I268"/>
      <c r="J268"/>
      <c r="K268"/>
      <c r="L268"/>
    </row>
    <row r="269" spans="2:12" x14ac:dyDescent="0.35">
      <c r="B269" s="1953"/>
      <c r="C269" s="1953"/>
      <c r="D269" s="1953"/>
      <c r="E269" s="1953"/>
      <c r="F269" s="1953"/>
      <c r="G269" s="1953"/>
      <c r="H269" s="1953"/>
      <c r="I269"/>
      <c r="J269"/>
      <c r="K269"/>
      <c r="L269"/>
    </row>
    <row r="270" spans="2:12" x14ac:dyDescent="0.35">
      <c r="B270" s="1953"/>
      <c r="C270" s="1953"/>
      <c r="D270" s="1953"/>
      <c r="E270" s="1953"/>
      <c r="F270" s="1953"/>
      <c r="G270" s="1953"/>
      <c r="H270" s="1953"/>
      <c r="I270"/>
      <c r="J270"/>
      <c r="K270"/>
      <c r="L270"/>
    </row>
    <row r="271" spans="2:12" x14ac:dyDescent="0.35">
      <c r="B271" s="1953"/>
      <c r="C271" s="1953"/>
      <c r="D271" s="1953"/>
      <c r="E271" s="1953"/>
      <c r="F271" s="1953"/>
      <c r="G271" s="1953"/>
      <c r="H271" s="1953"/>
      <c r="I271"/>
      <c r="J271"/>
      <c r="K271"/>
      <c r="L271"/>
    </row>
    <row r="272" spans="2:12" x14ac:dyDescent="0.35">
      <c r="B272" s="1953"/>
      <c r="C272" s="1953"/>
      <c r="D272" s="1953"/>
      <c r="E272" s="1953"/>
      <c r="F272" s="1953"/>
      <c r="G272" s="1953"/>
      <c r="H272" s="1953"/>
      <c r="I272"/>
      <c r="J272"/>
      <c r="K272"/>
      <c r="L272"/>
    </row>
    <row r="273" spans="2:12" x14ac:dyDescent="0.35">
      <c r="B273" s="1953"/>
      <c r="C273" s="1953"/>
      <c r="D273" s="1953"/>
      <c r="E273" s="1953"/>
      <c r="F273" s="1953"/>
      <c r="G273" s="1953"/>
      <c r="H273" s="1953"/>
      <c r="I273"/>
      <c r="J273"/>
      <c r="K273"/>
      <c r="L273"/>
    </row>
    <row r="274" spans="2:12" x14ac:dyDescent="0.35">
      <c r="B274" s="1953"/>
      <c r="C274" s="1953"/>
      <c r="D274" s="1953"/>
      <c r="E274" s="1953"/>
      <c r="F274" s="1953"/>
      <c r="G274" s="1953"/>
      <c r="H274" s="1953"/>
      <c r="I274"/>
      <c r="J274"/>
      <c r="K274"/>
      <c r="L274"/>
    </row>
    <row r="275" spans="2:12" x14ac:dyDescent="0.35">
      <c r="B275" s="1953"/>
      <c r="C275" s="1953"/>
      <c r="D275" s="1953"/>
      <c r="E275" s="1953"/>
      <c r="F275" s="1953"/>
      <c r="G275" s="1953"/>
      <c r="H275" s="1953"/>
      <c r="I275"/>
      <c r="J275"/>
      <c r="K275"/>
      <c r="L275"/>
    </row>
    <row r="276" spans="2:12" x14ac:dyDescent="0.35">
      <c r="B276" s="1953"/>
      <c r="C276" s="1953"/>
      <c r="D276" s="1953"/>
      <c r="E276" s="1953"/>
      <c r="F276" s="1953"/>
      <c r="G276" s="1953"/>
      <c r="H276" s="1953"/>
      <c r="I276"/>
      <c r="J276"/>
      <c r="K276"/>
      <c r="L276"/>
    </row>
    <row r="277" spans="2:12" x14ac:dyDescent="0.35">
      <c r="B277" s="1953"/>
      <c r="C277" s="1953"/>
      <c r="D277" s="1953"/>
      <c r="E277" s="1953"/>
      <c r="F277" s="1953"/>
      <c r="G277" s="1953"/>
      <c r="H277" s="1953"/>
      <c r="I277"/>
      <c r="J277"/>
      <c r="K277"/>
      <c r="L277"/>
    </row>
    <row r="278" spans="2:12" x14ac:dyDescent="0.35">
      <c r="B278" s="1953"/>
      <c r="C278" s="1953"/>
      <c r="D278" s="1953"/>
      <c r="E278" s="1953"/>
      <c r="F278" s="1953"/>
      <c r="G278" s="1953"/>
      <c r="H278" s="1953"/>
      <c r="I278"/>
      <c r="J278"/>
      <c r="K278"/>
      <c r="L278"/>
    </row>
    <row r="279" spans="2:12" x14ac:dyDescent="0.35">
      <c r="B279" s="1953"/>
      <c r="C279" s="1953"/>
      <c r="D279" s="1953"/>
      <c r="E279" s="1953"/>
      <c r="F279" s="1953"/>
      <c r="G279" s="1953"/>
      <c r="H279" s="1953"/>
      <c r="I279"/>
      <c r="J279"/>
      <c r="K279"/>
      <c r="L279"/>
    </row>
    <row r="280" spans="2:12" x14ac:dyDescent="0.35">
      <c r="B280" s="1953"/>
      <c r="C280" s="1953"/>
      <c r="D280" s="1953"/>
      <c r="E280" s="1953"/>
      <c r="F280" s="1953"/>
      <c r="G280" s="1953"/>
      <c r="H280" s="1953"/>
      <c r="I280"/>
      <c r="J280"/>
      <c r="K280"/>
      <c r="L280"/>
    </row>
    <row r="281" spans="2:12" x14ac:dyDescent="0.35">
      <c r="B281" s="1953"/>
      <c r="C281" s="1953"/>
      <c r="D281" s="1953"/>
      <c r="E281" s="1953"/>
      <c r="F281" s="1953"/>
      <c r="G281" s="1953"/>
      <c r="H281" s="1953"/>
      <c r="I281"/>
      <c r="J281"/>
      <c r="K281"/>
      <c r="L281"/>
    </row>
    <row r="282" spans="2:12" x14ac:dyDescent="0.35">
      <c r="B282" s="1953"/>
      <c r="C282" s="1953"/>
      <c r="D282" s="1953"/>
      <c r="E282" s="1953"/>
      <c r="F282" s="1953"/>
      <c r="G282" s="1953"/>
      <c r="H282" s="1953"/>
      <c r="I282"/>
      <c r="J282"/>
      <c r="K282"/>
      <c r="L282"/>
    </row>
    <row r="283" spans="2:12" x14ac:dyDescent="0.35">
      <c r="B283" s="1953"/>
      <c r="C283" s="1953"/>
      <c r="D283" s="1953"/>
      <c r="E283" s="1953"/>
      <c r="F283" s="1953"/>
      <c r="G283" s="1953"/>
      <c r="H283" s="1953"/>
      <c r="I283"/>
      <c r="J283"/>
      <c r="K283"/>
      <c r="L283"/>
    </row>
    <row r="284" spans="2:12" x14ac:dyDescent="0.35">
      <c r="B284" s="1953"/>
      <c r="C284" s="1953"/>
      <c r="D284" s="1953"/>
      <c r="E284" s="1953"/>
      <c r="F284" s="1953"/>
      <c r="G284" s="1953"/>
      <c r="H284" s="1953"/>
      <c r="I284"/>
      <c r="J284"/>
      <c r="K284"/>
      <c r="L284"/>
    </row>
    <row r="285" spans="2:12" x14ac:dyDescent="0.35">
      <c r="B285" s="1953"/>
      <c r="C285" s="1953"/>
      <c r="D285" s="1953"/>
      <c r="E285" s="1953"/>
      <c r="F285" s="1953"/>
      <c r="G285" s="1953"/>
      <c r="H285" s="1953"/>
      <c r="I285"/>
      <c r="J285"/>
      <c r="K285"/>
      <c r="L285"/>
    </row>
    <row r="286" spans="2:12" x14ac:dyDescent="0.35">
      <c r="B286" s="1953"/>
      <c r="C286" s="1953"/>
      <c r="D286" s="1953"/>
      <c r="E286" s="1953"/>
      <c r="F286" s="1953"/>
      <c r="G286" s="1953"/>
      <c r="H286" s="1953"/>
      <c r="I286"/>
      <c r="J286"/>
      <c r="K286"/>
      <c r="L286"/>
    </row>
    <row r="287" spans="2:12" x14ac:dyDescent="0.35">
      <c r="B287" s="1953"/>
      <c r="C287" s="1953"/>
      <c r="D287" s="1953"/>
      <c r="E287" s="1953"/>
      <c r="F287" s="1953"/>
      <c r="G287" s="1953"/>
      <c r="H287" s="1953"/>
      <c r="I287"/>
      <c r="J287"/>
      <c r="K287"/>
      <c r="L287"/>
    </row>
    <row r="288" spans="2:12" x14ac:dyDescent="0.35">
      <c r="B288" s="1953"/>
      <c r="C288" s="1953"/>
      <c r="D288" s="1953"/>
      <c r="E288" s="1953"/>
      <c r="F288" s="1953"/>
      <c r="G288" s="1953"/>
      <c r="H288" s="1953"/>
      <c r="I288"/>
      <c r="J288"/>
      <c r="K288"/>
      <c r="L288"/>
    </row>
    <row r="289" spans="2:12" x14ac:dyDescent="0.35">
      <c r="B289" s="1953"/>
      <c r="C289" s="1953"/>
      <c r="D289" s="1953"/>
      <c r="E289" s="1953"/>
      <c r="F289" s="1953"/>
      <c r="G289" s="1953"/>
      <c r="H289" s="1953"/>
      <c r="I289"/>
      <c r="J289"/>
      <c r="K289"/>
      <c r="L289"/>
    </row>
    <row r="290" spans="2:12" x14ac:dyDescent="0.35">
      <c r="B290" s="1953"/>
      <c r="C290" s="1953"/>
      <c r="D290" s="1953"/>
      <c r="E290" s="1953"/>
      <c r="F290" s="1953"/>
      <c r="G290" s="1953"/>
      <c r="H290" s="1953"/>
      <c r="I290"/>
      <c r="J290"/>
      <c r="K290"/>
      <c r="L290"/>
    </row>
    <row r="291" spans="2:12" x14ac:dyDescent="0.35">
      <c r="B291" s="1953"/>
      <c r="C291" s="1953"/>
      <c r="D291" s="1953"/>
      <c r="E291" s="1953"/>
      <c r="F291" s="1953"/>
      <c r="G291" s="1953"/>
      <c r="H291" s="1953"/>
      <c r="I291"/>
      <c r="J291"/>
      <c r="K291"/>
      <c r="L291"/>
    </row>
    <row r="292" spans="2:12" x14ac:dyDescent="0.35">
      <c r="B292" s="1953"/>
      <c r="C292" s="1953"/>
      <c r="D292" s="1953"/>
      <c r="E292" s="1953"/>
      <c r="F292" s="1953"/>
      <c r="G292" s="1953"/>
      <c r="H292" s="1953"/>
      <c r="I292"/>
      <c r="J292"/>
      <c r="K292"/>
      <c r="L292"/>
    </row>
    <row r="293" spans="2:12" x14ac:dyDescent="0.35">
      <c r="B293" s="1953"/>
      <c r="C293" s="1953"/>
      <c r="D293" s="1953"/>
      <c r="E293" s="1953"/>
      <c r="F293" s="1953"/>
      <c r="G293" s="1953"/>
      <c r="H293" s="1953"/>
      <c r="I293"/>
      <c r="J293"/>
      <c r="K293"/>
      <c r="L293"/>
    </row>
    <row r="294" spans="2:12" x14ac:dyDescent="0.35">
      <c r="B294" s="1953"/>
      <c r="C294" s="1953"/>
      <c r="D294" s="1953"/>
      <c r="E294" s="1953"/>
      <c r="F294" s="1953"/>
      <c r="G294" s="1953"/>
      <c r="H294" s="1953"/>
      <c r="I294"/>
      <c r="J294"/>
      <c r="K294"/>
      <c r="L294"/>
    </row>
    <row r="295" spans="2:12" x14ac:dyDescent="0.35">
      <c r="B295" s="1953"/>
      <c r="C295" s="1953"/>
      <c r="D295" s="1953"/>
      <c r="E295" s="1953"/>
      <c r="F295" s="1953"/>
      <c r="G295" s="1953"/>
      <c r="H295" s="1953"/>
      <c r="I295"/>
      <c r="J295"/>
      <c r="K295"/>
      <c r="L295"/>
    </row>
    <row r="296" spans="2:12" x14ac:dyDescent="0.35">
      <c r="B296" s="1953"/>
      <c r="C296" s="1953"/>
      <c r="D296" s="1953"/>
      <c r="E296" s="1953"/>
      <c r="F296" s="1953"/>
      <c r="G296" s="1953"/>
      <c r="H296" s="1953"/>
      <c r="I296"/>
      <c r="J296"/>
      <c r="K296"/>
      <c r="L296"/>
    </row>
    <row r="297" spans="2:12" x14ac:dyDescent="0.35">
      <c r="B297" s="1953"/>
      <c r="C297" s="1953"/>
      <c r="D297" s="1953"/>
      <c r="E297" s="1953"/>
      <c r="F297" s="1953"/>
      <c r="G297" s="1953"/>
      <c r="H297" s="1953"/>
      <c r="I297"/>
      <c r="J297"/>
      <c r="K297"/>
      <c r="L297"/>
    </row>
    <row r="298" spans="2:12" x14ac:dyDescent="0.35">
      <c r="B298" s="1953"/>
      <c r="C298" s="1953"/>
      <c r="D298" s="1953"/>
      <c r="E298" s="1953"/>
      <c r="F298" s="1953"/>
      <c r="G298" s="1953"/>
      <c r="H298" s="1953"/>
      <c r="I298"/>
      <c r="J298"/>
      <c r="K298"/>
      <c r="L298"/>
    </row>
    <row r="299" spans="2:12" x14ac:dyDescent="0.35">
      <c r="B299" s="1953"/>
      <c r="C299" s="1953"/>
      <c r="D299" s="1953"/>
      <c r="E299" s="1953"/>
      <c r="F299" s="1953"/>
      <c r="G299" s="1953"/>
      <c r="H299" s="1953"/>
      <c r="I299"/>
      <c r="J299"/>
      <c r="K299"/>
      <c r="L299"/>
    </row>
    <row r="300" spans="2:12" x14ac:dyDescent="0.35">
      <c r="B300" s="1953"/>
      <c r="C300" s="1953"/>
      <c r="D300" s="1953"/>
      <c r="E300" s="1953"/>
      <c r="F300" s="1953"/>
      <c r="G300" s="1953"/>
      <c r="H300" s="1953"/>
      <c r="I300"/>
      <c r="J300"/>
      <c r="K300"/>
      <c r="L300"/>
    </row>
    <row r="301" spans="2:12" x14ac:dyDescent="0.35">
      <c r="B301" s="1953"/>
      <c r="C301" s="1953"/>
      <c r="D301" s="1953"/>
      <c r="E301" s="1953"/>
      <c r="F301" s="1953"/>
      <c r="G301" s="1953"/>
      <c r="H301" s="1953"/>
      <c r="I301"/>
      <c r="J301"/>
      <c r="K301"/>
      <c r="L301"/>
    </row>
    <row r="302" spans="2:12" x14ac:dyDescent="0.35">
      <c r="B302" s="1953"/>
      <c r="C302" s="1953"/>
      <c r="D302" s="1953"/>
      <c r="E302" s="1953"/>
      <c r="F302" s="1953"/>
      <c r="G302" s="1953"/>
      <c r="H302" s="1953"/>
      <c r="I302"/>
      <c r="J302"/>
      <c r="K302"/>
      <c r="L302"/>
    </row>
    <row r="303" spans="2:12" x14ac:dyDescent="0.35">
      <c r="B303" s="1953"/>
      <c r="C303" s="1953"/>
      <c r="D303" s="1953"/>
      <c r="E303" s="1953"/>
      <c r="F303" s="1953"/>
      <c r="G303" s="1953"/>
      <c r="H303" s="1953"/>
      <c r="I303"/>
      <c r="J303"/>
      <c r="K303"/>
      <c r="L303"/>
    </row>
    <row r="304" spans="2:12" x14ac:dyDescent="0.35">
      <c r="B304" s="1953"/>
      <c r="C304" s="1953"/>
      <c r="D304" s="1953"/>
      <c r="E304" s="1953"/>
      <c r="F304" s="1953"/>
      <c r="G304" s="1953"/>
      <c r="H304" s="1953"/>
      <c r="I304"/>
      <c r="J304"/>
      <c r="K304"/>
      <c r="L304"/>
    </row>
    <row r="305" spans="2:12" x14ac:dyDescent="0.35">
      <c r="B305" s="1953"/>
      <c r="C305" s="1953"/>
      <c r="D305" s="1953"/>
      <c r="E305" s="1953"/>
      <c r="F305" s="1953"/>
      <c r="G305" s="1953"/>
      <c r="H305" s="1953"/>
      <c r="I305"/>
      <c r="J305"/>
      <c r="K305"/>
      <c r="L305"/>
    </row>
    <row r="306" spans="2:12" x14ac:dyDescent="0.35">
      <c r="B306" s="1953"/>
      <c r="C306" s="1953"/>
      <c r="D306" s="1953"/>
      <c r="E306" s="1953"/>
      <c r="F306" s="1953"/>
      <c r="G306" s="1953"/>
      <c r="H306" s="1953"/>
      <c r="I306"/>
      <c r="J306"/>
      <c r="K306"/>
      <c r="L306"/>
    </row>
    <row r="307" spans="2:12" x14ac:dyDescent="0.35">
      <c r="B307" s="1953"/>
      <c r="C307" s="1953"/>
      <c r="D307" s="1953"/>
      <c r="E307" s="1953"/>
      <c r="F307" s="1953"/>
      <c r="G307" s="1953"/>
      <c r="H307" s="1953"/>
      <c r="I307"/>
      <c r="J307"/>
      <c r="K307"/>
      <c r="L307"/>
    </row>
    <row r="308" spans="2:12" x14ac:dyDescent="0.35">
      <c r="B308" s="1953"/>
      <c r="C308" s="1953"/>
      <c r="D308" s="1953"/>
      <c r="E308" s="1953"/>
      <c r="F308" s="1953"/>
      <c r="G308" s="1953"/>
      <c r="H308" s="1953"/>
      <c r="I308"/>
      <c r="J308"/>
      <c r="K308"/>
      <c r="L308"/>
    </row>
    <row r="309" spans="2:12" x14ac:dyDescent="0.35">
      <c r="B309" s="1953"/>
      <c r="C309" s="1953"/>
      <c r="D309" s="1953"/>
      <c r="E309" s="1953"/>
      <c r="F309" s="1953"/>
      <c r="G309" s="1953"/>
      <c r="H309" s="1953"/>
      <c r="I309"/>
      <c r="J309"/>
      <c r="K309"/>
      <c r="L309"/>
    </row>
    <row r="310" spans="2:12" x14ac:dyDescent="0.35">
      <c r="B310" s="1953"/>
      <c r="C310" s="1953"/>
      <c r="D310" s="1953"/>
      <c r="E310" s="1953"/>
      <c r="F310" s="1953"/>
      <c r="G310" s="1953"/>
      <c r="H310" s="1953"/>
      <c r="I310"/>
      <c r="J310"/>
      <c r="K310"/>
      <c r="L310"/>
    </row>
    <row r="311" spans="2:12" x14ac:dyDescent="0.35">
      <c r="B311" s="1953"/>
      <c r="C311" s="1953"/>
      <c r="D311" s="1953"/>
      <c r="E311" s="1953"/>
      <c r="F311" s="1953"/>
      <c r="G311" s="1953"/>
      <c r="H311" s="1953"/>
      <c r="I311"/>
      <c r="J311"/>
      <c r="K311"/>
      <c r="L311"/>
    </row>
    <row r="312" spans="2:12" x14ac:dyDescent="0.35">
      <c r="B312" s="1953"/>
      <c r="C312" s="1953"/>
      <c r="D312" s="1953"/>
      <c r="E312" s="1953"/>
      <c r="F312" s="1953"/>
      <c r="G312" s="1953"/>
      <c r="H312" s="1953"/>
      <c r="I312"/>
      <c r="J312"/>
      <c r="K312"/>
      <c r="L312"/>
    </row>
    <row r="313" spans="2:12" x14ac:dyDescent="0.35">
      <c r="B313" s="1953"/>
      <c r="C313" s="1953"/>
      <c r="D313" s="1953"/>
      <c r="E313" s="1953"/>
      <c r="F313" s="1953"/>
      <c r="G313" s="1953"/>
      <c r="H313" s="1953"/>
      <c r="I313"/>
      <c r="J313"/>
      <c r="K313"/>
      <c r="L313"/>
    </row>
    <row r="314" spans="2:12" x14ac:dyDescent="0.35">
      <c r="B314" s="1953"/>
      <c r="C314" s="1953"/>
      <c r="D314" s="1953"/>
      <c r="E314" s="1953"/>
      <c r="F314" s="1953"/>
      <c r="G314" s="1953"/>
      <c r="H314" s="1953"/>
      <c r="I314"/>
      <c r="J314"/>
      <c r="K314"/>
      <c r="L314"/>
    </row>
    <row r="315" spans="2:12" x14ac:dyDescent="0.35">
      <c r="B315" s="1953"/>
      <c r="C315" s="1953"/>
      <c r="D315" s="1953"/>
      <c r="E315" s="1953"/>
      <c r="F315" s="1953"/>
      <c r="G315" s="1953"/>
      <c r="H315" s="1953"/>
      <c r="I315"/>
      <c r="J315"/>
      <c r="K315"/>
      <c r="L315"/>
    </row>
    <row r="316" spans="2:12" x14ac:dyDescent="0.35">
      <c r="B316" s="1953"/>
      <c r="C316" s="1953"/>
      <c r="D316" s="1953"/>
      <c r="E316" s="1953"/>
      <c r="F316" s="1953"/>
      <c r="G316" s="1953"/>
      <c r="H316" s="1953"/>
      <c r="I316"/>
      <c r="J316"/>
      <c r="K316"/>
      <c r="L316"/>
    </row>
    <row r="317" spans="2:12" x14ac:dyDescent="0.35">
      <c r="B317" s="1953"/>
      <c r="C317" s="1953"/>
      <c r="D317" s="1953"/>
      <c r="E317" s="1953"/>
      <c r="F317" s="1953"/>
      <c r="G317" s="1953"/>
      <c r="H317" s="1953"/>
      <c r="I317"/>
      <c r="J317"/>
      <c r="K317"/>
      <c r="L317"/>
    </row>
    <row r="318" spans="2:12" x14ac:dyDescent="0.35">
      <c r="B318" s="1953"/>
      <c r="C318" s="1953"/>
      <c r="D318" s="1953"/>
      <c r="E318" s="1953"/>
      <c r="F318" s="1953"/>
      <c r="G318" s="1953"/>
      <c r="H318" s="1953"/>
      <c r="I318"/>
      <c r="J318"/>
      <c r="K318"/>
      <c r="L318"/>
    </row>
    <row r="319" spans="2:12" x14ac:dyDescent="0.35">
      <c r="B319" s="1953"/>
      <c r="C319" s="1953"/>
      <c r="D319" s="1953"/>
      <c r="E319" s="1953"/>
      <c r="F319" s="1953"/>
      <c r="G319" s="1953"/>
      <c r="H319" s="1953"/>
      <c r="I319"/>
      <c r="J319"/>
      <c r="K319"/>
      <c r="L319"/>
    </row>
    <row r="320" spans="2:12" x14ac:dyDescent="0.35">
      <c r="B320" s="1953"/>
      <c r="C320" s="1953"/>
      <c r="D320" s="1953"/>
      <c r="E320" s="1953"/>
      <c r="F320" s="1953"/>
      <c r="G320" s="1953"/>
      <c r="H320" s="1953"/>
      <c r="I320"/>
      <c r="J320"/>
      <c r="K320"/>
      <c r="L320"/>
    </row>
    <row r="321" spans="2:12" x14ac:dyDescent="0.35">
      <c r="B321" s="1953"/>
      <c r="C321" s="1953"/>
      <c r="D321" s="1953"/>
      <c r="E321" s="1953"/>
      <c r="F321" s="1953"/>
      <c r="G321" s="1953"/>
      <c r="H321" s="1953"/>
      <c r="I321"/>
      <c r="J321"/>
      <c r="K321"/>
      <c r="L321"/>
    </row>
    <row r="322" spans="2:12" x14ac:dyDescent="0.35">
      <c r="B322" s="1953"/>
      <c r="C322" s="1953"/>
      <c r="D322" s="1953"/>
      <c r="E322" s="1953"/>
      <c r="F322" s="1953"/>
      <c r="G322" s="1953"/>
      <c r="H322" s="1953"/>
      <c r="I322"/>
      <c r="J322"/>
      <c r="K322"/>
      <c r="L322"/>
    </row>
    <row r="323" spans="2:12" x14ac:dyDescent="0.35">
      <c r="B323" s="1953"/>
      <c r="C323" s="1953"/>
      <c r="D323" s="1953"/>
      <c r="E323" s="1953"/>
      <c r="F323" s="1953"/>
      <c r="G323" s="1953"/>
      <c r="H323" s="1953"/>
      <c r="I323"/>
      <c r="J323"/>
      <c r="K323"/>
      <c r="L323"/>
    </row>
    <row r="324" spans="2:12" x14ac:dyDescent="0.35">
      <c r="B324" s="1953"/>
      <c r="C324" s="1953"/>
      <c r="D324" s="1953"/>
      <c r="E324" s="1953"/>
      <c r="F324" s="1953"/>
      <c r="G324" s="1953"/>
      <c r="H324" s="1953"/>
      <c r="I324"/>
      <c r="J324"/>
      <c r="K324"/>
      <c r="L324"/>
    </row>
    <row r="325" spans="2:12" x14ac:dyDescent="0.35">
      <c r="B325" s="1953"/>
      <c r="C325" s="1953"/>
      <c r="D325" s="1953"/>
      <c r="E325" s="1953"/>
      <c r="F325" s="1953"/>
      <c r="G325" s="1953"/>
      <c r="H325" s="1953"/>
      <c r="I325"/>
      <c r="J325"/>
      <c r="K325"/>
      <c r="L325"/>
    </row>
    <row r="326" spans="2:12" x14ac:dyDescent="0.35">
      <c r="B326" s="1953"/>
      <c r="C326" s="1953"/>
      <c r="D326" s="1953"/>
      <c r="E326" s="1953"/>
      <c r="F326" s="1953"/>
      <c r="G326" s="1953"/>
      <c r="H326" s="1953"/>
      <c r="I326"/>
      <c r="J326"/>
      <c r="K326"/>
      <c r="L326"/>
    </row>
    <row r="327" spans="2:12" x14ac:dyDescent="0.35">
      <c r="B327" s="1953"/>
      <c r="C327" s="1953"/>
      <c r="D327" s="1953"/>
      <c r="E327" s="1953"/>
      <c r="F327" s="1953"/>
      <c r="G327" s="1953"/>
      <c r="H327" s="1953"/>
      <c r="I327"/>
      <c r="J327"/>
      <c r="K327"/>
      <c r="L327"/>
    </row>
    <row r="328" spans="2:12" x14ac:dyDescent="0.35">
      <c r="B328" s="1953"/>
      <c r="C328" s="1953"/>
      <c r="D328" s="1953"/>
      <c r="E328" s="1953"/>
      <c r="F328" s="1953"/>
      <c r="G328" s="1953"/>
      <c r="H328" s="1953"/>
      <c r="I328"/>
      <c r="J328"/>
      <c r="K328"/>
      <c r="L328"/>
    </row>
    <row r="329" spans="2:12" x14ac:dyDescent="0.35">
      <c r="B329" s="1953"/>
      <c r="C329" s="1953"/>
      <c r="D329" s="1953"/>
      <c r="E329" s="1953"/>
      <c r="F329" s="1953"/>
      <c r="G329" s="1953"/>
      <c r="H329" s="1953"/>
      <c r="I329"/>
      <c r="J329"/>
      <c r="K329"/>
      <c r="L329"/>
    </row>
    <row r="330" spans="2:12" x14ac:dyDescent="0.35">
      <c r="B330" s="1953"/>
      <c r="C330" s="1953"/>
      <c r="D330" s="1953"/>
      <c r="E330" s="1953"/>
      <c r="F330" s="1953"/>
      <c r="G330" s="1953"/>
      <c r="H330" s="1953"/>
      <c r="I330"/>
      <c r="J330"/>
      <c r="K330"/>
      <c r="L330"/>
    </row>
    <row r="331" spans="2:12" x14ac:dyDescent="0.35">
      <c r="B331" s="1953"/>
      <c r="C331" s="1953"/>
      <c r="D331" s="1953"/>
      <c r="E331" s="1953"/>
      <c r="F331" s="1953"/>
      <c r="G331" s="1953"/>
      <c r="H331" s="1953"/>
      <c r="I331"/>
      <c r="J331"/>
      <c r="K331"/>
      <c r="L331"/>
    </row>
    <row r="332" spans="2:12" x14ac:dyDescent="0.35">
      <c r="B332" s="1953"/>
      <c r="C332" s="1953"/>
      <c r="D332" s="1953"/>
      <c r="E332" s="1953"/>
      <c r="F332" s="1953"/>
      <c r="G332" s="1953"/>
      <c r="H332" s="1953"/>
      <c r="I332"/>
      <c r="J332"/>
      <c r="K332"/>
      <c r="L332"/>
    </row>
    <row r="333" spans="2:12" x14ac:dyDescent="0.35">
      <c r="B333" s="1953"/>
      <c r="C333" s="1953"/>
      <c r="D333" s="1953"/>
      <c r="E333" s="1953"/>
      <c r="F333" s="1953"/>
      <c r="G333" s="1953"/>
      <c r="H333" s="1953"/>
      <c r="I333"/>
      <c r="J333"/>
      <c r="K333"/>
      <c r="L333"/>
    </row>
    <row r="334" spans="2:12" x14ac:dyDescent="0.35">
      <c r="B334" s="1953"/>
      <c r="C334" s="1953"/>
      <c r="D334" s="1953"/>
      <c r="E334" s="1953"/>
      <c r="F334" s="1953"/>
      <c r="G334" s="1953"/>
      <c r="H334" s="1953"/>
      <c r="I334"/>
      <c r="J334"/>
      <c r="K334"/>
      <c r="L334"/>
    </row>
    <row r="335" spans="2:12" x14ac:dyDescent="0.35">
      <c r="B335" s="1953"/>
      <c r="C335" s="1953"/>
      <c r="D335" s="1953"/>
      <c r="E335" s="1953"/>
      <c r="F335" s="1953"/>
      <c r="G335" s="1953"/>
      <c r="H335" s="1953"/>
      <c r="I335"/>
      <c r="J335"/>
      <c r="K335"/>
      <c r="L335"/>
    </row>
    <row r="336" spans="2:12" x14ac:dyDescent="0.35">
      <c r="B336" s="1953"/>
      <c r="C336" s="1953"/>
      <c r="D336" s="1953"/>
      <c r="E336" s="1953"/>
      <c r="F336" s="1953"/>
      <c r="G336" s="1953"/>
      <c r="H336" s="1953"/>
      <c r="I336"/>
      <c r="J336"/>
      <c r="K336"/>
      <c r="L336"/>
    </row>
    <row r="337" spans="2:12" x14ac:dyDescent="0.35">
      <c r="B337" s="1953"/>
      <c r="C337" s="1953"/>
      <c r="D337" s="1953"/>
      <c r="E337" s="1953"/>
      <c r="F337" s="1953"/>
      <c r="G337" s="1953"/>
      <c r="H337" s="1953"/>
      <c r="I337"/>
      <c r="J337"/>
      <c r="K337"/>
      <c r="L337"/>
    </row>
    <row r="338" spans="2:12" x14ac:dyDescent="0.35">
      <c r="B338" s="1953"/>
      <c r="C338" s="1953"/>
      <c r="D338" s="1953"/>
      <c r="E338" s="1953"/>
      <c r="F338" s="1953"/>
      <c r="G338" s="1953"/>
      <c r="H338" s="1953"/>
      <c r="I338"/>
      <c r="J338"/>
      <c r="K338"/>
      <c r="L338"/>
    </row>
    <row r="339" spans="2:12" x14ac:dyDescent="0.35">
      <c r="B339" s="1953"/>
      <c r="C339" s="1953"/>
      <c r="D339" s="1953"/>
      <c r="E339" s="1953"/>
      <c r="F339" s="1953"/>
      <c r="G339" s="1953"/>
      <c r="H339" s="1953"/>
      <c r="I339"/>
      <c r="J339"/>
      <c r="K339"/>
      <c r="L339"/>
    </row>
    <row r="340" spans="2:12" x14ac:dyDescent="0.35">
      <c r="B340" s="1953"/>
      <c r="C340" s="1953"/>
      <c r="D340" s="1953"/>
      <c r="E340" s="1953"/>
      <c r="F340" s="1953"/>
      <c r="G340" s="1953"/>
      <c r="H340" s="1953"/>
      <c r="I340"/>
      <c r="J340"/>
      <c r="K340"/>
      <c r="L340"/>
    </row>
    <row r="341" spans="2:12" x14ac:dyDescent="0.35">
      <c r="B341" s="1953"/>
      <c r="C341" s="1953"/>
      <c r="D341" s="1953"/>
      <c r="E341" s="1953"/>
      <c r="F341" s="1953"/>
      <c r="G341" s="1953"/>
      <c r="H341" s="1953"/>
      <c r="I341"/>
      <c r="J341"/>
      <c r="K341"/>
      <c r="L341"/>
    </row>
    <row r="342" spans="2:12" x14ac:dyDescent="0.35">
      <c r="B342" s="1953"/>
      <c r="C342" s="1953"/>
      <c r="D342" s="1953"/>
      <c r="E342" s="1953"/>
      <c r="F342" s="1953"/>
      <c r="G342" s="1953"/>
      <c r="H342" s="1953"/>
      <c r="I342"/>
      <c r="J342"/>
      <c r="K342"/>
      <c r="L342"/>
    </row>
    <row r="343" spans="2:12" x14ac:dyDescent="0.35">
      <c r="B343" s="1953"/>
      <c r="C343" s="1953"/>
      <c r="D343" s="1953"/>
      <c r="E343" s="1953"/>
      <c r="F343" s="1953"/>
      <c r="G343" s="1953"/>
      <c r="H343" s="1953"/>
      <c r="I343"/>
      <c r="J343"/>
      <c r="K343"/>
      <c r="L343"/>
    </row>
    <row r="344" spans="2:12" x14ac:dyDescent="0.35">
      <c r="B344" s="1953"/>
      <c r="C344" s="1953"/>
      <c r="D344" s="1953"/>
      <c r="E344" s="1953"/>
      <c r="F344" s="1953"/>
      <c r="G344" s="1953"/>
      <c r="H344" s="1953"/>
      <c r="I344"/>
      <c r="J344"/>
      <c r="K344"/>
      <c r="L344"/>
    </row>
    <row r="345" spans="2:12" x14ac:dyDescent="0.35">
      <c r="B345" s="1953"/>
      <c r="C345" s="1953"/>
      <c r="D345" s="1953"/>
      <c r="E345" s="1953"/>
      <c r="F345" s="1953"/>
      <c r="G345" s="1953"/>
      <c r="H345" s="1953"/>
      <c r="I345"/>
      <c r="J345"/>
      <c r="K345"/>
      <c r="L345"/>
    </row>
    <row r="346" spans="2:12" x14ac:dyDescent="0.35">
      <c r="B346" s="1953"/>
      <c r="C346" s="1953"/>
      <c r="D346" s="1953"/>
      <c r="E346" s="1953"/>
      <c r="F346" s="1953"/>
      <c r="G346" s="1953"/>
      <c r="H346" s="1953"/>
      <c r="I346"/>
      <c r="J346"/>
      <c r="K346"/>
      <c r="L346"/>
    </row>
    <row r="347" spans="2:12" x14ac:dyDescent="0.35">
      <c r="B347" s="1953"/>
      <c r="C347" s="1953"/>
      <c r="D347" s="1953"/>
      <c r="E347" s="1953"/>
      <c r="F347" s="1953"/>
      <c r="G347" s="1953"/>
      <c r="H347" s="1953"/>
      <c r="I347"/>
      <c r="J347"/>
      <c r="K347"/>
      <c r="L347"/>
    </row>
    <row r="348" spans="2:12" x14ac:dyDescent="0.35">
      <c r="B348" s="1953"/>
      <c r="C348" s="1953"/>
      <c r="D348" s="1953"/>
      <c r="E348" s="1953"/>
      <c r="F348" s="1953"/>
      <c r="G348" s="1953"/>
      <c r="H348" s="1953"/>
      <c r="I348"/>
      <c r="J348"/>
      <c r="K348"/>
      <c r="L348"/>
    </row>
    <row r="349" spans="2:12" x14ac:dyDescent="0.35">
      <c r="B349" s="1953"/>
      <c r="C349" s="1953"/>
      <c r="D349" s="1953"/>
      <c r="E349" s="1953"/>
      <c r="F349" s="1953"/>
      <c r="G349" s="1953"/>
      <c r="H349" s="1953"/>
      <c r="I349"/>
      <c r="J349"/>
      <c r="K349"/>
      <c r="L349"/>
    </row>
    <row r="350" spans="2:12" x14ac:dyDescent="0.35">
      <c r="B350" s="1953"/>
      <c r="C350" s="1953"/>
      <c r="D350" s="1953"/>
      <c r="E350" s="1953"/>
      <c r="F350" s="1953"/>
      <c r="G350" s="1953"/>
      <c r="H350" s="1953"/>
      <c r="I350"/>
      <c r="J350"/>
      <c r="K350"/>
      <c r="L350"/>
    </row>
    <row r="351" spans="2:12" x14ac:dyDescent="0.35">
      <c r="B351" s="1953"/>
      <c r="C351" s="1953"/>
      <c r="D351" s="1953"/>
      <c r="E351" s="1953"/>
      <c r="F351" s="1953"/>
      <c r="G351" s="1953"/>
      <c r="H351" s="1953"/>
      <c r="I351"/>
      <c r="J351"/>
      <c r="K351"/>
      <c r="L351"/>
    </row>
    <row r="352" spans="2:12" x14ac:dyDescent="0.35">
      <c r="B352" s="1953"/>
      <c r="C352" s="1953"/>
      <c r="D352" s="1953"/>
      <c r="E352" s="1953"/>
      <c r="F352" s="1953"/>
      <c r="G352" s="1953"/>
      <c r="H352" s="1953"/>
      <c r="I352"/>
      <c r="J352"/>
      <c r="K352"/>
      <c r="L352"/>
    </row>
    <row r="353" spans="2:12" x14ac:dyDescent="0.35">
      <c r="B353" s="1953"/>
      <c r="C353" s="1953"/>
      <c r="D353" s="1953"/>
      <c r="E353" s="1953"/>
      <c r="F353" s="1953"/>
      <c r="G353" s="1953"/>
      <c r="H353" s="1953"/>
      <c r="I353"/>
      <c r="J353"/>
      <c r="K353"/>
      <c r="L353"/>
    </row>
    <row r="354" spans="2:12" x14ac:dyDescent="0.35">
      <c r="B354" s="1953"/>
      <c r="C354" s="1953"/>
      <c r="D354" s="1953"/>
      <c r="E354" s="1953"/>
      <c r="F354" s="1953"/>
      <c r="G354" s="1953"/>
      <c r="H354" s="1953"/>
      <c r="I354"/>
      <c r="J354"/>
      <c r="K354"/>
      <c r="L354"/>
    </row>
    <row r="355" spans="2:12" x14ac:dyDescent="0.35">
      <c r="B355" s="1953"/>
      <c r="C355" s="1953"/>
      <c r="D355" s="1953"/>
      <c r="E355" s="1953"/>
      <c r="F355" s="1953"/>
      <c r="G355" s="1953"/>
      <c r="H355" s="1953"/>
      <c r="I355"/>
      <c r="J355"/>
      <c r="K355"/>
      <c r="L355"/>
    </row>
    <row r="356" spans="2:12" x14ac:dyDescent="0.35">
      <c r="B356" s="1953"/>
      <c r="C356" s="1953"/>
      <c r="D356" s="1953"/>
      <c r="E356" s="1953"/>
      <c r="F356" s="1953"/>
      <c r="G356" s="1953"/>
      <c r="H356" s="1953"/>
      <c r="I356"/>
      <c r="J356"/>
      <c r="K356"/>
      <c r="L356"/>
    </row>
    <row r="357" spans="2:12" x14ac:dyDescent="0.35">
      <c r="B357" s="1953"/>
      <c r="C357" s="1953"/>
      <c r="D357" s="1953"/>
      <c r="E357" s="1953"/>
      <c r="F357" s="1953"/>
      <c r="G357" s="1953"/>
      <c r="H357" s="1953"/>
      <c r="I357"/>
      <c r="J357"/>
      <c r="K357"/>
      <c r="L357"/>
    </row>
    <row r="358" spans="2:12" x14ac:dyDescent="0.35">
      <c r="B358" s="1953"/>
      <c r="C358" s="1953"/>
      <c r="D358" s="1953"/>
      <c r="E358" s="1953"/>
      <c r="F358" s="1953"/>
      <c r="G358" s="1953"/>
      <c r="H358" s="1953"/>
      <c r="I358"/>
      <c r="J358"/>
      <c r="K358"/>
      <c r="L358"/>
    </row>
    <row r="359" spans="2:12" x14ac:dyDescent="0.35">
      <c r="B359" s="1953"/>
      <c r="C359" s="1953"/>
      <c r="D359" s="1953"/>
      <c r="E359" s="1953"/>
      <c r="F359" s="1953"/>
      <c r="G359" s="1953"/>
      <c r="H359" s="1953"/>
      <c r="I359"/>
      <c r="J359"/>
      <c r="K359"/>
      <c r="L359"/>
    </row>
    <row r="360" spans="2:12" x14ac:dyDescent="0.35">
      <c r="B360" s="1953"/>
      <c r="C360" s="1953"/>
      <c r="D360" s="1953"/>
      <c r="E360" s="1953"/>
      <c r="F360" s="1953"/>
      <c r="G360" s="1953"/>
      <c r="H360" s="1953"/>
      <c r="I360"/>
      <c r="J360"/>
      <c r="K360"/>
      <c r="L360"/>
    </row>
    <row r="361" spans="2:12" x14ac:dyDescent="0.35">
      <c r="B361" s="1953"/>
      <c r="C361" s="1953"/>
      <c r="D361" s="1953"/>
      <c r="E361" s="1953"/>
      <c r="F361" s="1953"/>
      <c r="G361" s="1953"/>
      <c r="H361" s="1953"/>
      <c r="I361"/>
      <c r="J361"/>
      <c r="K361"/>
      <c r="L361"/>
    </row>
    <row r="362" spans="2:12" x14ac:dyDescent="0.35">
      <c r="B362" s="1953"/>
      <c r="C362" s="1953"/>
      <c r="D362" s="1953"/>
      <c r="E362" s="1953"/>
      <c r="F362" s="1953"/>
      <c r="G362" s="1953"/>
      <c r="H362" s="1953"/>
      <c r="I362"/>
      <c r="J362"/>
      <c r="K362"/>
      <c r="L362"/>
    </row>
    <row r="363" spans="2:12" x14ac:dyDescent="0.35">
      <c r="B363" s="1953"/>
      <c r="C363" s="1953"/>
      <c r="D363" s="1953"/>
      <c r="E363" s="1953"/>
      <c r="F363" s="1953"/>
      <c r="G363" s="1953"/>
      <c r="H363" s="1953"/>
      <c r="I363"/>
      <c r="J363"/>
      <c r="K363"/>
      <c r="L363"/>
    </row>
    <row r="364" spans="2:12" x14ac:dyDescent="0.35">
      <c r="B364" s="1953"/>
      <c r="C364" s="1953"/>
      <c r="D364" s="1953"/>
      <c r="E364" s="1953"/>
      <c r="F364" s="1953"/>
      <c r="G364" s="1953"/>
      <c r="H364" s="1953"/>
      <c r="I364"/>
      <c r="J364"/>
      <c r="K364"/>
      <c r="L364"/>
    </row>
    <row r="365" spans="2:12" x14ac:dyDescent="0.35">
      <c r="B365" s="1953"/>
      <c r="C365" s="1953"/>
      <c r="D365" s="1953"/>
      <c r="E365" s="1953"/>
      <c r="F365" s="1953"/>
      <c r="G365" s="1953"/>
      <c r="H365" s="1953"/>
      <c r="I365"/>
      <c r="J365"/>
      <c r="K365"/>
      <c r="L365"/>
    </row>
    <row r="366" spans="2:12" x14ac:dyDescent="0.35">
      <c r="B366" s="1953"/>
      <c r="C366" s="1953"/>
      <c r="D366" s="1953"/>
      <c r="E366" s="1953"/>
      <c r="F366" s="1953"/>
      <c r="G366" s="1953"/>
      <c r="H366" s="1953"/>
      <c r="I366"/>
      <c r="J366"/>
      <c r="K366"/>
      <c r="L366"/>
    </row>
    <row r="367" spans="2:12" x14ac:dyDescent="0.35">
      <c r="B367" s="1953"/>
      <c r="C367" s="1953"/>
      <c r="D367" s="1953"/>
      <c r="E367" s="1953"/>
      <c r="F367" s="1953"/>
      <c r="G367" s="1953"/>
      <c r="H367" s="1953"/>
      <c r="I367"/>
      <c r="J367"/>
      <c r="K367"/>
      <c r="L367"/>
    </row>
    <row r="368" spans="2:12" x14ac:dyDescent="0.35">
      <c r="B368" s="1953"/>
      <c r="C368" s="1953"/>
      <c r="D368" s="1953"/>
      <c r="E368" s="1953"/>
      <c r="F368" s="1953"/>
      <c r="G368" s="1953"/>
      <c r="H368" s="1953"/>
      <c r="I368"/>
      <c r="J368"/>
      <c r="K368"/>
      <c r="L368"/>
    </row>
    <row r="369" spans="2:12" x14ac:dyDescent="0.35">
      <c r="B369" s="1953"/>
      <c r="C369" s="1953"/>
      <c r="D369" s="1953"/>
      <c r="E369" s="1953"/>
      <c r="F369" s="1953"/>
      <c r="G369" s="1953"/>
      <c r="H369" s="1953"/>
      <c r="I369"/>
      <c r="J369"/>
      <c r="K369"/>
      <c r="L369"/>
    </row>
    <row r="370" spans="2:12" x14ac:dyDescent="0.35">
      <c r="B370" s="1953"/>
      <c r="C370" s="1953"/>
      <c r="D370" s="1953"/>
      <c r="E370" s="1953"/>
      <c r="F370" s="1953"/>
      <c r="G370" s="1953"/>
      <c r="H370" s="1953"/>
      <c r="I370"/>
      <c r="J370"/>
      <c r="K370"/>
      <c r="L370"/>
    </row>
    <row r="371" spans="2:12" x14ac:dyDescent="0.35">
      <c r="B371" s="1953"/>
      <c r="C371" s="1953"/>
      <c r="D371" s="1953"/>
      <c r="E371" s="1953"/>
      <c r="F371" s="1953"/>
      <c r="G371" s="1953"/>
      <c r="H371" s="1953"/>
      <c r="I371"/>
      <c r="J371"/>
      <c r="K371"/>
      <c r="L371"/>
    </row>
    <row r="372" spans="2:12" x14ac:dyDescent="0.35">
      <c r="B372" s="1953"/>
      <c r="C372" s="1953"/>
      <c r="D372" s="1953"/>
      <c r="E372" s="1953"/>
      <c r="F372" s="1953"/>
      <c r="G372" s="1953"/>
      <c r="H372" s="1953"/>
      <c r="I372"/>
      <c r="J372"/>
      <c r="K372"/>
      <c r="L372"/>
    </row>
    <row r="373" spans="2:12" x14ac:dyDescent="0.35">
      <c r="B373" s="1953"/>
      <c r="C373" s="1953"/>
      <c r="D373" s="1953"/>
      <c r="E373" s="1953"/>
      <c r="F373" s="1953"/>
      <c r="G373" s="1953"/>
      <c r="H373" s="1953"/>
      <c r="I373"/>
      <c r="J373"/>
      <c r="K373"/>
      <c r="L373"/>
    </row>
    <row r="374" spans="2:12" x14ac:dyDescent="0.35">
      <c r="B374" s="1953"/>
      <c r="C374" s="1953"/>
      <c r="D374" s="1953"/>
      <c r="E374" s="1953"/>
      <c r="F374" s="1953"/>
      <c r="G374" s="1953"/>
      <c r="H374" s="1953"/>
      <c r="I374"/>
      <c r="J374"/>
      <c r="K374"/>
      <c r="L374"/>
    </row>
    <row r="375" spans="2:12" x14ac:dyDescent="0.35">
      <c r="B375" s="1953"/>
      <c r="C375" s="1953"/>
      <c r="D375" s="1953"/>
      <c r="E375" s="1953"/>
      <c r="F375" s="1953"/>
      <c r="G375" s="1953"/>
      <c r="H375" s="1953"/>
      <c r="I375"/>
      <c r="J375"/>
      <c r="K375"/>
      <c r="L375"/>
    </row>
    <row r="376" spans="2:12" x14ac:dyDescent="0.35">
      <c r="B376" s="1953"/>
      <c r="C376" s="1953"/>
      <c r="D376" s="1953"/>
      <c r="E376" s="1953"/>
      <c r="F376" s="1953"/>
      <c r="G376" s="1953"/>
      <c r="H376" s="1953"/>
      <c r="I376"/>
      <c r="J376"/>
      <c r="K376"/>
      <c r="L376"/>
    </row>
    <row r="377" spans="2:12" x14ac:dyDescent="0.35">
      <c r="B377" s="1953"/>
      <c r="C377" s="1953"/>
      <c r="D377" s="1953"/>
      <c r="E377" s="1953"/>
      <c r="F377" s="1953"/>
      <c r="G377" s="1953"/>
      <c r="H377" s="1953"/>
      <c r="I377"/>
      <c r="J377"/>
      <c r="K377"/>
      <c r="L377"/>
    </row>
    <row r="378" spans="2:12" x14ac:dyDescent="0.35">
      <c r="B378" s="1953"/>
      <c r="C378" s="1953"/>
      <c r="D378" s="1953"/>
      <c r="E378" s="1953"/>
      <c r="F378" s="1953"/>
      <c r="G378" s="1953"/>
      <c r="H378" s="1953"/>
      <c r="I378"/>
      <c r="J378"/>
      <c r="K378"/>
      <c r="L378"/>
    </row>
    <row r="379" spans="2:12" x14ac:dyDescent="0.35">
      <c r="B379" s="1953"/>
      <c r="C379" s="1953"/>
      <c r="D379" s="1953"/>
      <c r="E379" s="1953"/>
      <c r="F379" s="1953"/>
      <c r="G379" s="1953"/>
      <c r="H379" s="1953"/>
      <c r="I379"/>
      <c r="J379"/>
      <c r="K379"/>
      <c r="L379"/>
    </row>
    <row r="380" spans="2:12" x14ac:dyDescent="0.35">
      <c r="B380" s="1953"/>
      <c r="C380" s="1953"/>
      <c r="D380" s="1953"/>
      <c r="E380" s="1953"/>
      <c r="F380" s="1953"/>
      <c r="G380" s="1953"/>
      <c r="H380" s="1953"/>
      <c r="I380"/>
      <c r="J380"/>
      <c r="K380"/>
      <c r="L380"/>
    </row>
    <row r="381" spans="2:12" x14ac:dyDescent="0.35">
      <c r="B381" s="1953"/>
      <c r="C381" s="1953"/>
      <c r="D381" s="1953"/>
      <c r="E381" s="1953"/>
      <c r="F381" s="1953"/>
      <c r="G381" s="1953"/>
      <c r="H381" s="1953"/>
      <c r="I381"/>
      <c r="J381"/>
      <c r="K381"/>
      <c r="L381"/>
    </row>
    <row r="382" spans="2:12" x14ac:dyDescent="0.35">
      <c r="B382" s="1953"/>
      <c r="C382" s="1953"/>
      <c r="D382" s="1953"/>
      <c r="E382" s="1953"/>
      <c r="F382" s="1953"/>
      <c r="G382" s="1953"/>
      <c r="H382" s="1953"/>
      <c r="I382"/>
      <c r="J382"/>
      <c r="K382"/>
      <c r="L382"/>
    </row>
    <row r="383" spans="2:12" x14ac:dyDescent="0.35">
      <c r="B383" s="1953"/>
      <c r="C383" s="1953"/>
      <c r="D383" s="1953"/>
      <c r="E383" s="1953"/>
      <c r="F383" s="1953"/>
      <c r="G383" s="1953"/>
      <c r="H383" s="1953"/>
      <c r="I383"/>
      <c r="J383"/>
      <c r="K383"/>
      <c r="L383"/>
    </row>
    <row r="384" spans="2:12" x14ac:dyDescent="0.35">
      <c r="B384" s="1953"/>
      <c r="C384" s="1953"/>
      <c r="D384" s="1953"/>
      <c r="E384" s="1953"/>
      <c r="F384" s="1953"/>
      <c r="G384" s="1953"/>
      <c r="H384" s="1953"/>
      <c r="I384"/>
      <c r="J384"/>
      <c r="K384"/>
      <c r="L384"/>
    </row>
    <row r="385" spans="2:12" x14ac:dyDescent="0.35">
      <c r="B385" s="1953"/>
      <c r="C385" s="1953"/>
      <c r="D385" s="1953"/>
      <c r="E385" s="1953"/>
      <c r="F385" s="1953"/>
      <c r="G385" s="1953"/>
      <c r="H385" s="1953"/>
      <c r="I385"/>
      <c r="J385"/>
      <c r="K385"/>
      <c r="L385"/>
    </row>
    <row r="386" spans="2:12" x14ac:dyDescent="0.35">
      <c r="B386" s="1953"/>
      <c r="C386" s="1953"/>
      <c r="D386" s="1953"/>
      <c r="E386" s="1953"/>
      <c r="F386" s="1953"/>
      <c r="G386" s="1953"/>
      <c r="H386" s="1953"/>
      <c r="I386"/>
      <c r="J386"/>
      <c r="K386"/>
      <c r="L386"/>
    </row>
    <row r="387" spans="2:12" x14ac:dyDescent="0.35">
      <c r="B387" s="1953"/>
      <c r="C387" s="1953"/>
      <c r="D387" s="1953"/>
      <c r="E387" s="1953"/>
      <c r="F387" s="1953"/>
      <c r="G387" s="1953"/>
      <c r="H387" s="1953"/>
      <c r="I387"/>
      <c r="J387"/>
      <c r="K387"/>
      <c r="L387"/>
    </row>
    <row r="388" spans="2:12" x14ac:dyDescent="0.35">
      <c r="B388" s="1953"/>
      <c r="C388" s="1953"/>
      <c r="D388" s="1953"/>
      <c r="E388" s="1953"/>
      <c r="F388" s="1953"/>
      <c r="G388" s="1953"/>
      <c r="H388" s="1953"/>
      <c r="I388"/>
      <c r="J388"/>
      <c r="K388"/>
      <c r="L388"/>
    </row>
    <row r="389" spans="2:12" x14ac:dyDescent="0.35">
      <c r="B389" s="1953"/>
      <c r="C389" s="1953"/>
      <c r="D389" s="1953"/>
      <c r="E389" s="1953"/>
      <c r="F389" s="1953"/>
      <c r="G389" s="1953"/>
      <c r="H389" s="1953"/>
      <c r="I389"/>
      <c r="J389"/>
      <c r="K389"/>
      <c r="L389"/>
    </row>
    <row r="390" spans="2:12" x14ac:dyDescent="0.35">
      <c r="B390" s="1953"/>
      <c r="C390" s="1953"/>
      <c r="D390" s="1953"/>
      <c r="E390" s="1953"/>
      <c r="F390" s="1953"/>
      <c r="G390" s="1953"/>
      <c r="H390" s="1953"/>
      <c r="I390"/>
      <c r="J390"/>
      <c r="K390"/>
      <c r="L390"/>
    </row>
    <row r="391" spans="2:12" x14ac:dyDescent="0.35">
      <c r="B391" s="1953"/>
      <c r="C391" s="1953"/>
      <c r="D391" s="1953"/>
      <c r="E391" s="1953"/>
      <c r="F391" s="1953"/>
      <c r="G391" s="1953"/>
      <c r="H391" s="1953"/>
      <c r="I391"/>
      <c r="J391"/>
      <c r="K391"/>
      <c r="L391"/>
    </row>
    <row r="392" spans="2:12" x14ac:dyDescent="0.35">
      <c r="B392" s="1953"/>
      <c r="C392" s="1953"/>
      <c r="D392" s="1953"/>
      <c r="E392" s="1953"/>
      <c r="F392" s="1953"/>
      <c r="G392" s="1953"/>
      <c r="H392" s="1953"/>
      <c r="I392"/>
      <c r="J392"/>
      <c r="K392"/>
      <c r="L392"/>
    </row>
    <row r="393" spans="2:12" x14ac:dyDescent="0.35">
      <c r="B393" s="1953"/>
      <c r="C393" s="1953"/>
      <c r="D393" s="1953"/>
      <c r="E393" s="1953"/>
      <c r="F393" s="1953"/>
      <c r="G393" s="1953"/>
      <c r="H393" s="1953"/>
      <c r="I393"/>
      <c r="J393"/>
      <c r="K393"/>
      <c r="L393"/>
    </row>
    <row r="394" spans="2:12" x14ac:dyDescent="0.35">
      <c r="B394" s="1953"/>
      <c r="C394" s="1953"/>
      <c r="D394" s="1953"/>
      <c r="E394" s="1953"/>
      <c r="F394" s="1953"/>
      <c r="G394" s="1953"/>
      <c r="H394" s="1953"/>
      <c r="I394"/>
      <c r="J394"/>
      <c r="K394"/>
      <c r="L394"/>
    </row>
    <row r="395" spans="2:12" x14ac:dyDescent="0.35">
      <c r="B395" s="1953"/>
      <c r="C395" s="1953"/>
      <c r="D395" s="1953"/>
      <c r="E395" s="1953"/>
      <c r="F395" s="1953"/>
      <c r="G395" s="1953"/>
      <c r="H395" s="1953"/>
      <c r="I395"/>
      <c r="J395"/>
      <c r="K395"/>
      <c r="L395"/>
    </row>
    <row r="396" spans="2:12" x14ac:dyDescent="0.35">
      <c r="B396" s="1953"/>
      <c r="C396" s="1953"/>
      <c r="D396" s="1953"/>
      <c r="E396" s="1953"/>
      <c r="F396" s="1953"/>
      <c r="G396" s="1953"/>
      <c r="H396" s="1953"/>
      <c r="I396"/>
      <c r="J396"/>
      <c r="K396"/>
      <c r="L396"/>
    </row>
    <row r="397" spans="2:12" x14ac:dyDescent="0.35">
      <c r="B397" s="1953"/>
      <c r="C397" s="1953"/>
      <c r="D397" s="1953"/>
      <c r="E397" s="1953"/>
      <c r="F397" s="1953"/>
      <c r="G397" s="1953"/>
      <c r="H397" s="1953"/>
      <c r="I397"/>
      <c r="J397"/>
      <c r="K397"/>
      <c r="L397"/>
    </row>
    <row r="398" spans="2:12" x14ac:dyDescent="0.35">
      <c r="B398" s="1953"/>
      <c r="C398" s="1953"/>
      <c r="D398" s="1953"/>
      <c r="E398" s="1953"/>
      <c r="F398" s="1953"/>
      <c r="G398" s="1953"/>
      <c r="H398" s="1953"/>
      <c r="I398"/>
      <c r="J398"/>
      <c r="K398"/>
      <c r="L398"/>
    </row>
    <row r="399" spans="2:12" x14ac:dyDescent="0.35">
      <c r="B399" s="1953"/>
      <c r="C399" s="1953"/>
      <c r="D399" s="1953"/>
      <c r="E399" s="1953"/>
      <c r="F399" s="1953"/>
      <c r="G399" s="1953"/>
      <c r="H399" s="1953"/>
      <c r="I399"/>
      <c r="J399"/>
      <c r="K399"/>
      <c r="L399"/>
    </row>
    <row r="400" spans="2:12" x14ac:dyDescent="0.35">
      <c r="B400" s="1953"/>
      <c r="C400" s="1953"/>
      <c r="D400" s="1953"/>
      <c r="E400" s="1953"/>
      <c r="F400" s="1953"/>
      <c r="G400" s="1953"/>
      <c r="H400" s="1953"/>
      <c r="I400"/>
      <c r="J400"/>
      <c r="K400"/>
      <c r="L400"/>
    </row>
    <row r="401" spans="2:12" x14ac:dyDescent="0.35">
      <c r="B401" s="1953"/>
      <c r="C401" s="1953"/>
      <c r="D401" s="1953"/>
      <c r="E401" s="1953"/>
      <c r="F401" s="1953"/>
      <c r="G401" s="1953"/>
      <c r="H401" s="1953"/>
      <c r="I401"/>
      <c r="J401"/>
      <c r="K401"/>
      <c r="L401"/>
    </row>
    <row r="402" spans="2:12" x14ac:dyDescent="0.35">
      <c r="B402" s="1953"/>
      <c r="C402" s="1953"/>
      <c r="D402" s="1953"/>
      <c r="E402" s="1953"/>
      <c r="F402" s="1953"/>
      <c r="G402" s="1953"/>
      <c r="H402" s="1953"/>
      <c r="I402"/>
      <c r="J402"/>
      <c r="K402"/>
      <c r="L402"/>
    </row>
    <row r="403" spans="2:12" x14ac:dyDescent="0.35">
      <c r="B403" s="1953"/>
      <c r="C403" s="1953"/>
      <c r="D403" s="1953"/>
      <c r="E403" s="1953"/>
      <c r="F403" s="1953"/>
      <c r="G403" s="1953"/>
      <c r="H403" s="1953"/>
      <c r="I403"/>
      <c r="J403"/>
      <c r="K403"/>
      <c r="L403"/>
    </row>
    <row r="404" spans="2:12" x14ac:dyDescent="0.35">
      <c r="B404" s="1953"/>
      <c r="C404" s="1953"/>
      <c r="D404" s="1953"/>
      <c r="E404" s="1953"/>
      <c r="F404" s="1953"/>
      <c r="G404" s="1953"/>
      <c r="H404" s="1953"/>
      <c r="I404"/>
      <c r="J404"/>
      <c r="K404"/>
      <c r="L404"/>
    </row>
    <row r="405" spans="2:12" x14ac:dyDescent="0.35">
      <c r="B405" s="1953"/>
      <c r="C405" s="1953"/>
      <c r="D405" s="1953"/>
      <c r="E405" s="1953"/>
      <c r="F405" s="1953"/>
      <c r="G405" s="1953"/>
      <c r="H405" s="1953"/>
      <c r="I405"/>
      <c r="J405"/>
      <c r="K405"/>
      <c r="L405"/>
    </row>
    <row r="406" spans="2:12" x14ac:dyDescent="0.35">
      <c r="B406" s="1953"/>
      <c r="C406" s="1953"/>
      <c r="D406" s="1953"/>
      <c r="E406" s="1953"/>
      <c r="F406" s="1953"/>
      <c r="G406" s="1953"/>
      <c r="H406" s="1953"/>
      <c r="I406"/>
      <c r="J406"/>
      <c r="K406"/>
      <c r="L406"/>
    </row>
    <row r="407" spans="2:12" x14ac:dyDescent="0.35">
      <c r="B407" s="1953"/>
      <c r="C407" s="1953"/>
      <c r="D407" s="1953"/>
      <c r="E407" s="1953"/>
      <c r="F407" s="1953"/>
      <c r="G407" s="1953"/>
      <c r="H407" s="1953"/>
      <c r="I407"/>
      <c r="J407"/>
      <c r="K407"/>
      <c r="L407"/>
    </row>
    <row r="408" spans="2:12" x14ac:dyDescent="0.35">
      <c r="B408" s="1953"/>
      <c r="C408" s="1953"/>
      <c r="D408" s="1953"/>
      <c r="E408" s="1953"/>
      <c r="F408" s="1953"/>
      <c r="G408" s="1953"/>
      <c r="H408" s="1953"/>
      <c r="I408"/>
      <c r="J408"/>
      <c r="K408"/>
      <c r="L408"/>
    </row>
    <row r="409" spans="2:12" x14ac:dyDescent="0.35">
      <c r="B409" s="1953"/>
      <c r="C409" s="1953"/>
      <c r="D409" s="1953"/>
      <c r="E409" s="1953"/>
      <c r="F409" s="1953"/>
      <c r="G409" s="1953"/>
      <c r="H409" s="1953"/>
      <c r="I409"/>
      <c r="J409"/>
      <c r="K409"/>
      <c r="L409"/>
    </row>
    <row r="410" spans="2:12" x14ac:dyDescent="0.35">
      <c r="B410" s="1953"/>
      <c r="C410" s="1953"/>
      <c r="D410" s="1953"/>
      <c r="E410" s="1953"/>
      <c r="F410" s="1953"/>
      <c r="G410" s="1953"/>
      <c r="H410" s="1953"/>
      <c r="I410"/>
      <c r="J410"/>
      <c r="K410"/>
      <c r="L410"/>
    </row>
    <row r="411" spans="2:12" x14ac:dyDescent="0.35">
      <c r="B411" s="1953"/>
      <c r="C411" s="1953"/>
      <c r="D411" s="1953"/>
      <c r="E411" s="1953"/>
      <c r="F411" s="1953"/>
      <c r="G411" s="1953"/>
      <c r="H411" s="1953"/>
      <c r="I411"/>
      <c r="J411"/>
      <c r="K411"/>
      <c r="L411"/>
    </row>
    <row r="412" spans="2:12" x14ac:dyDescent="0.35">
      <c r="B412" s="1953"/>
      <c r="C412" s="1953"/>
      <c r="D412" s="1953"/>
      <c r="E412" s="1953"/>
      <c r="F412" s="1953"/>
      <c r="G412" s="1953"/>
      <c r="H412" s="1953"/>
      <c r="I412"/>
      <c r="J412"/>
      <c r="K412"/>
      <c r="L412"/>
    </row>
    <row r="413" spans="2:12" x14ac:dyDescent="0.35">
      <c r="B413" s="1953"/>
      <c r="C413" s="1953"/>
      <c r="D413" s="1953"/>
      <c r="E413" s="1953"/>
      <c r="F413" s="1953"/>
      <c r="G413" s="1953"/>
      <c r="H413" s="1953"/>
      <c r="I413"/>
      <c r="J413"/>
      <c r="K413"/>
      <c r="L413"/>
    </row>
    <row r="414" spans="2:12" x14ac:dyDescent="0.35">
      <c r="B414" s="1953"/>
      <c r="C414" s="1953"/>
      <c r="D414" s="1953"/>
      <c r="E414" s="1953"/>
      <c r="F414" s="1953"/>
      <c r="G414" s="1953"/>
      <c r="H414" s="1953"/>
      <c r="I414"/>
      <c r="J414"/>
      <c r="K414"/>
      <c r="L414"/>
    </row>
    <row r="415" spans="2:12" x14ac:dyDescent="0.35">
      <c r="B415" s="1953"/>
      <c r="C415" s="1953"/>
      <c r="D415" s="1953"/>
      <c r="E415" s="1953"/>
      <c r="F415" s="1953"/>
      <c r="G415" s="1953"/>
      <c r="H415" s="1953"/>
      <c r="I415"/>
      <c r="J415"/>
      <c r="K415"/>
      <c r="L415"/>
    </row>
    <row r="416" spans="2:12" x14ac:dyDescent="0.35">
      <c r="B416" s="1953"/>
      <c r="C416" s="1953"/>
      <c r="D416" s="1953"/>
      <c r="E416" s="1953"/>
      <c r="F416" s="1953"/>
      <c r="G416" s="1953"/>
      <c r="H416" s="1953"/>
      <c r="I416"/>
      <c r="J416"/>
      <c r="K416"/>
      <c r="L416"/>
    </row>
    <row r="417" spans="2:12" x14ac:dyDescent="0.35">
      <c r="B417" s="1953"/>
      <c r="C417" s="1953"/>
      <c r="D417" s="1953"/>
      <c r="E417" s="1953"/>
      <c r="F417" s="1953"/>
      <c r="G417" s="1953"/>
      <c r="H417" s="1953"/>
      <c r="I417"/>
      <c r="J417"/>
      <c r="K417"/>
      <c r="L417"/>
    </row>
    <row r="418" spans="2:12" x14ac:dyDescent="0.35">
      <c r="B418" s="1953"/>
      <c r="C418" s="1953"/>
      <c r="D418" s="1953"/>
      <c r="E418" s="1953"/>
      <c r="F418" s="1953"/>
      <c r="G418" s="1953"/>
      <c r="H418" s="1953"/>
      <c r="I418"/>
      <c r="J418"/>
      <c r="K418"/>
      <c r="L418"/>
    </row>
    <row r="419" spans="2:12" x14ac:dyDescent="0.35">
      <c r="B419" s="1953"/>
      <c r="C419" s="1953"/>
      <c r="D419" s="1953"/>
      <c r="E419" s="1953"/>
      <c r="F419" s="1953"/>
      <c r="G419" s="1953"/>
      <c r="H419" s="1953"/>
      <c r="I419"/>
      <c r="J419"/>
      <c r="K419"/>
      <c r="L419"/>
    </row>
    <row r="420" spans="2:12" x14ac:dyDescent="0.35">
      <c r="B420" s="1953"/>
      <c r="C420" s="1953"/>
      <c r="D420" s="1953"/>
      <c r="E420" s="1953"/>
      <c r="F420" s="1953"/>
      <c r="G420" s="1953"/>
      <c r="H420" s="1953"/>
      <c r="I420"/>
      <c r="J420"/>
      <c r="K420"/>
      <c r="L420"/>
    </row>
    <row r="421" spans="2:12" x14ac:dyDescent="0.35">
      <c r="B421" s="1953"/>
      <c r="C421" s="1953"/>
      <c r="D421" s="1953"/>
      <c r="E421" s="1953"/>
      <c r="F421" s="1953"/>
      <c r="G421" s="1953"/>
      <c r="H421" s="1953"/>
      <c r="I421"/>
      <c r="J421"/>
      <c r="K421"/>
      <c r="L421"/>
    </row>
    <row r="422" spans="2:12" x14ac:dyDescent="0.35">
      <c r="B422" s="1953"/>
      <c r="C422" s="1953"/>
      <c r="D422" s="1953"/>
      <c r="E422" s="1953"/>
      <c r="F422" s="1953"/>
      <c r="G422" s="1953"/>
      <c r="H422" s="1953"/>
      <c r="I422"/>
      <c r="J422"/>
      <c r="K422"/>
      <c r="L422"/>
    </row>
    <row r="423" spans="2:12" x14ac:dyDescent="0.35">
      <c r="B423" s="1953"/>
      <c r="C423" s="1953"/>
      <c r="D423" s="1953"/>
      <c r="E423" s="1953"/>
      <c r="F423" s="1953"/>
      <c r="G423" s="1953"/>
      <c r="H423" s="1953"/>
      <c r="I423"/>
      <c r="J423"/>
      <c r="K423"/>
      <c r="L423"/>
    </row>
    <row r="424" spans="2:12" x14ac:dyDescent="0.35">
      <c r="B424" s="1953"/>
      <c r="C424" s="1953"/>
      <c r="D424" s="1953"/>
      <c r="E424" s="1953"/>
      <c r="F424" s="1953"/>
      <c r="G424" s="1953"/>
      <c r="H424" s="1953"/>
      <c r="I424"/>
      <c r="J424"/>
      <c r="K424"/>
      <c r="L424"/>
    </row>
    <row r="425" spans="2:12" x14ac:dyDescent="0.35">
      <c r="B425" s="1953"/>
      <c r="C425" s="1953"/>
      <c r="D425" s="1953"/>
      <c r="E425" s="1953"/>
      <c r="F425" s="1953"/>
      <c r="G425" s="1953"/>
      <c r="H425" s="1953"/>
      <c r="I425"/>
      <c r="J425"/>
      <c r="K425"/>
      <c r="L425"/>
    </row>
    <row r="426" spans="2:12" x14ac:dyDescent="0.35">
      <c r="B426" s="1953"/>
      <c r="C426" s="1953"/>
      <c r="D426" s="1953"/>
      <c r="E426" s="1953"/>
      <c r="F426" s="1953"/>
      <c r="G426" s="1953"/>
      <c r="H426" s="1953"/>
      <c r="I426"/>
      <c r="J426"/>
      <c r="K426"/>
      <c r="L426"/>
    </row>
    <row r="427" spans="2:12" x14ac:dyDescent="0.35">
      <c r="B427" s="1953"/>
      <c r="C427" s="1953"/>
      <c r="D427" s="1953"/>
      <c r="E427" s="1953"/>
      <c r="F427" s="1953"/>
      <c r="G427" s="1953"/>
      <c r="H427" s="1953"/>
      <c r="I427"/>
      <c r="J427"/>
      <c r="K427"/>
      <c r="L427"/>
    </row>
    <row r="428" spans="2:12" x14ac:dyDescent="0.35">
      <c r="B428" s="1953"/>
      <c r="C428" s="1953"/>
      <c r="D428" s="1953"/>
      <c r="E428" s="1953"/>
      <c r="F428" s="1953"/>
      <c r="G428" s="1953"/>
      <c r="H428" s="1953"/>
      <c r="I428"/>
      <c r="J428"/>
      <c r="K428"/>
      <c r="L428"/>
    </row>
    <row r="429" spans="2:12" x14ac:dyDescent="0.35">
      <c r="B429" s="1953"/>
      <c r="C429" s="1953"/>
      <c r="D429" s="1953"/>
      <c r="E429" s="1953"/>
      <c r="F429" s="1953"/>
      <c r="G429" s="1953"/>
      <c r="H429" s="1953"/>
      <c r="I429"/>
      <c r="J429"/>
      <c r="K429"/>
      <c r="L429"/>
    </row>
    <row r="430" spans="2:12" x14ac:dyDescent="0.35">
      <c r="B430" s="1953"/>
      <c r="C430" s="1953"/>
      <c r="D430" s="1953"/>
      <c r="E430" s="1953"/>
      <c r="F430" s="1953"/>
      <c r="G430" s="1953"/>
      <c r="H430" s="1953"/>
      <c r="I430"/>
      <c r="J430"/>
      <c r="K430"/>
      <c r="L430"/>
    </row>
    <row r="431" spans="2:12" x14ac:dyDescent="0.35">
      <c r="B431" s="1953"/>
      <c r="C431" s="1953"/>
      <c r="D431" s="1953"/>
      <c r="E431" s="1953"/>
      <c r="F431" s="1953"/>
      <c r="G431" s="1953"/>
      <c r="H431" s="1953"/>
      <c r="I431"/>
      <c r="J431"/>
      <c r="K431"/>
      <c r="L431"/>
    </row>
    <row r="432" spans="2:12" x14ac:dyDescent="0.35">
      <c r="B432" s="1953"/>
      <c r="C432" s="1953"/>
      <c r="D432" s="1953"/>
      <c r="E432" s="1953"/>
      <c r="F432" s="1953"/>
      <c r="G432" s="1953"/>
      <c r="H432" s="1953"/>
      <c r="I432"/>
      <c r="J432"/>
      <c r="K432"/>
      <c r="L432"/>
    </row>
    <row r="433" spans="2:12" x14ac:dyDescent="0.35">
      <c r="B433" s="1953"/>
      <c r="C433" s="1953"/>
      <c r="D433" s="1953"/>
      <c r="E433" s="1953"/>
      <c r="F433" s="1953"/>
      <c r="G433" s="1953"/>
      <c r="H433" s="1953"/>
      <c r="I433"/>
      <c r="J433"/>
      <c r="K433"/>
      <c r="L433"/>
    </row>
    <row r="434" spans="2:12" x14ac:dyDescent="0.35">
      <c r="B434" s="1953"/>
      <c r="C434" s="1953"/>
      <c r="D434" s="1953"/>
      <c r="E434" s="1953"/>
      <c r="F434" s="1953"/>
      <c r="G434" s="1953"/>
      <c r="H434" s="1953"/>
      <c r="I434"/>
      <c r="J434"/>
      <c r="K434"/>
      <c r="L434"/>
    </row>
    <row r="435" spans="2:12" x14ac:dyDescent="0.35">
      <c r="B435" s="1953"/>
      <c r="C435" s="1953"/>
      <c r="D435" s="1953"/>
      <c r="E435" s="1953"/>
      <c r="F435" s="1953"/>
      <c r="G435" s="1953"/>
      <c r="H435" s="1953"/>
      <c r="I435"/>
      <c r="J435"/>
      <c r="K435"/>
      <c r="L435"/>
    </row>
    <row r="436" spans="2:12" x14ac:dyDescent="0.35">
      <c r="B436" s="1953"/>
      <c r="C436" s="1953"/>
      <c r="D436" s="1953"/>
      <c r="E436" s="1953"/>
      <c r="F436" s="1953"/>
      <c r="G436" s="1953"/>
      <c r="H436" s="1953"/>
      <c r="I436"/>
      <c r="J436"/>
      <c r="K436"/>
      <c r="L436"/>
    </row>
    <row r="437" spans="2:12" x14ac:dyDescent="0.35">
      <c r="B437" s="1953"/>
      <c r="C437" s="1953"/>
      <c r="D437" s="1953"/>
      <c r="E437" s="1953"/>
      <c r="F437" s="1953"/>
      <c r="G437" s="1953"/>
      <c r="H437" s="1953"/>
      <c r="I437"/>
      <c r="J437"/>
      <c r="K437"/>
      <c r="L437"/>
    </row>
    <row r="438" spans="2:12" x14ac:dyDescent="0.35">
      <c r="B438" s="1953"/>
      <c r="C438" s="1953"/>
      <c r="D438" s="1953"/>
      <c r="E438" s="1953"/>
      <c r="F438" s="1953"/>
      <c r="G438" s="1953"/>
      <c r="H438" s="1953"/>
      <c r="I438"/>
      <c r="J438"/>
      <c r="K438"/>
      <c r="L438"/>
    </row>
    <row r="439" spans="2:12" x14ac:dyDescent="0.35">
      <c r="B439" s="1953"/>
      <c r="C439" s="1953"/>
      <c r="D439" s="1953"/>
      <c r="E439" s="1953"/>
      <c r="F439" s="1953"/>
      <c r="G439" s="1953"/>
      <c r="H439" s="1953"/>
      <c r="I439"/>
      <c r="J439"/>
      <c r="K439"/>
      <c r="L439"/>
    </row>
    <row r="440" spans="2:12" x14ac:dyDescent="0.35">
      <c r="B440" s="1953"/>
      <c r="C440" s="1953"/>
      <c r="D440" s="1953"/>
      <c r="E440" s="1953"/>
      <c r="F440" s="1953"/>
      <c r="G440" s="1953"/>
      <c r="H440" s="1953"/>
      <c r="I440"/>
      <c r="J440"/>
      <c r="K440"/>
      <c r="L440"/>
    </row>
    <row r="441" spans="2:12" x14ac:dyDescent="0.35">
      <c r="B441" s="1953"/>
      <c r="C441" s="1953"/>
      <c r="D441" s="1953"/>
      <c r="E441" s="1953"/>
      <c r="F441" s="1953"/>
      <c r="G441" s="1953"/>
      <c r="H441" s="1953"/>
      <c r="I441"/>
      <c r="J441"/>
      <c r="K441"/>
      <c r="L441"/>
    </row>
    <row r="442" spans="2:12" x14ac:dyDescent="0.35">
      <c r="B442" s="1953"/>
      <c r="C442" s="1953"/>
      <c r="D442" s="1953"/>
      <c r="E442" s="1953"/>
      <c r="F442" s="1953"/>
      <c r="G442" s="1953"/>
      <c r="H442" s="1953"/>
      <c r="I442"/>
      <c r="J442"/>
      <c r="K442"/>
      <c r="L442"/>
    </row>
    <row r="443" spans="2:12" x14ac:dyDescent="0.35">
      <c r="B443" s="1953"/>
      <c r="C443" s="1953"/>
      <c r="D443" s="1953"/>
      <c r="E443" s="1953"/>
      <c r="F443" s="1953"/>
      <c r="G443" s="1953"/>
      <c r="H443" s="1953"/>
      <c r="I443"/>
      <c r="J443"/>
      <c r="K443"/>
      <c r="L443"/>
    </row>
    <row r="444" spans="2:12" x14ac:dyDescent="0.35">
      <c r="B444" s="1953"/>
      <c r="C444" s="1953"/>
      <c r="D444" s="1953"/>
      <c r="E444" s="1953"/>
      <c r="F444" s="1953"/>
      <c r="G444" s="1953"/>
      <c r="H444" s="1953"/>
      <c r="I444"/>
      <c r="J444"/>
      <c r="K444"/>
      <c r="L444"/>
    </row>
    <row r="445" spans="2:12" x14ac:dyDescent="0.35">
      <c r="B445" s="1953"/>
      <c r="C445" s="1953"/>
      <c r="D445" s="1953"/>
      <c r="E445" s="1953"/>
      <c r="F445" s="1953"/>
      <c r="G445" s="1953"/>
      <c r="H445" s="1953"/>
      <c r="I445"/>
      <c r="J445"/>
      <c r="K445"/>
      <c r="L445"/>
    </row>
    <row r="446" spans="2:12" x14ac:dyDescent="0.35">
      <c r="B446" s="1953"/>
      <c r="C446" s="1953"/>
      <c r="D446" s="1953"/>
      <c r="E446" s="1953"/>
      <c r="F446" s="1953"/>
      <c r="G446" s="1953"/>
      <c r="H446" s="1953"/>
      <c r="I446"/>
      <c r="J446"/>
      <c r="K446"/>
      <c r="L446"/>
    </row>
    <row r="447" spans="2:12" x14ac:dyDescent="0.35">
      <c r="B447" s="1953"/>
      <c r="C447" s="1953"/>
      <c r="D447" s="1953"/>
      <c r="E447" s="1953"/>
      <c r="F447" s="1953"/>
      <c r="G447" s="1953"/>
      <c r="H447" s="1953"/>
      <c r="I447"/>
      <c r="J447"/>
      <c r="K447"/>
      <c r="L447"/>
    </row>
    <row r="448" spans="2:12" x14ac:dyDescent="0.35">
      <c r="B448" s="1953"/>
      <c r="C448" s="1953"/>
      <c r="D448" s="1953"/>
      <c r="E448" s="1953"/>
      <c r="F448" s="1953"/>
      <c r="G448" s="1953"/>
      <c r="H448" s="1953"/>
      <c r="I448"/>
      <c r="J448"/>
      <c r="K448"/>
      <c r="L448"/>
    </row>
    <row r="449" spans="2:12" x14ac:dyDescent="0.35">
      <c r="B449" s="1953"/>
      <c r="C449" s="1953"/>
      <c r="D449" s="1953"/>
      <c r="E449" s="1953"/>
      <c r="F449" s="1953"/>
      <c r="G449" s="1953"/>
      <c r="H449" s="1953"/>
      <c r="I449"/>
      <c r="J449"/>
      <c r="K449"/>
      <c r="L449"/>
    </row>
    <row r="450" spans="2:12" x14ac:dyDescent="0.35">
      <c r="B450" s="1953"/>
      <c r="C450" s="1953"/>
      <c r="D450" s="1953"/>
      <c r="E450" s="1953"/>
      <c r="F450" s="1953"/>
      <c r="G450" s="1953"/>
      <c r="H450" s="1953"/>
      <c r="I450"/>
      <c r="J450"/>
      <c r="K450"/>
      <c r="L450"/>
    </row>
    <row r="451" spans="2:12" x14ac:dyDescent="0.35">
      <c r="B451" s="1953"/>
      <c r="C451" s="1953"/>
      <c r="D451" s="1953"/>
      <c r="E451" s="1953"/>
      <c r="F451" s="1953"/>
      <c r="G451" s="1953"/>
      <c r="H451" s="1953"/>
      <c r="I451"/>
      <c r="J451"/>
      <c r="K451"/>
      <c r="L451"/>
    </row>
    <row r="452" spans="2:12" x14ac:dyDescent="0.35">
      <c r="B452" s="1953"/>
      <c r="C452" s="1953"/>
      <c r="D452" s="1953"/>
      <c r="E452" s="1953"/>
      <c r="F452" s="1953"/>
      <c r="G452" s="1953"/>
      <c r="H452" s="1953"/>
      <c r="I452"/>
      <c r="J452"/>
      <c r="K452"/>
      <c r="L452"/>
    </row>
    <row r="453" spans="2:12" x14ac:dyDescent="0.35">
      <c r="B453" s="1953"/>
      <c r="C453" s="1953"/>
      <c r="D453" s="1953"/>
      <c r="E453" s="1953"/>
      <c r="F453" s="1953"/>
      <c r="G453" s="1953"/>
      <c r="H453" s="1953"/>
      <c r="I453"/>
      <c r="J453"/>
      <c r="K453"/>
      <c r="L453"/>
    </row>
    <row r="454" spans="2:12" x14ac:dyDescent="0.35">
      <c r="B454" s="1953"/>
      <c r="C454" s="1953"/>
      <c r="D454" s="1953"/>
      <c r="E454" s="1953"/>
      <c r="F454" s="1953"/>
      <c r="G454" s="1953"/>
      <c r="H454" s="1953"/>
      <c r="I454"/>
      <c r="J454"/>
      <c r="K454"/>
      <c r="L454"/>
    </row>
    <row r="455" spans="2:12" x14ac:dyDescent="0.35">
      <c r="B455" s="1953"/>
      <c r="C455" s="1953"/>
      <c r="D455" s="1953"/>
      <c r="E455" s="1953"/>
      <c r="F455" s="1953"/>
      <c r="G455" s="1953"/>
      <c r="H455" s="1953"/>
      <c r="I455"/>
      <c r="J455"/>
      <c r="K455"/>
      <c r="L455"/>
    </row>
    <row r="456" spans="2:12" x14ac:dyDescent="0.35">
      <c r="B456" s="1953"/>
      <c r="C456" s="1953"/>
      <c r="D456" s="1953"/>
      <c r="E456" s="1953"/>
      <c r="F456" s="1953"/>
      <c r="G456" s="1953"/>
      <c r="H456" s="1953"/>
      <c r="I456"/>
      <c r="J456"/>
      <c r="K456"/>
      <c r="L456"/>
    </row>
    <row r="457" spans="2:12" x14ac:dyDescent="0.35">
      <c r="B457" s="1953"/>
      <c r="C457" s="1953"/>
      <c r="D457" s="1953"/>
      <c r="E457" s="1953"/>
      <c r="F457" s="1953"/>
      <c r="G457" s="1953"/>
      <c r="H457" s="1953"/>
      <c r="I457"/>
      <c r="J457"/>
      <c r="K457"/>
      <c r="L457"/>
    </row>
    <row r="458" spans="2:12" x14ac:dyDescent="0.35">
      <c r="B458" s="1953"/>
      <c r="C458" s="1953"/>
      <c r="D458" s="1953"/>
      <c r="E458" s="1953"/>
      <c r="F458" s="1953"/>
      <c r="G458" s="1953"/>
      <c r="H458" s="1953"/>
      <c r="I458"/>
      <c r="J458"/>
      <c r="K458"/>
      <c r="L458"/>
    </row>
    <row r="459" spans="2:12" x14ac:dyDescent="0.35">
      <c r="B459" s="1953"/>
      <c r="C459" s="1953"/>
      <c r="D459" s="1953"/>
      <c r="E459" s="1953"/>
      <c r="F459" s="1953"/>
      <c r="G459" s="1953"/>
      <c r="H459" s="1953"/>
      <c r="I459"/>
      <c r="J459"/>
      <c r="K459"/>
      <c r="L459"/>
    </row>
    <row r="460" spans="2:12" x14ac:dyDescent="0.35">
      <c r="B460" s="1953"/>
      <c r="C460" s="1953"/>
      <c r="D460" s="1953"/>
      <c r="E460" s="1953"/>
      <c r="F460" s="1953"/>
      <c r="G460" s="1953"/>
      <c r="H460" s="1953"/>
      <c r="I460"/>
      <c r="J460"/>
      <c r="K460"/>
      <c r="L460"/>
    </row>
    <row r="461" spans="2:12" x14ac:dyDescent="0.35">
      <c r="B461" s="1953"/>
      <c r="C461" s="1953"/>
      <c r="D461" s="1953"/>
      <c r="E461" s="1953"/>
      <c r="F461" s="1953"/>
      <c r="G461" s="1953"/>
      <c r="H461" s="1953"/>
      <c r="I461"/>
      <c r="J461"/>
      <c r="K461"/>
      <c r="L461"/>
    </row>
    <row r="462" spans="2:12" x14ac:dyDescent="0.35">
      <c r="B462" s="1953"/>
      <c r="C462" s="1953"/>
      <c r="D462" s="1953"/>
      <c r="E462" s="1953"/>
      <c r="F462" s="1953"/>
      <c r="G462" s="1953"/>
      <c r="H462" s="1953"/>
      <c r="I462"/>
      <c r="J462"/>
      <c r="K462"/>
      <c r="L462"/>
    </row>
    <row r="463" spans="2:12" x14ac:dyDescent="0.35">
      <c r="B463" s="1953"/>
      <c r="C463" s="1953"/>
      <c r="D463" s="1953"/>
      <c r="E463" s="1953"/>
      <c r="F463" s="1953"/>
      <c r="G463" s="1953"/>
      <c r="H463" s="1953"/>
      <c r="I463"/>
      <c r="J463"/>
      <c r="K463"/>
      <c r="L463"/>
    </row>
    <row r="464" spans="2:12" x14ac:dyDescent="0.35">
      <c r="B464" s="1953"/>
      <c r="C464" s="1953"/>
      <c r="D464" s="1953"/>
      <c r="E464" s="1953"/>
      <c r="F464" s="1953"/>
      <c r="G464" s="1953"/>
      <c r="H464" s="1953"/>
      <c r="I464"/>
      <c r="J464"/>
      <c r="K464"/>
      <c r="L464"/>
    </row>
    <row r="465" spans="2:12" x14ac:dyDescent="0.35">
      <c r="B465" s="1953"/>
      <c r="C465" s="1953"/>
      <c r="D465" s="1953"/>
      <c r="E465" s="1953"/>
      <c r="F465" s="1953"/>
      <c r="G465" s="1953"/>
      <c r="H465" s="1953"/>
      <c r="I465"/>
      <c r="J465"/>
      <c r="K465"/>
      <c r="L465"/>
    </row>
    <row r="466" spans="2:12" x14ac:dyDescent="0.35">
      <c r="B466" s="1953"/>
      <c r="C466" s="1953"/>
      <c r="D466" s="1953"/>
      <c r="E466" s="1953"/>
      <c r="F466" s="1953"/>
      <c r="G466" s="1953"/>
      <c r="H466" s="1953"/>
      <c r="I466"/>
      <c r="J466"/>
      <c r="K466"/>
      <c r="L466"/>
    </row>
    <row r="467" spans="2:12" x14ac:dyDescent="0.35">
      <c r="B467" s="1953"/>
      <c r="C467" s="1953"/>
      <c r="D467" s="1953"/>
      <c r="E467" s="1953"/>
      <c r="F467" s="1953"/>
      <c r="G467" s="1953"/>
      <c r="H467" s="1953"/>
      <c r="I467"/>
      <c r="J467"/>
      <c r="K467"/>
      <c r="L467"/>
    </row>
    <row r="468" spans="2:12" x14ac:dyDescent="0.35">
      <c r="B468" s="1953"/>
      <c r="C468" s="1953"/>
      <c r="D468" s="1953"/>
      <c r="E468" s="1953"/>
      <c r="F468" s="1953"/>
      <c r="G468" s="1953"/>
      <c r="H468" s="1953"/>
      <c r="I468"/>
      <c r="J468"/>
      <c r="K468"/>
      <c r="L468"/>
    </row>
    <row r="469" spans="2:12" x14ac:dyDescent="0.35">
      <c r="B469" s="1953"/>
      <c r="C469" s="1953"/>
      <c r="D469" s="1953"/>
      <c r="E469" s="1953"/>
      <c r="F469" s="1953"/>
      <c r="G469" s="1953"/>
      <c r="H469" s="1953"/>
      <c r="I469"/>
      <c r="J469"/>
      <c r="K469"/>
      <c r="L469"/>
    </row>
    <row r="470" spans="2:12" x14ac:dyDescent="0.35">
      <c r="B470" s="1953"/>
      <c r="C470" s="1953"/>
      <c r="D470" s="1953"/>
      <c r="E470" s="1953"/>
      <c r="F470" s="1953"/>
      <c r="G470" s="1953"/>
      <c r="H470" s="1953"/>
      <c r="I470"/>
      <c r="J470"/>
      <c r="K470"/>
      <c r="L470"/>
    </row>
    <row r="471" spans="2:12" x14ac:dyDescent="0.35">
      <c r="B471" s="1953"/>
      <c r="C471" s="1953"/>
      <c r="D471" s="1953"/>
      <c r="E471" s="1953"/>
      <c r="F471" s="1953"/>
      <c r="G471" s="1953"/>
      <c r="H471" s="1953"/>
      <c r="I471"/>
      <c r="J471"/>
      <c r="K471"/>
      <c r="L471"/>
    </row>
    <row r="472" spans="2:12" x14ac:dyDescent="0.35">
      <c r="B472" s="1953"/>
      <c r="C472" s="1953"/>
      <c r="D472" s="1953"/>
      <c r="E472" s="1953"/>
      <c r="F472" s="1953"/>
      <c r="G472" s="1953"/>
      <c r="H472" s="1953"/>
      <c r="I472"/>
      <c r="J472"/>
      <c r="K472"/>
      <c r="L472"/>
    </row>
    <row r="473" spans="2:12" x14ac:dyDescent="0.35">
      <c r="B473" s="1953"/>
      <c r="C473" s="1953"/>
      <c r="D473" s="1953"/>
      <c r="E473" s="1953"/>
      <c r="F473" s="1953"/>
      <c r="G473" s="1953"/>
      <c r="H473" s="1953"/>
      <c r="I473"/>
      <c r="J473"/>
      <c r="K473"/>
      <c r="L473"/>
    </row>
    <row r="474" spans="2:12" x14ac:dyDescent="0.35">
      <c r="B474" s="1953"/>
      <c r="C474" s="1953"/>
      <c r="D474" s="1953"/>
      <c r="E474" s="1953"/>
      <c r="F474" s="1953"/>
      <c r="G474" s="1953"/>
      <c r="H474" s="1953"/>
      <c r="I474"/>
      <c r="J474"/>
      <c r="K474"/>
      <c r="L474"/>
    </row>
    <row r="475" spans="2:12" x14ac:dyDescent="0.35">
      <c r="B475" s="1953"/>
      <c r="C475" s="1953"/>
      <c r="D475" s="1953"/>
      <c r="E475" s="1953"/>
      <c r="F475" s="1953"/>
      <c r="G475" s="1953"/>
      <c r="H475" s="1953"/>
      <c r="I475"/>
      <c r="J475"/>
      <c r="K475"/>
      <c r="L475"/>
    </row>
    <row r="476" spans="2:12" x14ac:dyDescent="0.35">
      <c r="B476" s="1953"/>
      <c r="C476" s="1953"/>
      <c r="D476" s="1953"/>
      <c r="E476" s="1953"/>
      <c r="F476" s="1953"/>
      <c r="G476" s="1953"/>
      <c r="H476" s="1953"/>
      <c r="I476"/>
      <c r="J476"/>
      <c r="K476"/>
      <c r="L476"/>
    </row>
    <row r="477" spans="2:12" x14ac:dyDescent="0.35">
      <c r="B477" s="1953"/>
      <c r="C477" s="1953"/>
      <c r="D477" s="1953"/>
      <c r="E477" s="1953"/>
      <c r="F477" s="1953"/>
      <c r="G477" s="1953"/>
      <c r="H477" s="1953"/>
      <c r="I477"/>
      <c r="J477"/>
      <c r="K477"/>
      <c r="L477"/>
    </row>
    <row r="478" spans="2:12" x14ac:dyDescent="0.35">
      <c r="B478" s="1953"/>
      <c r="C478" s="1953"/>
      <c r="D478" s="1953"/>
      <c r="E478" s="1953"/>
      <c r="F478" s="1953"/>
      <c r="G478" s="1953"/>
      <c r="H478" s="1953"/>
      <c r="I478"/>
      <c r="J478"/>
      <c r="K478"/>
      <c r="L478"/>
    </row>
    <row r="479" spans="2:12" x14ac:dyDescent="0.35">
      <c r="B479" s="1953"/>
      <c r="C479" s="1953"/>
      <c r="D479" s="1953"/>
      <c r="E479" s="1953"/>
      <c r="F479" s="1953"/>
      <c r="G479" s="1953"/>
      <c r="H479" s="1953"/>
      <c r="I479"/>
      <c r="J479"/>
      <c r="K479"/>
      <c r="L479"/>
    </row>
    <row r="480" spans="2:12" x14ac:dyDescent="0.35">
      <c r="B480" s="1953"/>
      <c r="C480" s="1953"/>
      <c r="D480" s="1953"/>
      <c r="E480" s="1953"/>
      <c r="F480" s="1953"/>
      <c r="G480" s="1953"/>
      <c r="H480" s="1953"/>
      <c r="I480"/>
      <c r="J480"/>
      <c r="K480"/>
      <c r="L480"/>
    </row>
    <row r="481" spans="2:12" x14ac:dyDescent="0.35">
      <c r="B481" s="1953"/>
      <c r="C481" s="1953"/>
      <c r="D481" s="1953"/>
      <c r="E481" s="1953"/>
      <c r="F481" s="1953"/>
      <c r="G481" s="1953"/>
      <c r="H481" s="1953"/>
      <c r="I481"/>
      <c r="J481"/>
      <c r="K481"/>
      <c r="L481"/>
    </row>
    <row r="482" spans="2:12" x14ac:dyDescent="0.35">
      <c r="B482" s="1953"/>
      <c r="C482" s="1953"/>
      <c r="D482" s="1953"/>
      <c r="E482" s="1953"/>
      <c r="F482" s="1953"/>
      <c r="G482" s="1953"/>
      <c r="H482" s="1953"/>
      <c r="I482"/>
      <c r="J482"/>
      <c r="K482"/>
      <c r="L482"/>
    </row>
    <row r="483" spans="2:12" x14ac:dyDescent="0.35">
      <c r="B483" s="1953"/>
      <c r="C483" s="1953"/>
      <c r="D483" s="1953"/>
      <c r="E483" s="1953"/>
      <c r="F483" s="1953"/>
      <c r="G483" s="1953"/>
      <c r="H483" s="1953"/>
      <c r="I483"/>
      <c r="J483"/>
      <c r="K483"/>
      <c r="L483"/>
    </row>
    <row r="484" spans="2:12" x14ac:dyDescent="0.35">
      <c r="B484" s="1953"/>
      <c r="C484" s="1953"/>
      <c r="D484" s="1953"/>
      <c r="E484" s="1953"/>
      <c r="F484" s="1953"/>
      <c r="G484" s="1953"/>
      <c r="H484" s="1953"/>
      <c r="I484"/>
      <c r="J484"/>
      <c r="K484"/>
      <c r="L484"/>
    </row>
    <row r="485" spans="2:12" x14ac:dyDescent="0.35">
      <c r="B485" s="1953"/>
      <c r="C485" s="1953"/>
      <c r="D485" s="1953"/>
      <c r="E485" s="1953"/>
      <c r="F485" s="1953"/>
      <c r="G485" s="1953"/>
      <c r="H485" s="1953"/>
      <c r="I485"/>
      <c r="J485"/>
      <c r="K485"/>
      <c r="L485"/>
    </row>
    <row r="486" spans="2:12" x14ac:dyDescent="0.35">
      <c r="B486" s="1953"/>
      <c r="C486" s="1953"/>
      <c r="D486" s="1953"/>
      <c r="E486" s="1953"/>
      <c r="F486" s="1953"/>
      <c r="G486" s="1953"/>
      <c r="H486" s="1953"/>
      <c r="I486"/>
      <c r="J486"/>
      <c r="K486"/>
      <c r="L486"/>
    </row>
    <row r="487" spans="2:12" x14ac:dyDescent="0.35">
      <c r="B487" s="1953"/>
      <c r="C487" s="1953"/>
      <c r="D487" s="1953"/>
      <c r="E487" s="1953"/>
      <c r="F487" s="1953"/>
      <c r="G487" s="1953"/>
      <c r="H487" s="1953"/>
      <c r="I487"/>
      <c r="J487"/>
      <c r="K487"/>
      <c r="L487"/>
    </row>
    <row r="488" spans="2:12" x14ac:dyDescent="0.35">
      <c r="B488" s="1953"/>
      <c r="C488" s="1953"/>
      <c r="D488" s="1953"/>
      <c r="E488" s="1953"/>
      <c r="F488" s="1953"/>
      <c r="G488" s="1953"/>
      <c r="H488" s="1953"/>
      <c r="I488"/>
      <c r="J488"/>
      <c r="K488"/>
      <c r="L488"/>
    </row>
    <row r="489" spans="2:12" x14ac:dyDescent="0.35">
      <c r="B489" s="1953"/>
      <c r="C489" s="1953"/>
      <c r="D489" s="1953"/>
      <c r="E489" s="1953"/>
      <c r="F489" s="1953"/>
      <c r="G489" s="1953"/>
      <c r="H489" s="1953"/>
      <c r="I489"/>
      <c r="J489"/>
      <c r="K489"/>
      <c r="L489"/>
    </row>
    <row r="490" spans="2:12" x14ac:dyDescent="0.35">
      <c r="B490" s="1953"/>
      <c r="C490" s="1953"/>
      <c r="D490" s="1953"/>
      <c r="E490" s="1953"/>
      <c r="F490" s="1953"/>
      <c r="G490" s="1953"/>
      <c r="H490" s="1953"/>
      <c r="I490"/>
      <c r="J490"/>
      <c r="K490"/>
      <c r="L490"/>
    </row>
    <row r="491" spans="2:12" x14ac:dyDescent="0.35">
      <c r="B491" s="1953"/>
      <c r="C491" s="1953"/>
      <c r="D491" s="1953"/>
      <c r="E491" s="1953"/>
      <c r="F491" s="1953"/>
      <c r="G491" s="1953"/>
      <c r="H491" s="1953"/>
      <c r="I491"/>
      <c r="J491"/>
      <c r="K491"/>
      <c r="L491"/>
    </row>
    <row r="492" spans="2:12" x14ac:dyDescent="0.35">
      <c r="B492" s="1953"/>
      <c r="C492" s="1953"/>
      <c r="D492" s="1953"/>
      <c r="E492" s="1953"/>
      <c r="F492" s="1953"/>
      <c r="G492" s="1953"/>
      <c r="H492" s="1953"/>
      <c r="I492"/>
      <c r="J492"/>
      <c r="K492"/>
      <c r="L492"/>
    </row>
    <row r="493" spans="2:12" x14ac:dyDescent="0.35">
      <c r="B493" s="1953"/>
      <c r="C493" s="1953"/>
      <c r="D493" s="1953"/>
      <c r="E493" s="1953"/>
      <c r="F493" s="1953"/>
      <c r="G493" s="1953"/>
      <c r="H493" s="1953"/>
      <c r="I493"/>
      <c r="J493"/>
      <c r="K493"/>
      <c r="L493"/>
    </row>
    <row r="494" spans="2:12" x14ac:dyDescent="0.35">
      <c r="B494" s="1953"/>
      <c r="C494" s="1953"/>
      <c r="D494" s="1953"/>
      <c r="E494" s="1953"/>
      <c r="F494" s="1953"/>
      <c r="G494" s="1953"/>
      <c r="H494" s="1953"/>
      <c r="I494"/>
      <c r="J494"/>
      <c r="K494"/>
      <c r="L494"/>
    </row>
    <row r="495" spans="2:12" x14ac:dyDescent="0.35">
      <c r="B495" s="1953"/>
      <c r="C495" s="1953"/>
      <c r="D495" s="1953"/>
      <c r="E495" s="1953"/>
      <c r="F495" s="1953"/>
      <c r="G495" s="1953"/>
      <c r="H495" s="1953"/>
      <c r="I495"/>
      <c r="J495"/>
      <c r="K495"/>
      <c r="L495"/>
    </row>
    <row r="496" spans="2:12" x14ac:dyDescent="0.35">
      <c r="B496" s="1953"/>
      <c r="C496" s="1953"/>
      <c r="D496" s="1953"/>
      <c r="E496" s="1953"/>
      <c r="F496" s="1953"/>
      <c r="G496" s="1953"/>
      <c r="H496" s="1953"/>
      <c r="I496"/>
      <c r="J496"/>
      <c r="K496"/>
      <c r="L496"/>
    </row>
    <row r="497" spans="2:12" x14ac:dyDescent="0.35">
      <c r="B497" s="1953"/>
      <c r="C497" s="1953"/>
      <c r="D497" s="1953"/>
      <c r="E497" s="1953"/>
      <c r="F497" s="1953"/>
      <c r="G497" s="1953"/>
      <c r="H497" s="1953"/>
      <c r="I497"/>
      <c r="J497"/>
      <c r="K497"/>
      <c r="L497"/>
    </row>
    <row r="498" spans="2:12" x14ac:dyDescent="0.35">
      <c r="B498" s="1953"/>
      <c r="C498" s="1953"/>
      <c r="D498" s="1953"/>
      <c r="E498" s="1953"/>
      <c r="F498" s="1953"/>
      <c r="G498" s="1953"/>
      <c r="H498" s="1953"/>
      <c r="I498"/>
      <c r="J498"/>
      <c r="K498"/>
      <c r="L498"/>
    </row>
    <row r="499" spans="2:12" x14ac:dyDescent="0.35">
      <c r="B499" s="1953"/>
      <c r="C499" s="1953"/>
      <c r="D499" s="1953"/>
      <c r="E499" s="1953"/>
      <c r="F499" s="1953"/>
      <c r="G499" s="1953"/>
      <c r="H499" s="1953"/>
      <c r="I499"/>
      <c r="J499"/>
      <c r="K499"/>
      <c r="L499"/>
    </row>
    <row r="500" spans="2:12" x14ac:dyDescent="0.35">
      <c r="B500" s="1953"/>
      <c r="C500" s="1953"/>
      <c r="D500" s="1953"/>
      <c r="E500" s="1953"/>
      <c r="F500" s="1953"/>
      <c r="G500" s="1953"/>
      <c r="H500" s="1953"/>
      <c r="I500"/>
      <c r="J500"/>
      <c r="K500"/>
      <c r="L500"/>
    </row>
    <row r="501" spans="2:12" x14ac:dyDescent="0.35">
      <c r="B501" s="1953"/>
      <c r="C501" s="1953"/>
      <c r="D501" s="1953"/>
      <c r="E501" s="1953"/>
      <c r="F501" s="1953"/>
      <c r="G501" s="1953"/>
      <c r="H501" s="1953"/>
      <c r="I501"/>
      <c r="J501"/>
      <c r="K501"/>
      <c r="L501"/>
    </row>
    <row r="502" spans="2:12" x14ac:dyDescent="0.35">
      <c r="B502" s="1953"/>
      <c r="C502" s="1953"/>
      <c r="D502" s="1953"/>
      <c r="E502" s="1953"/>
      <c r="F502" s="1953"/>
      <c r="G502" s="1953"/>
      <c r="H502" s="1953"/>
      <c r="I502"/>
      <c r="J502"/>
      <c r="K502"/>
      <c r="L502"/>
    </row>
    <row r="503" spans="2:12" x14ac:dyDescent="0.35">
      <c r="B503" s="1953"/>
      <c r="C503" s="1953"/>
      <c r="D503" s="1953"/>
      <c r="E503" s="1953"/>
      <c r="F503" s="1953"/>
      <c r="G503" s="1953"/>
      <c r="H503" s="1953"/>
      <c r="I503"/>
      <c r="J503"/>
      <c r="K503"/>
      <c r="L503"/>
    </row>
    <row r="504" spans="2:12" x14ac:dyDescent="0.35">
      <c r="B504" s="1953"/>
      <c r="C504" s="1953"/>
      <c r="D504" s="1953"/>
      <c r="E504" s="1953"/>
      <c r="F504" s="1953"/>
      <c r="G504" s="1953"/>
      <c r="H504" s="1953"/>
      <c r="I504"/>
      <c r="J504"/>
      <c r="K504"/>
      <c r="L504"/>
    </row>
    <row r="505" spans="2:12" x14ac:dyDescent="0.35">
      <c r="B505" s="1953"/>
      <c r="C505" s="1953"/>
      <c r="D505" s="1953"/>
      <c r="E505" s="1953"/>
      <c r="F505" s="1953"/>
      <c r="G505" s="1953"/>
      <c r="H505" s="1953"/>
      <c r="I505"/>
      <c r="J505"/>
      <c r="K505"/>
      <c r="L505"/>
    </row>
    <row r="506" spans="2:12" x14ac:dyDescent="0.35">
      <c r="B506" s="1953"/>
      <c r="C506" s="1953"/>
      <c r="D506" s="1953"/>
      <c r="E506" s="1953"/>
      <c r="F506" s="1953"/>
      <c r="G506" s="1953"/>
      <c r="H506" s="1953"/>
      <c r="I506"/>
      <c r="J506"/>
      <c r="K506"/>
      <c r="L506"/>
    </row>
    <row r="507" spans="2:12" x14ac:dyDescent="0.35">
      <c r="B507" s="1953"/>
      <c r="C507" s="1953"/>
      <c r="D507" s="1953"/>
      <c r="E507" s="1953"/>
      <c r="F507" s="1953"/>
      <c r="G507" s="1953"/>
      <c r="H507" s="1953"/>
      <c r="I507"/>
      <c r="J507"/>
      <c r="K507"/>
      <c r="L507"/>
    </row>
    <row r="508" spans="2:12" x14ac:dyDescent="0.35">
      <c r="B508" s="1953"/>
      <c r="C508" s="1953"/>
      <c r="D508" s="1953"/>
      <c r="E508" s="1953"/>
      <c r="F508" s="1953"/>
      <c r="G508" s="1953"/>
      <c r="H508" s="1953"/>
      <c r="I508"/>
      <c r="J508"/>
      <c r="K508"/>
      <c r="L508"/>
    </row>
    <row r="509" spans="2:12" x14ac:dyDescent="0.35">
      <c r="B509" s="1953"/>
      <c r="C509" s="1953"/>
      <c r="D509" s="1953"/>
      <c r="E509" s="1953"/>
      <c r="F509" s="1953"/>
      <c r="G509" s="1953"/>
      <c r="H509" s="1953"/>
      <c r="I509"/>
      <c r="J509"/>
      <c r="K509"/>
      <c r="L509"/>
    </row>
    <row r="510" spans="2:12" x14ac:dyDescent="0.35">
      <c r="B510" s="1953"/>
      <c r="C510" s="1953"/>
      <c r="D510" s="1953"/>
      <c r="E510" s="1953"/>
      <c r="F510" s="1953"/>
      <c r="G510" s="1953"/>
      <c r="H510" s="1953"/>
      <c r="I510"/>
      <c r="J510"/>
      <c r="K510"/>
      <c r="L510"/>
    </row>
    <row r="511" spans="2:12" x14ac:dyDescent="0.35">
      <c r="B511" s="1953"/>
      <c r="C511" s="1953"/>
      <c r="D511" s="1953"/>
      <c r="E511" s="1953"/>
      <c r="F511" s="1953"/>
      <c r="G511" s="1953"/>
      <c r="H511" s="1953"/>
      <c r="I511"/>
      <c r="J511"/>
      <c r="K511"/>
      <c r="L511"/>
    </row>
    <row r="512" spans="2:12" x14ac:dyDescent="0.35">
      <c r="B512" s="1953"/>
      <c r="C512" s="1953"/>
      <c r="D512" s="1953"/>
      <c r="E512" s="1953"/>
      <c r="F512" s="1953"/>
      <c r="G512" s="1953"/>
      <c r="H512" s="1953"/>
      <c r="I512"/>
      <c r="J512"/>
      <c r="K512"/>
      <c r="L512"/>
    </row>
    <row r="513" spans="2:12" x14ac:dyDescent="0.35">
      <c r="B513" s="1953"/>
      <c r="C513" s="1953"/>
      <c r="D513" s="1953"/>
      <c r="E513" s="1953"/>
      <c r="F513" s="1953"/>
      <c r="G513" s="1953"/>
      <c r="H513" s="1953"/>
      <c r="I513"/>
      <c r="J513"/>
      <c r="K513"/>
      <c r="L513"/>
    </row>
    <row r="514" spans="2:12" x14ac:dyDescent="0.35">
      <c r="B514" s="1953"/>
      <c r="C514" s="1953"/>
      <c r="D514" s="1953"/>
      <c r="E514" s="1953"/>
      <c r="F514" s="1953"/>
      <c r="G514" s="1953"/>
      <c r="H514" s="1953"/>
      <c r="I514"/>
      <c r="J514"/>
      <c r="K514"/>
      <c r="L514"/>
    </row>
    <row r="515" spans="2:12" x14ac:dyDescent="0.35">
      <c r="B515" s="1953"/>
      <c r="C515" s="1953"/>
      <c r="D515" s="1953"/>
      <c r="E515" s="1953"/>
      <c r="F515" s="1953"/>
      <c r="G515" s="1953"/>
      <c r="H515" s="1953"/>
      <c r="I515"/>
      <c r="J515"/>
      <c r="K515"/>
      <c r="L515"/>
    </row>
    <row r="516" spans="2:12" x14ac:dyDescent="0.35">
      <c r="B516" s="1953"/>
      <c r="C516" s="1953"/>
      <c r="D516" s="1953"/>
      <c r="E516" s="1953"/>
      <c r="F516" s="1953"/>
      <c r="G516" s="1953"/>
      <c r="H516" s="1953"/>
      <c r="I516"/>
      <c r="J516"/>
      <c r="K516"/>
      <c r="L516"/>
    </row>
    <row r="517" spans="2:12" x14ac:dyDescent="0.35">
      <c r="B517" s="1953"/>
      <c r="C517" s="1953"/>
      <c r="D517" s="1953"/>
      <c r="E517" s="1953"/>
      <c r="F517" s="1953"/>
      <c r="G517" s="1953"/>
      <c r="H517" s="1953"/>
      <c r="I517"/>
      <c r="J517"/>
      <c r="K517"/>
      <c r="L517"/>
    </row>
    <row r="518" spans="2:12" x14ac:dyDescent="0.35">
      <c r="B518" s="1953"/>
      <c r="C518" s="1953"/>
      <c r="D518" s="1953"/>
      <c r="E518" s="1953"/>
      <c r="F518" s="1953"/>
      <c r="G518" s="1953"/>
      <c r="H518" s="1953"/>
      <c r="I518"/>
      <c r="J518"/>
      <c r="K518"/>
      <c r="L518"/>
    </row>
    <row r="519" spans="2:12" x14ac:dyDescent="0.35">
      <c r="B519" s="1953"/>
      <c r="C519" s="1953"/>
      <c r="D519" s="1953"/>
      <c r="E519" s="1953"/>
      <c r="F519" s="1953"/>
      <c r="G519" s="1953"/>
      <c r="H519" s="1953"/>
      <c r="I519"/>
      <c r="J519"/>
      <c r="K519"/>
      <c r="L519"/>
    </row>
    <row r="520" spans="2:12" x14ac:dyDescent="0.35">
      <c r="B520" s="1953"/>
      <c r="C520" s="1953"/>
      <c r="D520" s="1953"/>
      <c r="E520" s="1953"/>
      <c r="F520" s="1953"/>
      <c r="G520" s="1953"/>
      <c r="H520" s="1953"/>
      <c r="I520"/>
      <c r="J520"/>
      <c r="K520"/>
      <c r="L520"/>
    </row>
    <row r="521" spans="2:12" x14ac:dyDescent="0.35">
      <c r="B521" s="1953"/>
      <c r="C521" s="1953"/>
      <c r="D521" s="1953"/>
      <c r="E521" s="1953"/>
      <c r="F521" s="1953"/>
      <c r="G521" s="1953"/>
      <c r="H521" s="1953"/>
      <c r="I521"/>
      <c r="J521"/>
      <c r="K521"/>
      <c r="L521"/>
    </row>
    <row r="522" spans="2:12" x14ac:dyDescent="0.35">
      <c r="B522" s="1953"/>
      <c r="C522" s="1953"/>
      <c r="D522" s="1953"/>
      <c r="E522" s="1953"/>
      <c r="F522" s="1953"/>
      <c r="G522" s="1953"/>
      <c r="H522" s="1953"/>
      <c r="I522"/>
      <c r="J522"/>
      <c r="K522"/>
      <c r="L522"/>
    </row>
    <row r="523" spans="2:12" x14ac:dyDescent="0.35">
      <c r="B523" s="1953"/>
      <c r="C523" s="1953"/>
      <c r="D523" s="1953"/>
      <c r="E523" s="1953"/>
      <c r="F523" s="1953"/>
      <c r="G523" s="1953"/>
      <c r="H523" s="1953"/>
      <c r="I523"/>
      <c r="J523"/>
      <c r="K523"/>
      <c r="L523"/>
    </row>
    <row r="524" spans="2:12" x14ac:dyDescent="0.35">
      <c r="B524" s="1953"/>
      <c r="C524" s="1953"/>
      <c r="D524" s="1953"/>
      <c r="E524" s="1953"/>
      <c r="F524" s="1953"/>
      <c r="G524" s="1953"/>
      <c r="H524" s="1953"/>
      <c r="I524"/>
      <c r="J524"/>
      <c r="K524"/>
      <c r="L524"/>
    </row>
    <row r="525" spans="2:12" x14ac:dyDescent="0.35">
      <c r="B525" s="1953"/>
      <c r="C525" s="1953"/>
      <c r="D525" s="1953"/>
      <c r="E525" s="1953"/>
      <c r="F525" s="1953"/>
      <c r="G525" s="1953"/>
      <c r="H525" s="1953"/>
      <c r="I525"/>
      <c r="J525"/>
      <c r="K525"/>
      <c r="L525"/>
    </row>
    <row r="526" spans="2:12" x14ac:dyDescent="0.35">
      <c r="B526" s="1953"/>
      <c r="C526" s="1953"/>
      <c r="D526" s="1953"/>
      <c r="E526" s="1953"/>
      <c r="F526" s="1953"/>
      <c r="G526" s="1953"/>
      <c r="H526" s="1953"/>
      <c r="I526"/>
      <c r="J526"/>
      <c r="K526"/>
      <c r="L526"/>
    </row>
    <row r="527" spans="2:12" x14ac:dyDescent="0.35">
      <c r="B527" s="1953"/>
      <c r="C527" s="1953"/>
      <c r="D527" s="1953"/>
      <c r="E527" s="1953"/>
      <c r="F527" s="1953"/>
      <c r="G527" s="1953"/>
      <c r="H527" s="1953"/>
      <c r="I527"/>
      <c r="J527"/>
      <c r="K527"/>
      <c r="L527"/>
    </row>
    <row r="528" spans="2:12" x14ac:dyDescent="0.35">
      <c r="B528" s="1953"/>
      <c r="C528" s="1953"/>
      <c r="D528" s="1953"/>
      <c r="E528" s="1953"/>
      <c r="F528" s="1953"/>
      <c r="G528" s="1953"/>
      <c r="H528" s="1953"/>
      <c r="I528"/>
      <c r="J528"/>
      <c r="K528"/>
      <c r="L528"/>
    </row>
    <row r="529" spans="2:12" x14ac:dyDescent="0.35">
      <c r="B529" s="1953"/>
      <c r="C529" s="1953"/>
      <c r="D529" s="1953"/>
      <c r="E529" s="1953"/>
      <c r="F529" s="1953"/>
      <c r="G529" s="1953"/>
      <c r="H529" s="1953"/>
      <c r="I529"/>
      <c r="J529"/>
      <c r="K529"/>
      <c r="L529"/>
    </row>
    <row r="530" spans="2:12" x14ac:dyDescent="0.35">
      <c r="B530" s="1953"/>
      <c r="C530" s="1953"/>
      <c r="D530" s="1953"/>
      <c r="E530" s="1953"/>
      <c r="F530" s="1953"/>
      <c r="G530" s="1953"/>
      <c r="H530" s="1953"/>
      <c r="I530"/>
      <c r="J530"/>
      <c r="K530"/>
      <c r="L530"/>
    </row>
    <row r="531" spans="2:12" x14ac:dyDescent="0.35">
      <c r="B531" s="1953"/>
      <c r="C531" s="1953"/>
      <c r="D531" s="1953"/>
      <c r="E531" s="1953"/>
      <c r="F531" s="1953"/>
      <c r="G531" s="1953"/>
      <c r="H531" s="1953"/>
      <c r="I531"/>
      <c r="J531"/>
      <c r="K531"/>
      <c r="L531"/>
    </row>
    <row r="532" spans="2:12" x14ac:dyDescent="0.35">
      <c r="B532" s="1953"/>
      <c r="C532" s="1953"/>
      <c r="D532" s="1953"/>
      <c r="E532" s="1953"/>
      <c r="F532" s="1953"/>
      <c r="G532" s="1953"/>
      <c r="H532" s="1953"/>
      <c r="I532"/>
      <c r="J532"/>
      <c r="K532"/>
      <c r="L532"/>
    </row>
    <row r="533" spans="2:12" x14ac:dyDescent="0.35">
      <c r="B533" s="1953"/>
      <c r="C533" s="1953"/>
      <c r="D533" s="1953"/>
      <c r="E533" s="1953"/>
      <c r="F533" s="1953"/>
      <c r="G533" s="1953"/>
      <c r="H533" s="1953"/>
      <c r="I533"/>
      <c r="J533"/>
      <c r="K533"/>
      <c r="L533"/>
    </row>
    <row r="534" spans="2:12" x14ac:dyDescent="0.35">
      <c r="B534" s="1953"/>
      <c r="C534" s="1953"/>
      <c r="D534" s="1953"/>
      <c r="E534" s="1953"/>
      <c r="F534" s="1953"/>
      <c r="G534" s="1953"/>
      <c r="H534" s="1953"/>
      <c r="I534"/>
      <c r="J534"/>
      <c r="K534"/>
      <c r="L534"/>
    </row>
    <row r="535" spans="2:12" x14ac:dyDescent="0.35">
      <c r="B535" s="1953"/>
      <c r="C535" s="1953"/>
      <c r="D535" s="1953"/>
      <c r="E535" s="1953"/>
      <c r="F535" s="1953"/>
      <c r="G535" s="1953"/>
      <c r="H535" s="1953"/>
      <c r="I535"/>
      <c r="J535"/>
      <c r="K535"/>
      <c r="L535"/>
    </row>
    <row r="536" spans="2:12" x14ac:dyDescent="0.35">
      <c r="B536" s="1953"/>
      <c r="C536" s="1953"/>
      <c r="D536" s="1953"/>
      <c r="E536" s="1953"/>
      <c r="F536" s="1953"/>
      <c r="G536" s="1953"/>
      <c r="H536" s="1953"/>
      <c r="I536"/>
      <c r="J536"/>
      <c r="K536"/>
      <c r="L536"/>
    </row>
    <row r="537" spans="2:12" x14ac:dyDescent="0.35">
      <c r="B537" s="1953"/>
      <c r="C537" s="1953"/>
      <c r="D537" s="1953"/>
      <c r="E537" s="1953"/>
      <c r="F537" s="1953"/>
      <c r="G537" s="1953"/>
      <c r="H537" s="1953"/>
      <c r="I537"/>
      <c r="J537"/>
      <c r="K537"/>
      <c r="L537"/>
    </row>
    <row r="538" spans="2:12" x14ac:dyDescent="0.35">
      <c r="B538" s="1953"/>
      <c r="C538" s="1953"/>
      <c r="D538" s="1953"/>
      <c r="E538" s="1953"/>
      <c r="F538" s="1953"/>
      <c r="G538" s="1953"/>
      <c r="H538" s="1953"/>
      <c r="I538"/>
      <c r="J538"/>
      <c r="K538"/>
      <c r="L538"/>
    </row>
    <row r="539" spans="2:12" x14ac:dyDescent="0.35">
      <c r="B539" s="1953"/>
      <c r="C539" s="1953"/>
      <c r="D539" s="1953"/>
      <c r="E539" s="1953"/>
      <c r="F539" s="1953"/>
      <c r="G539" s="1953"/>
      <c r="H539" s="1953"/>
      <c r="I539"/>
      <c r="J539"/>
      <c r="K539"/>
      <c r="L539"/>
    </row>
    <row r="540" spans="2:12" x14ac:dyDescent="0.35">
      <c r="B540" s="1953"/>
      <c r="C540" s="1953"/>
      <c r="D540" s="1953"/>
      <c r="E540" s="1953"/>
      <c r="F540" s="1953"/>
      <c r="G540" s="1953"/>
      <c r="H540" s="1953"/>
      <c r="I540"/>
      <c r="J540"/>
      <c r="K540"/>
      <c r="L540"/>
    </row>
    <row r="541" spans="2:12" x14ac:dyDescent="0.35">
      <c r="B541" s="1953"/>
      <c r="C541" s="1953"/>
      <c r="D541" s="1953"/>
      <c r="E541" s="1953"/>
      <c r="F541" s="1953"/>
      <c r="G541" s="1953"/>
      <c r="H541" s="1953"/>
      <c r="I541"/>
      <c r="J541"/>
      <c r="K541"/>
      <c r="L541"/>
    </row>
    <row r="542" spans="2:12" x14ac:dyDescent="0.35">
      <c r="B542" s="1953"/>
      <c r="C542" s="1953"/>
      <c r="D542" s="1953"/>
      <c r="E542" s="1953"/>
      <c r="F542" s="1953"/>
      <c r="G542" s="1953"/>
      <c r="H542" s="1953"/>
      <c r="I542"/>
      <c r="J542"/>
      <c r="K542"/>
      <c r="L542"/>
    </row>
    <row r="543" spans="2:12" x14ac:dyDescent="0.35">
      <c r="B543" s="1953"/>
      <c r="C543" s="1953"/>
      <c r="D543" s="1953"/>
      <c r="E543" s="1953"/>
      <c r="F543" s="1953"/>
      <c r="G543" s="1953"/>
      <c r="H543" s="1953"/>
      <c r="I543"/>
      <c r="J543"/>
      <c r="K543"/>
      <c r="L543"/>
    </row>
    <row r="544" spans="2:12" x14ac:dyDescent="0.35">
      <c r="B544" s="1953"/>
      <c r="C544" s="1953"/>
      <c r="D544" s="1953"/>
      <c r="E544" s="1953"/>
      <c r="F544" s="1953"/>
      <c r="G544" s="1953"/>
      <c r="H544" s="1953"/>
      <c r="I544"/>
      <c r="J544"/>
      <c r="K544"/>
      <c r="L544"/>
    </row>
    <row r="545" spans="2:12" x14ac:dyDescent="0.35">
      <c r="B545" s="1953"/>
      <c r="C545" s="1953"/>
      <c r="D545" s="1953"/>
      <c r="E545" s="1953"/>
      <c r="F545" s="1953"/>
      <c r="G545" s="1953"/>
      <c r="H545" s="1953"/>
      <c r="I545"/>
      <c r="J545"/>
      <c r="K545"/>
      <c r="L545"/>
    </row>
    <row r="546" spans="2:12" x14ac:dyDescent="0.35">
      <c r="B546" s="1953"/>
      <c r="C546" s="1953"/>
      <c r="D546" s="1953"/>
      <c r="E546" s="1953"/>
      <c r="F546" s="1953"/>
      <c r="G546" s="1953"/>
      <c r="H546" s="1953"/>
      <c r="I546"/>
      <c r="J546"/>
      <c r="K546"/>
      <c r="L546"/>
    </row>
    <row r="547" spans="2:12" x14ac:dyDescent="0.35">
      <c r="B547" s="1953"/>
      <c r="C547" s="1953"/>
      <c r="D547" s="1953"/>
      <c r="E547" s="1953"/>
      <c r="F547" s="1953"/>
      <c r="G547" s="1953"/>
      <c r="H547" s="1953"/>
      <c r="I547"/>
      <c r="J547"/>
      <c r="K547"/>
      <c r="L547"/>
    </row>
    <row r="548" spans="2:12" x14ac:dyDescent="0.35">
      <c r="B548" s="1953"/>
      <c r="C548" s="1953"/>
      <c r="D548" s="1953"/>
      <c r="E548" s="1953"/>
      <c r="F548" s="1953"/>
      <c r="G548" s="1953"/>
      <c r="H548" s="1953"/>
      <c r="I548"/>
      <c r="J548"/>
      <c r="K548"/>
      <c r="L548"/>
    </row>
    <row r="549" spans="2:12" x14ac:dyDescent="0.35">
      <c r="B549" s="1953"/>
      <c r="C549" s="1953"/>
      <c r="D549" s="1953"/>
      <c r="E549" s="1953"/>
      <c r="F549" s="1953"/>
      <c r="G549" s="1953"/>
      <c r="H549" s="1953"/>
      <c r="I549"/>
      <c r="J549"/>
      <c r="K549"/>
      <c r="L549"/>
    </row>
    <row r="550" spans="2:12" x14ac:dyDescent="0.35">
      <c r="B550" s="1953"/>
      <c r="C550" s="1953"/>
      <c r="D550" s="1953"/>
      <c r="E550" s="1953"/>
      <c r="F550" s="1953"/>
      <c r="G550" s="1953"/>
      <c r="H550" s="1953"/>
      <c r="I550"/>
      <c r="J550"/>
      <c r="K550"/>
      <c r="L550"/>
    </row>
    <row r="551" spans="2:12" x14ac:dyDescent="0.35">
      <c r="B551" s="1953"/>
      <c r="C551" s="1953"/>
      <c r="D551" s="1953"/>
      <c r="E551" s="1953"/>
      <c r="F551" s="1953"/>
      <c r="G551" s="1953"/>
      <c r="H551" s="1953"/>
      <c r="I551"/>
      <c r="J551"/>
      <c r="K551"/>
      <c r="L551"/>
    </row>
    <row r="552" spans="2:12" x14ac:dyDescent="0.35">
      <c r="B552" s="1953"/>
      <c r="C552" s="1953"/>
      <c r="D552" s="1953"/>
      <c r="E552" s="1953"/>
      <c r="F552" s="1953"/>
      <c r="G552" s="1953"/>
      <c r="H552" s="1953"/>
      <c r="I552"/>
      <c r="J552"/>
      <c r="K552"/>
      <c r="L552"/>
    </row>
    <row r="553" spans="2:12" x14ac:dyDescent="0.35">
      <c r="B553" s="1953"/>
      <c r="C553" s="1953"/>
      <c r="D553" s="1953"/>
      <c r="E553" s="1953"/>
      <c r="F553" s="1953"/>
      <c r="G553" s="1953"/>
      <c r="H553" s="1953"/>
      <c r="I553"/>
      <c r="J553"/>
      <c r="K553"/>
      <c r="L553"/>
    </row>
    <row r="554" spans="2:12" x14ac:dyDescent="0.35">
      <c r="B554" s="1953"/>
      <c r="C554" s="1953"/>
      <c r="D554" s="1953"/>
      <c r="E554" s="1953"/>
      <c r="F554" s="1953"/>
      <c r="G554" s="1953"/>
      <c r="H554" s="1953"/>
      <c r="I554"/>
      <c r="J554"/>
      <c r="K554"/>
      <c r="L554"/>
    </row>
    <row r="555" spans="2:12" x14ac:dyDescent="0.35">
      <c r="B555" s="1953"/>
      <c r="C555" s="1953"/>
      <c r="D555" s="1953"/>
      <c r="E555" s="1953"/>
      <c r="F555" s="1953"/>
      <c r="G555" s="1953"/>
      <c r="H555" s="1953"/>
      <c r="I555"/>
      <c r="J555"/>
      <c r="K555"/>
      <c r="L555"/>
    </row>
    <row r="556" spans="2:12" x14ac:dyDescent="0.35">
      <c r="B556" s="1953"/>
      <c r="C556" s="1953"/>
      <c r="D556" s="1953"/>
      <c r="E556" s="1953"/>
      <c r="F556" s="1953"/>
      <c r="G556" s="1953"/>
      <c r="H556" s="1953"/>
      <c r="I556"/>
      <c r="J556"/>
      <c r="K556"/>
      <c r="L556"/>
    </row>
    <row r="557" spans="2:12" x14ac:dyDescent="0.35">
      <c r="B557" s="1953"/>
      <c r="C557" s="1953"/>
      <c r="D557" s="1953"/>
      <c r="E557" s="1953"/>
      <c r="F557" s="1953"/>
      <c r="G557" s="1953"/>
      <c r="H557" s="1953"/>
      <c r="I557"/>
      <c r="J557"/>
      <c r="K557"/>
      <c r="L557"/>
    </row>
    <row r="558" spans="2:12" x14ac:dyDescent="0.35">
      <c r="B558" s="1953"/>
      <c r="C558" s="1953"/>
      <c r="D558" s="1953"/>
      <c r="E558" s="1953"/>
      <c r="F558" s="1953"/>
      <c r="G558" s="1953"/>
      <c r="H558" s="1953"/>
      <c r="I558"/>
      <c r="J558"/>
      <c r="K558"/>
      <c r="L558"/>
    </row>
    <row r="559" spans="2:12" x14ac:dyDescent="0.35">
      <c r="B559" s="1953"/>
      <c r="C559" s="1953"/>
      <c r="D559" s="1953"/>
      <c r="E559" s="1953"/>
      <c r="F559" s="1953"/>
      <c r="G559" s="1953"/>
      <c r="H559" s="1953"/>
      <c r="I559"/>
      <c r="J559"/>
      <c r="K559"/>
      <c r="L559"/>
    </row>
    <row r="560" spans="2:12" x14ac:dyDescent="0.35">
      <c r="B560" s="1953"/>
      <c r="C560" s="1953"/>
      <c r="D560" s="1953"/>
      <c r="E560" s="1953"/>
      <c r="F560" s="1953"/>
      <c r="G560" s="1953"/>
      <c r="H560" s="1953"/>
      <c r="I560"/>
      <c r="J560"/>
      <c r="K560"/>
      <c r="L560"/>
    </row>
    <row r="561" spans="2:12" x14ac:dyDescent="0.35">
      <c r="B561" s="1953"/>
      <c r="C561" s="1953"/>
      <c r="D561" s="1953"/>
      <c r="E561" s="1953"/>
      <c r="F561" s="1953"/>
      <c r="G561" s="1953"/>
      <c r="H561" s="1953"/>
      <c r="I561"/>
      <c r="J561"/>
      <c r="K561"/>
      <c r="L561"/>
    </row>
    <row r="562" spans="2:12" x14ac:dyDescent="0.35">
      <c r="B562" s="1953"/>
      <c r="C562" s="1953"/>
      <c r="D562" s="1953"/>
      <c r="E562" s="1953"/>
      <c r="F562" s="1953"/>
      <c r="G562" s="1953"/>
      <c r="H562" s="1953"/>
      <c r="I562"/>
      <c r="J562"/>
      <c r="K562"/>
      <c r="L562"/>
    </row>
    <row r="563" spans="2:12" x14ac:dyDescent="0.35">
      <c r="B563" s="1953"/>
      <c r="C563" s="1953"/>
      <c r="D563" s="1953"/>
      <c r="E563" s="1953"/>
      <c r="F563" s="1953"/>
      <c r="G563" s="1953"/>
      <c r="H563" s="1953"/>
      <c r="I563"/>
      <c r="J563"/>
      <c r="K563"/>
      <c r="L563"/>
    </row>
    <row r="564" spans="2:12" x14ac:dyDescent="0.35">
      <c r="B564" s="1953"/>
      <c r="C564" s="1953"/>
      <c r="D564" s="1953"/>
      <c r="E564" s="1953"/>
      <c r="F564" s="1953"/>
      <c r="G564" s="1953"/>
      <c r="H564" s="1953"/>
      <c r="I564"/>
      <c r="J564"/>
      <c r="K564"/>
      <c r="L564"/>
    </row>
    <row r="565" spans="2:12" x14ac:dyDescent="0.35">
      <c r="B565" s="1953"/>
      <c r="C565" s="1953"/>
      <c r="D565" s="1953"/>
      <c r="E565" s="1953"/>
      <c r="F565" s="1953"/>
      <c r="G565" s="1953"/>
      <c r="H565" s="1953"/>
      <c r="I565"/>
      <c r="J565"/>
      <c r="K565"/>
      <c r="L565"/>
    </row>
    <row r="566" spans="2:12" x14ac:dyDescent="0.35">
      <c r="B566" s="1953"/>
      <c r="C566" s="1953"/>
      <c r="D566" s="1953"/>
      <c r="E566" s="1953"/>
      <c r="F566" s="1953"/>
      <c r="G566" s="1953"/>
      <c r="H566" s="1953"/>
      <c r="I566"/>
      <c r="J566"/>
      <c r="K566"/>
      <c r="L566"/>
    </row>
    <row r="567" spans="2:12" x14ac:dyDescent="0.35">
      <c r="B567" s="1953"/>
      <c r="C567" s="1953"/>
      <c r="D567" s="1953"/>
      <c r="E567" s="1953"/>
      <c r="F567" s="1953"/>
      <c r="G567" s="1953"/>
      <c r="H567" s="1953"/>
      <c r="I567"/>
      <c r="J567"/>
      <c r="K567"/>
      <c r="L567"/>
    </row>
    <row r="568" spans="2:12" x14ac:dyDescent="0.35">
      <c r="B568" s="1953"/>
      <c r="C568" s="1953"/>
      <c r="D568" s="1953"/>
      <c r="E568" s="1953"/>
      <c r="F568" s="1953"/>
      <c r="G568" s="1953"/>
      <c r="H568" s="1953"/>
      <c r="I568"/>
      <c r="J568"/>
      <c r="K568"/>
      <c r="L568"/>
    </row>
    <row r="569" spans="2:12" x14ac:dyDescent="0.35">
      <c r="B569" s="1953"/>
      <c r="C569" s="1953"/>
      <c r="D569" s="1953"/>
      <c r="E569" s="1953"/>
      <c r="F569" s="1953"/>
      <c r="G569" s="1953"/>
      <c r="H569" s="1953"/>
      <c r="I569"/>
      <c r="J569"/>
      <c r="K569"/>
      <c r="L569"/>
    </row>
    <row r="570" spans="2:12" x14ac:dyDescent="0.35">
      <c r="B570" s="1953"/>
      <c r="C570" s="1953"/>
      <c r="D570" s="1953"/>
      <c r="E570" s="1953"/>
      <c r="F570" s="1953"/>
      <c r="G570" s="1953"/>
      <c r="H570" s="1953"/>
      <c r="I570"/>
      <c r="J570"/>
      <c r="K570"/>
      <c r="L570"/>
    </row>
    <row r="571" spans="2:12" x14ac:dyDescent="0.35">
      <c r="B571" s="1953"/>
      <c r="C571" s="1953"/>
      <c r="D571" s="1953"/>
      <c r="E571" s="1953"/>
      <c r="F571" s="1953"/>
      <c r="G571" s="1953"/>
      <c r="H571" s="1953"/>
      <c r="I571"/>
      <c r="J571"/>
      <c r="K571"/>
      <c r="L571"/>
    </row>
    <row r="572" spans="2:12" x14ac:dyDescent="0.35">
      <c r="B572" s="1953"/>
      <c r="C572" s="1953"/>
      <c r="D572" s="1953"/>
      <c r="E572" s="1953"/>
      <c r="F572" s="1953"/>
      <c r="G572" s="1953"/>
      <c r="H572" s="1953"/>
      <c r="I572"/>
      <c r="J572"/>
      <c r="K572"/>
      <c r="L572"/>
    </row>
    <row r="573" spans="2:12" x14ac:dyDescent="0.35">
      <c r="B573" s="1953"/>
      <c r="C573" s="1953"/>
      <c r="D573" s="1953"/>
      <c r="E573" s="1953"/>
      <c r="F573" s="1953"/>
      <c r="G573" s="1953"/>
      <c r="H573" s="1953"/>
      <c r="I573"/>
      <c r="J573"/>
      <c r="K573"/>
      <c r="L573"/>
    </row>
    <row r="574" spans="2:12" x14ac:dyDescent="0.35">
      <c r="B574" s="1953"/>
      <c r="C574" s="1953"/>
      <c r="D574" s="1953"/>
      <c r="E574" s="1953"/>
      <c r="F574" s="1953"/>
      <c r="G574" s="1953"/>
      <c r="H574" s="1953"/>
      <c r="I574"/>
      <c r="J574"/>
      <c r="K574"/>
      <c r="L574"/>
    </row>
    <row r="575" spans="2:12" x14ac:dyDescent="0.35">
      <c r="B575" s="1953"/>
      <c r="C575" s="1953"/>
      <c r="D575" s="1953"/>
      <c r="E575" s="1953"/>
      <c r="F575" s="1953"/>
      <c r="G575" s="1953"/>
      <c r="H575" s="1953"/>
      <c r="I575"/>
      <c r="J575"/>
      <c r="K575"/>
      <c r="L575"/>
    </row>
    <row r="576" spans="2:12" x14ac:dyDescent="0.35">
      <c r="B576" s="1953"/>
      <c r="C576" s="1953"/>
      <c r="D576" s="1953"/>
      <c r="E576" s="1953"/>
      <c r="F576" s="1953"/>
      <c r="G576" s="1953"/>
      <c r="H576" s="1953"/>
      <c r="I576"/>
      <c r="J576"/>
      <c r="K576"/>
      <c r="L576"/>
    </row>
    <row r="577" spans="2:12" x14ac:dyDescent="0.35">
      <c r="B577" s="1953"/>
      <c r="C577" s="1953"/>
      <c r="D577" s="1953"/>
      <c r="E577" s="1953"/>
      <c r="F577" s="1953"/>
      <c r="G577" s="1953"/>
      <c r="H577" s="1953"/>
      <c r="I577"/>
      <c r="J577"/>
      <c r="K577"/>
      <c r="L577"/>
    </row>
    <row r="578" spans="2:12" x14ac:dyDescent="0.35">
      <c r="B578" s="1953"/>
      <c r="C578" s="1953"/>
      <c r="D578" s="1953"/>
      <c r="E578" s="1953"/>
      <c r="F578" s="1953"/>
      <c r="G578" s="1953"/>
      <c r="H578" s="1953"/>
      <c r="I578"/>
      <c r="J578"/>
      <c r="K578"/>
      <c r="L578"/>
    </row>
    <row r="579" spans="2:12" x14ac:dyDescent="0.35">
      <c r="B579" s="1953"/>
      <c r="C579" s="1953"/>
      <c r="D579" s="1953"/>
      <c r="E579" s="1953"/>
      <c r="F579" s="1953"/>
      <c r="G579" s="1953"/>
      <c r="H579" s="1953"/>
      <c r="I579"/>
      <c r="J579"/>
      <c r="K579"/>
      <c r="L579"/>
    </row>
    <row r="580" spans="2:12" x14ac:dyDescent="0.35">
      <c r="B580" s="1953"/>
      <c r="C580" s="1953"/>
      <c r="D580" s="1953"/>
      <c r="E580" s="1953"/>
      <c r="F580" s="1953"/>
      <c r="G580" s="1953"/>
      <c r="H580" s="1953"/>
      <c r="I580"/>
      <c r="J580"/>
      <c r="K580"/>
      <c r="L580"/>
    </row>
    <row r="581" spans="2:12" x14ac:dyDescent="0.35">
      <c r="B581" s="1953"/>
      <c r="C581" s="1953"/>
      <c r="D581" s="1953"/>
      <c r="E581" s="1953"/>
      <c r="F581" s="1953"/>
      <c r="G581" s="1953"/>
      <c r="H581" s="1953"/>
      <c r="I581"/>
      <c r="J581"/>
      <c r="K581"/>
      <c r="L581"/>
    </row>
    <row r="582" spans="2:12" x14ac:dyDescent="0.35">
      <c r="B582" s="1953"/>
      <c r="C582" s="1953"/>
      <c r="D582" s="1953"/>
      <c r="E582" s="1953"/>
      <c r="F582" s="1953"/>
      <c r="G582" s="1953"/>
      <c r="H582" s="1953"/>
      <c r="I582"/>
      <c r="J582"/>
      <c r="K582"/>
      <c r="L582"/>
    </row>
    <row r="583" spans="2:12" x14ac:dyDescent="0.35">
      <c r="B583" s="1953"/>
      <c r="C583" s="1953"/>
      <c r="D583" s="1953"/>
      <c r="E583" s="1953"/>
      <c r="F583" s="1953"/>
      <c r="G583" s="1953"/>
      <c r="H583" s="1953"/>
      <c r="I583"/>
      <c r="J583"/>
      <c r="K583"/>
      <c r="L583"/>
    </row>
    <row r="584" spans="2:12" x14ac:dyDescent="0.35">
      <c r="B584" s="1953"/>
      <c r="C584" s="1953"/>
      <c r="D584" s="1953"/>
      <c r="E584" s="1953"/>
      <c r="F584" s="1953"/>
      <c r="G584" s="1953"/>
      <c r="H584" s="1953"/>
      <c r="I584"/>
      <c r="J584"/>
      <c r="K584"/>
      <c r="L584"/>
    </row>
    <row r="585" spans="2:12" x14ac:dyDescent="0.35">
      <c r="B585" s="1953"/>
      <c r="C585" s="1953"/>
      <c r="D585" s="1953"/>
      <c r="E585" s="1953"/>
      <c r="F585" s="1953"/>
      <c r="G585" s="1953"/>
      <c r="H585" s="1953"/>
      <c r="I585"/>
      <c r="J585"/>
      <c r="K585"/>
      <c r="L585"/>
    </row>
    <row r="586" spans="2:12" x14ac:dyDescent="0.35">
      <c r="B586" s="1953"/>
      <c r="C586" s="1953"/>
      <c r="D586" s="1953"/>
      <c r="E586" s="1953"/>
      <c r="F586" s="1953"/>
      <c r="G586" s="1953"/>
      <c r="H586" s="1953"/>
      <c r="I586"/>
      <c r="J586"/>
      <c r="K586"/>
      <c r="L586"/>
    </row>
    <row r="587" spans="2:12" x14ac:dyDescent="0.35">
      <c r="B587" s="1953"/>
      <c r="C587" s="1953"/>
      <c r="D587" s="1953"/>
      <c r="E587" s="1953"/>
      <c r="F587" s="1953"/>
      <c r="G587" s="1953"/>
      <c r="H587" s="1953"/>
      <c r="I587"/>
      <c r="J587"/>
      <c r="K587"/>
      <c r="L587"/>
    </row>
    <row r="588" spans="2:12" x14ac:dyDescent="0.35">
      <c r="B588" s="1953"/>
      <c r="C588" s="1953"/>
      <c r="D588" s="1953"/>
      <c r="E588" s="1953"/>
      <c r="F588" s="1953"/>
      <c r="G588" s="1953"/>
      <c r="H588" s="1953"/>
      <c r="I588"/>
      <c r="J588"/>
      <c r="K588"/>
      <c r="L588"/>
    </row>
    <row r="589" spans="2:12" x14ac:dyDescent="0.35">
      <c r="B589" s="1953"/>
      <c r="C589" s="1953"/>
      <c r="D589" s="1953"/>
      <c r="E589" s="1953"/>
      <c r="F589" s="1953"/>
      <c r="G589" s="1953"/>
      <c r="H589" s="1953"/>
      <c r="I589"/>
      <c r="J589"/>
      <c r="K589"/>
      <c r="L589"/>
    </row>
    <row r="590" spans="2:12" x14ac:dyDescent="0.35">
      <c r="B590" s="1953"/>
      <c r="C590" s="1953"/>
      <c r="D590" s="1953"/>
      <c r="E590" s="1953"/>
      <c r="F590" s="1953"/>
      <c r="G590" s="1953"/>
      <c r="H590" s="1953"/>
      <c r="I590"/>
      <c r="J590"/>
      <c r="K590"/>
      <c r="L590"/>
    </row>
    <row r="591" spans="2:12" x14ac:dyDescent="0.35">
      <c r="B591" s="1953"/>
      <c r="C591" s="1953"/>
      <c r="D591" s="1953"/>
      <c r="E591" s="1953"/>
      <c r="F591" s="1953"/>
      <c r="G591" s="1953"/>
      <c r="H591" s="1953"/>
      <c r="I591"/>
      <c r="J591"/>
      <c r="K591"/>
      <c r="L591"/>
    </row>
    <row r="592" spans="2:12" x14ac:dyDescent="0.35">
      <c r="B592" s="1953"/>
      <c r="C592" s="1953"/>
      <c r="D592" s="1953"/>
      <c r="E592" s="1953"/>
      <c r="F592" s="1953"/>
      <c r="G592" s="1953"/>
      <c r="H592" s="1953"/>
      <c r="I592"/>
      <c r="J592"/>
      <c r="K592"/>
      <c r="L592"/>
    </row>
    <row r="593" spans="2:12" x14ac:dyDescent="0.35">
      <c r="B593" s="1953"/>
      <c r="C593" s="1953"/>
      <c r="D593" s="1953"/>
      <c r="E593" s="1953"/>
      <c r="F593" s="1953"/>
      <c r="G593" s="1953"/>
      <c r="H593" s="1953"/>
      <c r="I593"/>
      <c r="J593"/>
      <c r="K593"/>
      <c r="L593"/>
    </row>
    <row r="594" spans="2:12" x14ac:dyDescent="0.35">
      <c r="B594" s="1953"/>
      <c r="C594" s="1953"/>
      <c r="D594" s="1953"/>
      <c r="E594" s="1953"/>
      <c r="F594" s="1953"/>
      <c r="G594" s="1953"/>
      <c r="H594" s="1953"/>
      <c r="I594"/>
      <c r="J594"/>
      <c r="K594"/>
      <c r="L594"/>
    </row>
    <row r="595" spans="2:12" x14ac:dyDescent="0.35">
      <c r="B595" s="1953"/>
      <c r="C595" s="1953"/>
      <c r="D595" s="1953"/>
      <c r="E595" s="1953"/>
      <c r="F595" s="1953"/>
      <c r="G595" s="1953"/>
      <c r="H595" s="1953"/>
      <c r="I595"/>
      <c r="J595"/>
      <c r="K595"/>
      <c r="L595"/>
    </row>
    <row r="596" spans="2:12" x14ac:dyDescent="0.35">
      <c r="B596" s="1953"/>
      <c r="C596" s="1953"/>
      <c r="D596" s="1953"/>
      <c r="E596" s="1953"/>
      <c r="F596" s="1953"/>
      <c r="G596" s="1953"/>
      <c r="H596" s="1953"/>
      <c r="I596"/>
      <c r="J596"/>
      <c r="K596"/>
      <c r="L596"/>
    </row>
    <row r="597" spans="2:12" x14ac:dyDescent="0.35">
      <c r="B597" s="1953"/>
      <c r="C597" s="1953"/>
      <c r="D597" s="1953"/>
      <c r="E597" s="1953"/>
      <c r="F597" s="1953"/>
      <c r="G597" s="1953"/>
      <c r="H597" s="1953"/>
      <c r="I597"/>
      <c r="J597"/>
      <c r="K597"/>
      <c r="L597"/>
    </row>
    <row r="598" spans="2:12" x14ac:dyDescent="0.35">
      <c r="B598" s="1953"/>
      <c r="C598" s="1953"/>
      <c r="D598" s="1953"/>
      <c r="E598" s="1953"/>
      <c r="F598" s="1953"/>
      <c r="G598" s="1953"/>
      <c r="H598" s="1953"/>
      <c r="I598"/>
      <c r="J598"/>
      <c r="K598"/>
      <c r="L598"/>
    </row>
    <row r="599" spans="2:12" x14ac:dyDescent="0.35">
      <c r="B599" s="1953"/>
      <c r="C599" s="1953"/>
      <c r="D599" s="1953"/>
      <c r="E599" s="1953"/>
      <c r="F599" s="1953"/>
      <c r="G599" s="1953"/>
      <c r="H599" s="1953"/>
      <c r="I599"/>
      <c r="J599"/>
      <c r="K599"/>
      <c r="L599"/>
    </row>
    <row r="600" spans="2:12" x14ac:dyDescent="0.35">
      <c r="B600" s="1953"/>
      <c r="C600" s="1953"/>
      <c r="D600" s="1953"/>
      <c r="E600" s="1953"/>
      <c r="F600" s="1953"/>
      <c r="G600" s="1953"/>
      <c r="H600" s="1953"/>
      <c r="I600"/>
      <c r="J600"/>
      <c r="K600"/>
      <c r="L600"/>
    </row>
    <row r="601" spans="2:12" x14ac:dyDescent="0.35">
      <c r="B601" s="1953"/>
      <c r="C601" s="1953"/>
      <c r="D601" s="1953"/>
      <c r="E601" s="1953"/>
      <c r="F601" s="1953"/>
      <c r="G601" s="1953"/>
      <c r="H601" s="1953"/>
      <c r="I601"/>
      <c r="J601"/>
      <c r="K601"/>
      <c r="L601"/>
    </row>
    <row r="602" spans="2:12" x14ac:dyDescent="0.35">
      <c r="B602" s="1953"/>
      <c r="C602" s="1953"/>
      <c r="D602" s="1953"/>
      <c r="E602" s="1953"/>
      <c r="F602" s="1953"/>
      <c r="G602" s="1953"/>
      <c r="H602" s="1953"/>
      <c r="I602"/>
      <c r="J602"/>
      <c r="K602"/>
      <c r="L602"/>
    </row>
    <row r="603" spans="2:12" x14ac:dyDescent="0.35">
      <c r="B603" s="1953"/>
      <c r="C603" s="1953"/>
      <c r="D603" s="1953"/>
      <c r="E603" s="1953"/>
      <c r="F603" s="1953"/>
      <c r="G603" s="1953"/>
      <c r="H603" s="1953"/>
      <c r="I603"/>
      <c r="J603"/>
      <c r="K603"/>
      <c r="L603"/>
    </row>
    <row r="604" spans="2:12" x14ac:dyDescent="0.35">
      <c r="B604" s="1953"/>
      <c r="C604" s="1953"/>
      <c r="D604" s="1953"/>
      <c r="E604" s="1953"/>
      <c r="F604" s="1953"/>
      <c r="G604" s="1953"/>
      <c r="H604" s="1953"/>
      <c r="I604"/>
      <c r="J604"/>
      <c r="K604"/>
      <c r="L604"/>
    </row>
    <row r="605" spans="2:12" x14ac:dyDescent="0.35">
      <c r="B605" s="1953"/>
      <c r="C605" s="1953"/>
      <c r="D605" s="1953"/>
      <c r="E605" s="1953"/>
      <c r="F605" s="1953"/>
      <c r="G605" s="1953"/>
      <c r="H605" s="1953"/>
      <c r="I605"/>
      <c r="J605"/>
      <c r="K605"/>
      <c r="L605"/>
    </row>
    <row r="606" spans="2:12" x14ac:dyDescent="0.35">
      <c r="B606" s="1953"/>
      <c r="C606" s="1953"/>
      <c r="D606" s="1953"/>
      <c r="E606" s="1953"/>
      <c r="F606" s="1953"/>
      <c r="G606" s="1953"/>
      <c r="H606" s="1953"/>
      <c r="I606"/>
      <c r="J606"/>
      <c r="K606"/>
      <c r="L606"/>
    </row>
    <row r="607" spans="2:12" x14ac:dyDescent="0.35">
      <c r="B607" s="1953"/>
      <c r="C607" s="1953"/>
      <c r="D607" s="1953"/>
      <c r="E607" s="1953"/>
      <c r="F607" s="1953"/>
      <c r="G607" s="1953"/>
      <c r="H607" s="1953"/>
      <c r="I607"/>
      <c r="J607"/>
      <c r="K607"/>
      <c r="L607"/>
    </row>
    <row r="608" spans="2:12" x14ac:dyDescent="0.35">
      <c r="B608" s="1953"/>
      <c r="C608" s="1953"/>
      <c r="D608" s="1953"/>
      <c r="E608" s="1953"/>
      <c r="F608" s="1953"/>
      <c r="G608" s="1953"/>
      <c r="H608" s="1953"/>
      <c r="I608"/>
      <c r="J608"/>
      <c r="K608"/>
      <c r="L608"/>
    </row>
    <row r="609" spans="2:12" x14ac:dyDescent="0.35">
      <c r="B609" s="1953"/>
      <c r="C609" s="1953"/>
      <c r="D609" s="1953"/>
      <c r="E609" s="1953"/>
      <c r="F609" s="1953"/>
      <c r="G609" s="1953"/>
      <c r="H609" s="1953"/>
      <c r="I609"/>
      <c r="J609"/>
      <c r="K609"/>
      <c r="L609"/>
    </row>
    <row r="610" spans="2:12" x14ac:dyDescent="0.35">
      <c r="B610" s="1953"/>
      <c r="C610" s="1953"/>
      <c r="D610" s="1953"/>
      <c r="E610" s="1953"/>
      <c r="F610" s="1953"/>
      <c r="G610" s="1953"/>
      <c r="H610" s="1953"/>
      <c r="I610"/>
      <c r="J610"/>
      <c r="K610"/>
      <c r="L610"/>
    </row>
    <row r="611" spans="2:12" x14ac:dyDescent="0.35">
      <c r="B611" s="1953"/>
      <c r="C611" s="1953"/>
      <c r="D611" s="1953"/>
      <c r="E611" s="1953"/>
      <c r="F611" s="1953"/>
      <c r="G611" s="1953"/>
      <c r="H611" s="1953"/>
      <c r="I611"/>
      <c r="J611"/>
      <c r="K611"/>
      <c r="L611"/>
    </row>
    <row r="612" spans="2:12" x14ac:dyDescent="0.35">
      <c r="B612" s="1953"/>
      <c r="C612" s="1953"/>
      <c r="D612" s="1953"/>
      <c r="E612" s="1953"/>
      <c r="F612" s="1953"/>
      <c r="G612" s="1953"/>
      <c r="H612" s="1953"/>
      <c r="I612"/>
      <c r="J612"/>
      <c r="K612"/>
      <c r="L612"/>
    </row>
    <row r="613" spans="2:12" x14ac:dyDescent="0.35">
      <c r="B613" s="1953"/>
      <c r="C613" s="1953"/>
      <c r="D613" s="1953"/>
      <c r="E613" s="1953"/>
      <c r="F613" s="1953"/>
      <c r="G613" s="1953"/>
      <c r="H613" s="1953"/>
      <c r="I613"/>
      <c r="J613"/>
      <c r="K613"/>
      <c r="L613"/>
    </row>
    <row r="614" spans="2:12" x14ac:dyDescent="0.35">
      <c r="B614" s="1953"/>
      <c r="C614" s="1953"/>
      <c r="D614" s="1953"/>
      <c r="E614" s="1953"/>
      <c r="F614" s="1953"/>
      <c r="G614" s="1953"/>
      <c r="H614" s="1953"/>
      <c r="I614"/>
      <c r="J614"/>
      <c r="K614"/>
      <c r="L614"/>
    </row>
    <row r="615" spans="2:12" x14ac:dyDescent="0.35">
      <c r="B615" s="1953"/>
      <c r="C615" s="1953"/>
      <c r="D615" s="1953"/>
      <c r="E615" s="1953"/>
      <c r="F615" s="1953"/>
      <c r="G615" s="1953"/>
      <c r="H615" s="1953"/>
      <c r="I615"/>
      <c r="J615"/>
      <c r="K615"/>
      <c r="L615"/>
    </row>
    <row r="616" spans="2:12" x14ac:dyDescent="0.35">
      <c r="B616" s="1953"/>
      <c r="C616" s="1953"/>
      <c r="D616" s="1953"/>
      <c r="E616" s="1953"/>
      <c r="F616" s="1953"/>
      <c r="G616" s="1953"/>
      <c r="H616" s="1953"/>
      <c r="I616"/>
      <c r="J616"/>
      <c r="K616"/>
      <c r="L616"/>
    </row>
    <row r="617" spans="2:12" x14ac:dyDescent="0.35">
      <c r="B617" s="1953"/>
      <c r="C617" s="1953"/>
      <c r="D617" s="1953"/>
      <c r="E617" s="1953"/>
      <c r="F617" s="1953"/>
      <c r="G617" s="1953"/>
      <c r="H617" s="1953"/>
      <c r="I617"/>
      <c r="J617"/>
      <c r="K617"/>
      <c r="L617"/>
    </row>
    <row r="618" spans="2:12" x14ac:dyDescent="0.35">
      <c r="B618" s="1953"/>
      <c r="C618" s="1953"/>
      <c r="D618" s="1953"/>
      <c r="E618" s="1953"/>
      <c r="F618" s="1953"/>
      <c r="G618" s="1953"/>
      <c r="H618" s="1953"/>
      <c r="I618"/>
      <c r="J618"/>
      <c r="K618"/>
      <c r="L618"/>
    </row>
    <row r="619" spans="2:12" x14ac:dyDescent="0.35">
      <c r="B619" s="1953"/>
      <c r="C619" s="1953"/>
      <c r="D619" s="1953"/>
      <c r="E619" s="1953"/>
      <c r="F619" s="1953"/>
      <c r="G619" s="1953"/>
      <c r="H619" s="1953"/>
      <c r="I619"/>
      <c r="J619"/>
      <c r="K619"/>
      <c r="L619"/>
    </row>
    <row r="620" spans="2:12" x14ac:dyDescent="0.35">
      <c r="B620" s="1953"/>
      <c r="C620" s="1953"/>
      <c r="D620" s="1953"/>
      <c r="E620" s="1953"/>
      <c r="F620" s="1953"/>
      <c r="G620" s="1953"/>
      <c r="H620" s="1953"/>
      <c r="I620"/>
      <c r="J620"/>
      <c r="K620"/>
      <c r="L620"/>
    </row>
    <row r="621" spans="2:12" x14ac:dyDescent="0.35">
      <c r="B621" s="1953"/>
      <c r="C621" s="1953"/>
      <c r="D621" s="1953"/>
      <c r="E621" s="1953"/>
      <c r="F621" s="1953"/>
      <c r="G621" s="1953"/>
      <c r="H621" s="1953"/>
      <c r="I621"/>
      <c r="J621"/>
      <c r="K621"/>
      <c r="L621"/>
    </row>
    <row r="622" spans="2:12" x14ac:dyDescent="0.35">
      <c r="B622" s="1953"/>
      <c r="C622" s="1953"/>
      <c r="D622" s="1953"/>
      <c r="E622" s="1953"/>
      <c r="F622" s="1953"/>
      <c r="G622" s="1953"/>
      <c r="H622" s="1953"/>
      <c r="I622"/>
      <c r="J622"/>
      <c r="K622"/>
      <c r="L622"/>
    </row>
    <row r="623" spans="2:12" x14ac:dyDescent="0.35">
      <c r="B623" s="1953"/>
      <c r="C623" s="1953"/>
      <c r="D623" s="1953"/>
      <c r="E623" s="1953"/>
      <c r="F623" s="1953"/>
      <c r="G623" s="1953"/>
      <c r="H623" s="1953"/>
      <c r="I623"/>
      <c r="J623"/>
      <c r="K623"/>
      <c r="L623"/>
    </row>
    <row r="624" spans="2:12" x14ac:dyDescent="0.35">
      <c r="B624" s="1953"/>
      <c r="C624" s="1953"/>
      <c r="D624" s="1953"/>
      <c r="E624" s="1953"/>
      <c r="F624" s="1953"/>
      <c r="G624" s="1953"/>
      <c r="H624" s="1953"/>
      <c r="I624"/>
      <c r="J624"/>
      <c r="K624"/>
      <c r="L624"/>
    </row>
    <row r="625" spans="2:12" x14ac:dyDescent="0.35">
      <c r="B625" s="1953"/>
      <c r="C625" s="1953"/>
      <c r="D625" s="1953"/>
      <c r="E625" s="1953"/>
      <c r="F625" s="1953"/>
      <c r="G625" s="1953"/>
      <c r="H625" s="1953"/>
      <c r="I625"/>
      <c r="J625"/>
      <c r="K625"/>
      <c r="L625"/>
    </row>
    <row r="626" spans="2:12" x14ac:dyDescent="0.35">
      <c r="B626" s="1953"/>
      <c r="C626" s="1953"/>
      <c r="D626" s="1953"/>
      <c r="E626" s="1953"/>
      <c r="F626" s="1953"/>
      <c r="G626" s="1953"/>
      <c r="H626" s="1953"/>
      <c r="I626"/>
      <c r="J626"/>
      <c r="K626"/>
      <c r="L626"/>
    </row>
    <row r="627" spans="2:12" x14ac:dyDescent="0.35">
      <c r="B627" s="1953"/>
      <c r="C627" s="1953"/>
      <c r="D627" s="1953"/>
      <c r="E627" s="1953"/>
      <c r="F627" s="1953"/>
      <c r="G627" s="1953"/>
      <c r="H627" s="1953"/>
      <c r="I627"/>
      <c r="J627"/>
      <c r="K627"/>
      <c r="L627"/>
    </row>
    <row r="628" spans="2:12" x14ac:dyDescent="0.35">
      <c r="B628" s="1953"/>
      <c r="C628" s="1953"/>
      <c r="D628" s="1953"/>
      <c r="E628" s="1953"/>
      <c r="F628" s="1953"/>
      <c r="G628" s="1953"/>
      <c r="H628" s="1953"/>
      <c r="I628"/>
      <c r="J628"/>
      <c r="K628"/>
      <c r="L628"/>
    </row>
    <row r="629" spans="2:12" x14ac:dyDescent="0.35">
      <c r="B629" s="1953"/>
      <c r="C629" s="1953"/>
      <c r="D629" s="1953"/>
      <c r="E629" s="1953"/>
      <c r="F629" s="1953"/>
      <c r="G629" s="1953"/>
      <c r="H629" s="1953"/>
      <c r="I629"/>
      <c r="J629"/>
      <c r="K629"/>
      <c r="L629"/>
    </row>
    <row r="630" spans="2:12" x14ac:dyDescent="0.35">
      <c r="B630" s="1953"/>
      <c r="C630" s="1953"/>
      <c r="D630" s="1953"/>
      <c r="E630" s="1953"/>
      <c r="F630" s="1953"/>
      <c r="G630" s="1953"/>
      <c r="H630" s="1953"/>
      <c r="I630"/>
      <c r="J630"/>
      <c r="K630"/>
      <c r="L630"/>
    </row>
    <row r="631" spans="2:12" x14ac:dyDescent="0.35">
      <c r="B631" s="1953"/>
      <c r="C631" s="1953"/>
      <c r="D631" s="1953"/>
      <c r="E631" s="1953"/>
      <c r="F631" s="1953"/>
      <c r="G631" s="1953"/>
      <c r="H631" s="1953"/>
      <c r="I631"/>
      <c r="J631"/>
      <c r="K631"/>
      <c r="L631"/>
    </row>
    <row r="632" spans="2:12" x14ac:dyDescent="0.35">
      <c r="B632" s="1953"/>
      <c r="C632" s="1953"/>
      <c r="D632" s="1953"/>
      <c r="E632" s="1953"/>
      <c r="F632" s="1953"/>
      <c r="G632" s="1953"/>
      <c r="H632" s="1953"/>
      <c r="I632"/>
      <c r="J632"/>
      <c r="K632"/>
      <c r="L632"/>
    </row>
    <row r="633" spans="2:12" x14ac:dyDescent="0.35">
      <c r="B633" s="1953"/>
      <c r="C633" s="1953"/>
      <c r="D633" s="1953"/>
      <c r="E633" s="1953"/>
      <c r="F633" s="1953"/>
      <c r="G633" s="1953"/>
      <c r="H633" s="1953"/>
      <c r="I633"/>
      <c r="J633"/>
      <c r="K633"/>
      <c r="L633"/>
    </row>
    <row r="634" spans="2:12" x14ac:dyDescent="0.35">
      <c r="B634" s="1953"/>
      <c r="C634" s="1953"/>
      <c r="D634" s="1953"/>
      <c r="E634" s="1953"/>
      <c r="F634" s="1953"/>
      <c r="G634" s="1953"/>
      <c r="H634" s="1953"/>
      <c r="I634"/>
      <c r="J634"/>
      <c r="K634"/>
      <c r="L634"/>
    </row>
    <row r="635" spans="2:12" x14ac:dyDescent="0.35">
      <c r="B635" s="1953"/>
      <c r="C635" s="1953"/>
      <c r="D635" s="1953"/>
      <c r="E635" s="1953"/>
      <c r="F635" s="1953"/>
      <c r="G635" s="1953"/>
      <c r="H635" s="1953"/>
      <c r="I635"/>
      <c r="J635"/>
      <c r="K635"/>
      <c r="L635"/>
    </row>
    <row r="636" spans="2:12" x14ac:dyDescent="0.35">
      <c r="B636" s="1953"/>
      <c r="C636" s="1953"/>
      <c r="D636" s="1953"/>
      <c r="E636" s="1953"/>
      <c r="F636" s="1953"/>
      <c r="G636" s="1953"/>
      <c r="H636" s="1953"/>
      <c r="I636"/>
      <c r="J636"/>
      <c r="K636"/>
      <c r="L636"/>
    </row>
    <row r="637" spans="2:12" x14ac:dyDescent="0.35">
      <c r="B637" s="1953"/>
      <c r="C637" s="1953"/>
      <c r="D637" s="1953"/>
      <c r="E637" s="1953"/>
      <c r="F637" s="1953"/>
      <c r="G637" s="1953"/>
      <c r="H637" s="1953"/>
      <c r="I637"/>
      <c r="J637"/>
      <c r="K637"/>
      <c r="L637"/>
    </row>
    <row r="638" spans="2:12" x14ac:dyDescent="0.35">
      <c r="B638" s="1953"/>
      <c r="C638" s="1953"/>
      <c r="D638" s="1953"/>
      <c r="E638" s="1953"/>
      <c r="F638" s="1953"/>
      <c r="G638" s="1953"/>
      <c r="H638" s="1953"/>
      <c r="I638"/>
      <c r="J638"/>
      <c r="K638"/>
      <c r="L638"/>
    </row>
    <row r="639" spans="2:12" x14ac:dyDescent="0.35">
      <c r="B639" s="1953"/>
      <c r="C639" s="1953"/>
      <c r="D639" s="1953"/>
      <c r="E639" s="1953"/>
      <c r="F639" s="1953"/>
      <c r="G639" s="1953"/>
      <c r="H639" s="1953"/>
      <c r="I639"/>
      <c r="J639"/>
      <c r="K639"/>
      <c r="L639"/>
    </row>
    <row r="640" spans="2:12" x14ac:dyDescent="0.35">
      <c r="B640" s="1953"/>
      <c r="C640" s="1953"/>
      <c r="D640" s="1953"/>
      <c r="E640" s="1953"/>
      <c r="F640" s="1953"/>
      <c r="G640" s="1953"/>
      <c r="H640" s="1953"/>
      <c r="I640"/>
      <c r="J640"/>
      <c r="K640"/>
      <c r="L640"/>
    </row>
    <row r="641" spans="2:12" x14ac:dyDescent="0.35">
      <c r="B641" s="1953"/>
      <c r="C641" s="1953"/>
      <c r="D641" s="1953"/>
      <c r="E641" s="1953"/>
      <c r="F641" s="1953"/>
      <c r="G641" s="1953"/>
      <c r="H641" s="1953"/>
      <c r="I641"/>
      <c r="J641"/>
      <c r="K641"/>
      <c r="L641"/>
    </row>
    <row r="642" spans="2:12" x14ac:dyDescent="0.35">
      <c r="B642" s="1953"/>
      <c r="C642" s="1953"/>
      <c r="D642" s="1953"/>
      <c r="E642" s="1953"/>
      <c r="F642" s="1953"/>
      <c r="G642" s="1953"/>
      <c r="H642" s="1953"/>
      <c r="I642"/>
      <c r="J642"/>
      <c r="K642"/>
      <c r="L642"/>
    </row>
    <row r="643" spans="2:12" x14ac:dyDescent="0.35">
      <c r="B643" s="1953"/>
      <c r="C643" s="1953"/>
      <c r="D643" s="1953"/>
      <c r="E643" s="1953"/>
      <c r="F643" s="1953"/>
      <c r="G643" s="1953"/>
      <c r="H643" s="1953"/>
      <c r="I643"/>
      <c r="J643"/>
      <c r="K643"/>
      <c r="L643"/>
    </row>
    <row r="644" spans="2:12" x14ac:dyDescent="0.35">
      <c r="B644" s="1953"/>
      <c r="C644" s="1953"/>
      <c r="D644" s="1953"/>
      <c r="E644" s="1953"/>
      <c r="F644" s="1953"/>
      <c r="G644" s="1953"/>
      <c r="H644" s="1953"/>
      <c r="I644"/>
      <c r="J644"/>
      <c r="K644"/>
      <c r="L644"/>
    </row>
    <row r="645" spans="2:12" x14ac:dyDescent="0.35">
      <c r="B645" s="1953"/>
      <c r="C645" s="1953"/>
      <c r="D645" s="1953"/>
      <c r="E645" s="1953"/>
      <c r="F645" s="1953"/>
      <c r="G645" s="1953"/>
      <c r="H645" s="1953"/>
      <c r="I645"/>
      <c r="J645"/>
      <c r="K645"/>
      <c r="L645"/>
    </row>
    <row r="646" spans="2:12" x14ac:dyDescent="0.35">
      <c r="B646" s="1953"/>
      <c r="C646" s="1953"/>
      <c r="D646" s="1953"/>
      <c r="E646" s="1953"/>
      <c r="F646" s="1953"/>
      <c r="G646" s="1953"/>
      <c r="H646" s="1953"/>
      <c r="I646"/>
      <c r="J646"/>
      <c r="K646"/>
      <c r="L646"/>
    </row>
    <row r="647" spans="2:12" x14ac:dyDescent="0.35">
      <c r="B647" s="1953"/>
      <c r="C647" s="1953"/>
      <c r="D647" s="1953"/>
      <c r="E647" s="1953"/>
      <c r="F647" s="1953"/>
      <c r="G647" s="1953"/>
      <c r="H647" s="1953"/>
      <c r="I647"/>
      <c r="J647"/>
      <c r="K647"/>
      <c r="L647"/>
    </row>
    <row r="648" spans="2:12" x14ac:dyDescent="0.35">
      <c r="B648" s="1953"/>
      <c r="C648" s="1953"/>
      <c r="D648" s="1953"/>
      <c r="E648" s="1953"/>
      <c r="F648" s="1953"/>
      <c r="G648" s="1953"/>
      <c r="H648" s="1953"/>
      <c r="I648"/>
      <c r="J648"/>
      <c r="K648"/>
      <c r="L648"/>
    </row>
    <row r="649" spans="2:12" x14ac:dyDescent="0.35">
      <c r="B649" s="1953"/>
      <c r="C649" s="1953"/>
      <c r="D649" s="1953"/>
      <c r="E649" s="1953"/>
      <c r="F649" s="1953"/>
      <c r="G649" s="1953"/>
      <c r="H649" s="1953"/>
      <c r="I649"/>
      <c r="J649"/>
      <c r="K649"/>
      <c r="L649"/>
    </row>
    <row r="650" spans="2:12" x14ac:dyDescent="0.35">
      <c r="B650" s="1953"/>
      <c r="C650" s="1953"/>
      <c r="D650" s="1953"/>
      <c r="E650" s="1953"/>
      <c r="F650" s="1953"/>
      <c r="G650" s="1953"/>
      <c r="H650" s="1953"/>
      <c r="I650"/>
      <c r="J650"/>
      <c r="K650"/>
      <c r="L650"/>
    </row>
    <row r="651" spans="2:12" x14ac:dyDescent="0.35">
      <c r="B651" s="1953"/>
      <c r="C651" s="1953"/>
      <c r="D651" s="1953"/>
      <c r="E651" s="1953"/>
      <c r="F651" s="1953"/>
      <c r="G651" s="1953"/>
      <c r="H651" s="1953"/>
      <c r="I651"/>
      <c r="J651"/>
      <c r="K651"/>
      <c r="L651"/>
    </row>
    <row r="652" spans="2:12" x14ac:dyDescent="0.35">
      <c r="B652" s="1953"/>
      <c r="C652" s="1953"/>
      <c r="D652" s="1953"/>
      <c r="E652" s="1953"/>
      <c r="F652" s="1953"/>
      <c r="G652" s="1953"/>
      <c r="H652" s="1953"/>
      <c r="I652"/>
      <c r="J652"/>
      <c r="K652"/>
      <c r="L652"/>
    </row>
    <row r="653" spans="2:12" x14ac:dyDescent="0.35">
      <c r="B653" s="1953"/>
      <c r="C653" s="1953"/>
      <c r="D653" s="1953"/>
      <c r="E653" s="1953"/>
      <c r="F653" s="1953"/>
      <c r="G653" s="1953"/>
      <c r="H653" s="1953"/>
      <c r="I653"/>
      <c r="J653"/>
      <c r="K653"/>
      <c r="L653"/>
    </row>
    <row r="654" spans="2:12" x14ac:dyDescent="0.35">
      <c r="B654" s="1953"/>
      <c r="C654" s="1953"/>
      <c r="D654" s="1953"/>
      <c r="E654" s="1953"/>
      <c r="F654" s="1953"/>
      <c r="G654" s="1953"/>
      <c r="H654" s="1953"/>
      <c r="I654"/>
      <c r="J654"/>
      <c r="K654"/>
      <c r="L654"/>
    </row>
    <row r="655" spans="2:12" x14ac:dyDescent="0.35">
      <c r="B655" s="1953"/>
      <c r="C655" s="1953"/>
      <c r="D655" s="1953"/>
      <c r="E655" s="1953"/>
      <c r="F655" s="1953"/>
      <c r="G655" s="1953"/>
      <c r="H655" s="1953"/>
      <c r="I655"/>
      <c r="J655"/>
      <c r="K655"/>
      <c r="L655"/>
    </row>
    <row r="656" spans="2:12" x14ac:dyDescent="0.35">
      <c r="B656" s="1953"/>
      <c r="C656" s="1953"/>
      <c r="D656" s="1953"/>
      <c r="E656" s="1953"/>
      <c r="F656" s="1953"/>
      <c r="G656" s="1953"/>
      <c r="H656" s="1953"/>
      <c r="I656"/>
      <c r="J656"/>
      <c r="K656"/>
      <c r="L656"/>
    </row>
    <row r="657" spans="2:12" x14ac:dyDescent="0.35">
      <c r="B657" s="1953"/>
      <c r="C657" s="1953"/>
      <c r="D657" s="1953"/>
      <c r="E657" s="1953"/>
      <c r="F657" s="1953"/>
      <c r="G657" s="1953"/>
      <c r="H657" s="1953"/>
      <c r="I657"/>
      <c r="J657"/>
      <c r="K657"/>
      <c r="L657"/>
    </row>
    <row r="658" spans="2:12" x14ac:dyDescent="0.35">
      <c r="B658" s="1953"/>
      <c r="C658" s="1953"/>
      <c r="D658" s="1953"/>
      <c r="E658" s="1953"/>
      <c r="F658" s="1953"/>
      <c r="G658" s="1953"/>
      <c r="H658" s="1953"/>
      <c r="I658"/>
      <c r="J658"/>
      <c r="K658"/>
      <c r="L658"/>
    </row>
    <row r="659" spans="2:12" x14ac:dyDescent="0.35">
      <c r="B659" s="1953"/>
      <c r="C659" s="1953"/>
      <c r="D659" s="1953"/>
      <c r="E659" s="1953"/>
      <c r="F659" s="1953"/>
      <c r="G659" s="1953"/>
      <c r="H659" s="1953"/>
      <c r="I659"/>
      <c r="J659"/>
      <c r="K659"/>
      <c r="L659"/>
    </row>
    <row r="660" spans="2:12" x14ac:dyDescent="0.35">
      <c r="B660" s="1953"/>
      <c r="C660" s="1953"/>
      <c r="D660" s="1953"/>
      <c r="E660" s="1953"/>
      <c r="F660" s="1953"/>
      <c r="G660" s="1953"/>
      <c r="H660" s="1953"/>
      <c r="I660"/>
      <c r="J660"/>
      <c r="K660"/>
      <c r="L660"/>
    </row>
    <row r="661" spans="2:12" x14ac:dyDescent="0.35">
      <c r="B661" s="1953"/>
      <c r="C661" s="1953"/>
      <c r="D661" s="1953"/>
      <c r="E661" s="1953"/>
      <c r="F661" s="1953"/>
      <c r="G661" s="1953"/>
      <c r="H661" s="1953"/>
      <c r="I661"/>
      <c r="J661"/>
      <c r="K661"/>
      <c r="L661"/>
    </row>
    <row r="662" spans="2:12" x14ac:dyDescent="0.35">
      <c r="B662" s="1953"/>
      <c r="C662" s="1953"/>
      <c r="D662" s="1953"/>
      <c r="E662" s="1953"/>
      <c r="F662" s="1953"/>
      <c r="G662" s="1953"/>
      <c r="H662" s="1953"/>
      <c r="I662"/>
      <c r="J662"/>
      <c r="K662"/>
      <c r="L662"/>
    </row>
    <row r="663" spans="2:12" x14ac:dyDescent="0.35">
      <c r="B663" s="1953"/>
      <c r="C663" s="1953"/>
      <c r="D663" s="1953"/>
      <c r="E663" s="1953"/>
      <c r="F663" s="1953"/>
      <c r="G663" s="1953"/>
      <c r="H663" s="1953"/>
      <c r="I663"/>
      <c r="J663"/>
      <c r="K663"/>
      <c r="L663"/>
    </row>
    <row r="664" spans="2:12" x14ac:dyDescent="0.35">
      <c r="B664" s="1953"/>
      <c r="C664" s="1953"/>
      <c r="D664" s="1953"/>
      <c r="E664" s="1953"/>
      <c r="F664" s="1953"/>
      <c r="G664" s="1953"/>
      <c r="H664" s="1953"/>
      <c r="I664"/>
      <c r="J664"/>
      <c r="K664"/>
      <c r="L664"/>
    </row>
    <row r="665" spans="2:12" x14ac:dyDescent="0.35">
      <c r="B665" s="1953"/>
      <c r="C665" s="1953"/>
      <c r="D665" s="1953"/>
      <c r="E665" s="1953"/>
      <c r="F665" s="1953"/>
      <c r="G665" s="1953"/>
      <c r="H665" s="1953"/>
      <c r="I665"/>
      <c r="J665"/>
      <c r="K665"/>
      <c r="L665"/>
    </row>
    <row r="666" spans="2:12" x14ac:dyDescent="0.35">
      <c r="B666" s="1953"/>
      <c r="C666" s="1953"/>
      <c r="D666" s="1953"/>
      <c r="E666" s="1953"/>
      <c r="F666" s="1953"/>
      <c r="G666" s="1953"/>
      <c r="H666" s="1953"/>
      <c r="I666"/>
      <c r="J666"/>
      <c r="K666"/>
      <c r="L666"/>
    </row>
    <row r="667" spans="2:12" x14ac:dyDescent="0.35">
      <c r="B667" s="1953"/>
      <c r="C667" s="1953"/>
      <c r="D667" s="1953"/>
      <c r="E667" s="1953"/>
      <c r="F667" s="1953"/>
      <c r="G667" s="1953"/>
      <c r="H667" s="1953"/>
      <c r="I667"/>
      <c r="J667"/>
      <c r="K667"/>
      <c r="L667"/>
    </row>
    <row r="668" spans="2:12" x14ac:dyDescent="0.35">
      <c r="B668" s="1953"/>
      <c r="C668" s="1953"/>
      <c r="D668" s="1953"/>
      <c r="E668" s="1953"/>
      <c r="F668" s="1953"/>
      <c r="G668" s="1953"/>
      <c r="H668" s="1953"/>
      <c r="I668"/>
      <c r="J668"/>
      <c r="K668"/>
      <c r="L668"/>
    </row>
    <row r="669" spans="2:12" x14ac:dyDescent="0.35">
      <c r="B669" s="1953"/>
      <c r="C669" s="1953"/>
      <c r="D669" s="1953"/>
      <c r="E669" s="1953"/>
      <c r="F669" s="1953"/>
      <c r="G669" s="1953"/>
      <c r="H669" s="1953"/>
      <c r="I669"/>
      <c r="J669"/>
      <c r="K669"/>
      <c r="L669"/>
    </row>
    <row r="670" spans="2:12" x14ac:dyDescent="0.35">
      <c r="B670" s="1953"/>
      <c r="C670" s="1953"/>
      <c r="D670" s="1953"/>
      <c r="E670" s="1953"/>
      <c r="F670" s="1953"/>
      <c r="G670" s="1953"/>
      <c r="H670" s="1953"/>
      <c r="I670"/>
      <c r="J670"/>
      <c r="K670"/>
      <c r="L670"/>
    </row>
    <row r="671" spans="2:12" x14ac:dyDescent="0.35">
      <c r="B671" s="1953"/>
      <c r="C671" s="1953"/>
      <c r="D671" s="1953"/>
      <c r="E671" s="1953"/>
      <c r="F671" s="1953"/>
      <c r="G671" s="1953"/>
      <c r="H671" s="1953"/>
      <c r="I671"/>
      <c r="J671"/>
      <c r="K671"/>
      <c r="L671"/>
    </row>
    <row r="672" spans="2:12" x14ac:dyDescent="0.35">
      <c r="B672" s="1953"/>
      <c r="C672" s="1953"/>
      <c r="D672" s="1953"/>
      <c r="E672" s="1953"/>
      <c r="F672" s="1953"/>
      <c r="G672" s="1953"/>
      <c r="H672" s="1953"/>
      <c r="I672"/>
      <c r="J672"/>
      <c r="K672"/>
      <c r="L672"/>
    </row>
    <row r="673" spans="2:12" x14ac:dyDescent="0.35">
      <c r="B673" s="1953"/>
      <c r="C673" s="1953"/>
      <c r="D673" s="1953"/>
      <c r="E673" s="1953"/>
      <c r="F673" s="1953"/>
      <c r="G673" s="1953"/>
      <c r="H673" s="1953"/>
      <c r="I673"/>
      <c r="J673"/>
      <c r="K673"/>
      <c r="L673"/>
    </row>
    <row r="674" spans="2:12" x14ac:dyDescent="0.35">
      <c r="B674" s="1953"/>
      <c r="C674" s="1953"/>
      <c r="D674" s="1953"/>
      <c r="E674" s="1953"/>
      <c r="F674" s="1953"/>
      <c r="G674" s="1953"/>
      <c r="H674" s="1953"/>
      <c r="I674"/>
      <c r="J674"/>
      <c r="K674"/>
      <c r="L674"/>
    </row>
    <row r="675" spans="2:12" x14ac:dyDescent="0.35">
      <c r="B675" s="1953"/>
      <c r="C675" s="1953"/>
      <c r="D675" s="1953"/>
      <c r="E675" s="1953"/>
      <c r="F675" s="1953"/>
      <c r="G675" s="1953"/>
      <c r="H675" s="1953"/>
      <c r="I675"/>
      <c r="J675"/>
      <c r="K675"/>
      <c r="L675"/>
    </row>
    <row r="676" spans="2:12" x14ac:dyDescent="0.35">
      <c r="B676" s="1953"/>
      <c r="C676" s="1953"/>
      <c r="D676" s="1953"/>
      <c r="E676" s="1953"/>
      <c r="F676" s="1953"/>
      <c r="G676" s="1953"/>
      <c r="H676" s="1953"/>
      <c r="I676"/>
      <c r="J676"/>
      <c r="K676"/>
      <c r="L676"/>
    </row>
    <row r="677" spans="2:12" x14ac:dyDescent="0.35">
      <c r="B677" s="1953"/>
      <c r="C677" s="1953"/>
      <c r="D677" s="1953"/>
      <c r="E677" s="1953"/>
      <c r="F677" s="1953"/>
      <c r="G677" s="1953"/>
      <c r="H677" s="1953"/>
      <c r="I677"/>
      <c r="J677"/>
      <c r="K677"/>
      <c r="L677"/>
    </row>
    <row r="678" spans="2:12" x14ac:dyDescent="0.35">
      <c r="B678" s="1953"/>
      <c r="C678" s="1953"/>
      <c r="D678" s="1953"/>
      <c r="E678" s="1953"/>
      <c r="F678" s="1953"/>
      <c r="G678" s="1953"/>
      <c r="H678" s="1953"/>
      <c r="I678"/>
      <c r="J678"/>
      <c r="K678"/>
      <c r="L678"/>
    </row>
    <row r="679" spans="2:12" x14ac:dyDescent="0.35">
      <c r="B679" s="1953"/>
      <c r="C679" s="1953"/>
      <c r="D679" s="1953"/>
      <c r="E679" s="1953"/>
      <c r="F679" s="1953"/>
      <c r="G679" s="1953"/>
      <c r="H679" s="1953"/>
      <c r="I679"/>
      <c r="J679"/>
      <c r="K679"/>
      <c r="L679"/>
    </row>
    <row r="680" spans="2:12" x14ac:dyDescent="0.35">
      <c r="B680" s="1953"/>
      <c r="C680" s="1953"/>
      <c r="D680" s="1953"/>
      <c r="E680" s="1953"/>
      <c r="F680" s="1953"/>
      <c r="G680" s="1953"/>
      <c r="H680" s="1953"/>
      <c r="I680"/>
      <c r="J680"/>
      <c r="K680"/>
      <c r="L680"/>
    </row>
    <row r="681" spans="2:12" x14ac:dyDescent="0.35">
      <c r="B681" s="1953"/>
      <c r="C681" s="1953"/>
      <c r="D681" s="1953"/>
      <c r="E681" s="1953"/>
      <c r="F681" s="1953"/>
      <c r="G681" s="1953"/>
      <c r="H681" s="1953"/>
      <c r="I681"/>
      <c r="J681"/>
      <c r="K681"/>
      <c r="L681"/>
    </row>
    <row r="682" spans="2:12" x14ac:dyDescent="0.35">
      <c r="B682" s="1953"/>
      <c r="C682" s="1953"/>
      <c r="D682" s="1953"/>
      <c r="E682" s="1953"/>
      <c r="F682" s="1953"/>
      <c r="G682" s="1953"/>
      <c r="H682" s="1953"/>
      <c r="I682"/>
      <c r="J682"/>
      <c r="K682"/>
      <c r="L682"/>
    </row>
    <row r="683" spans="2:12" x14ac:dyDescent="0.35">
      <c r="B683" s="1953"/>
      <c r="C683" s="1953"/>
      <c r="D683" s="1953"/>
      <c r="E683" s="1953"/>
      <c r="F683" s="1953"/>
      <c r="G683" s="1953"/>
      <c r="H683" s="1953"/>
      <c r="I683"/>
      <c r="J683"/>
      <c r="K683"/>
      <c r="L683"/>
    </row>
    <row r="684" spans="2:12" x14ac:dyDescent="0.35">
      <c r="B684" s="1953"/>
      <c r="C684" s="1953"/>
      <c r="D684" s="1953"/>
      <c r="E684" s="1953"/>
      <c r="F684" s="1953"/>
      <c r="G684" s="1953"/>
      <c r="H684" s="1953"/>
      <c r="I684"/>
      <c r="J684"/>
      <c r="K684"/>
      <c r="L684"/>
    </row>
    <row r="685" spans="2:12" x14ac:dyDescent="0.35">
      <c r="B685" s="1953"/>
      <c r="C685" s="1953"/>
      <c r="D685" s="1953"/>
      <c r="E685" s="1953"/>
      <c r="F685" s="1953"/>
      <c r="G685" s="1953"/>
      <c r="H685" s="1953"/>
      <c r="I685"/>
      <c r="J685"/>
      <c r="K685"/>
      <c r="L685"/>
    </row>
    <row r="686" spans="2:12" x14ac:dyDescent="0.35">
      <c r="B686" s="1953"/>
      <c r="C686" s="1953"/>
      <c r="D686" s="1953"/>
      <c r="E686" s="1953"/>
      <c r="F686" s="1953"/>
      <c r="G686" s="1953"/>
      <c r="H686" s="1953"/>
      <c r="I686"/>
      <c r="J686"/>
      <c r="K686"/>
      <c r="L686"/>
    </row>
    <row r="687" spans="2:12" x14ac:dyDescent="0.35">
      <c r="B687" s="1953"/>
      <c r="C687" s="1953"/>
      <c r="D687" s="1953"/>
      <c r="E687" s="1953"/>
      <c r="F687" s="1953"/>
      <c r="G687" s="1953"/>
      <c r="H687" s="1953"/>
      <c r="I687"/>
      <c r="J687"/>
      <c r="K687"/>
      <c r="L687"/>
    </row>
    <row r="688" spans="2:12" x14ac:dyDescent="0.35">
      <c r="B688" s="1953"/>
      <c r="C688" s="1953"/>
      <c r="D688" s="1953"/>
      <c r="E688" s="1953"/>
      <c r="F688" s="1953"/>
      <c r="G688" s="1953"/>
      <c r="H688" s="1953"/>
      <c r="I688"/>
      <c r="J688"/>
      <c r="K688"/>
      <c r="L688"/>
    </row>
    <row r="689" spans="2:12" x14ac:dyDescent="0.35">
      <c r="B689" s="1953"/>
      <c r="C689" s="1953"/>
      <c r="D689" s="1953"/>
      <c r="E689" s="1953"/>
      <c r="F689" s="1953"/>
      <c r="G689" s="1953"/>
      <c r="H689" s="1953"/>
      <c r="I689"/>
      <c r="J689"/>
      <c r="K689"/>
      <c r="L689"/>
    </row>
    <row r="690" spans="2:12" x14ac:dyDescent="0.35">
      <c r="B690" s="1953"/>
      <c r="C690" s="1953"/>
      <c r="D690" s="1953"/>
      <c r="E690" s="1953"/>
      <c r="F690" s="1953"/>
      <c r="G690" s="1953"/>
      <c r="H690" s="1953"/>
      <c r="I690"/>
      <c r="J690"/>
      <c r="K690"/>
      <c r="L690"/>
    </row>
    <row r="691" spans="2:12" x14ac:dyDescent="0.35">
      <c r="B691" s="1953"/>
      <c r="C691" s="1953"/>
      <c r="D691" s="1953"/>
      <c r="E691" s="1953"/>
      <c r="F691" s="1953"/>
      <c r="G691" s="1953"/>
      <c r="H691" s="1953"/>
      <c r="I691"/>
      <c r="J691"/>
      <c r="K691"/>
      <c r="L691"/>
    </row>
    <row r="692" spans="2:12" x14ac:dyDescent="0.35">
      <c r="B692" s="1953"/>
      <c r="C692" s="1953"/>
      <c r="D692" s="1953"/>
      <c r="E692" s="1953"/>
      <c r="F692" s="1953"/>
      <c r="G692" s="1953"/>
      <c r="H692" s="1953"/>
      <c r="I692"/>
      <c r="J692"/>
      <c r="K692"/>
      <c r="L692"/>
    </row>
    <row r="693" spans="2:12" x14ac:dyDescent="0.35">
      <c r="B693" s="1953"/>
      <c r="C693" s="1953"/>
      <c r="D693" s="1953"/>
      <c r="E693" s="1953"/>
      <c r="F693" s="1953"/>
      <c r="G693" s="1953"/>
      <c r="H693" s="1953"/>
      <c r="I693"/>
      <c r="J693"/>
      <c r="K693"/>
      <c r="L693"/>
    </row>
    <row r="694" spans="2:12" x14ac:dyDescent="0.35">
      <c r="B694" s="1953"/>
      <c r="C694" s="1953"/>
      <c r="D694" s="1953"/>
      <c r="E694" s="1953"/>
      <c r="F694" s="1953"/>
      <c r="G694" s="1953"/>
      <c r="H694" s="1953"/>
      <c r="I694"/>
      <c r="J694"/>
      <c r="K694"/>
      <c r="L694"/>
    </row>
    <row r="695" spans="2:12" x14ac:dyDescent="0.35">
      <c r="B695" s="1953"/>
      <c r="C695" s="1953"/>
      <c r="D695" s="1953"/>
      <c r="E695" s="1953"/>
      <c r="F695" s="1953"/>
      <c r="G695" s="1953"/>
      <c r="H695" s="1953"/>
      <c r="I695"/>
      <c r="J695"/>
      <c r="K695"/>
      <c r="L695"/>
    </row>
    <row r="696" spans="2:12" x14ac:dyDescent="0.35">
      <c r="B696" s="1953"/>
      <c r="C696" s="1953"/>
      <c r="D696" s="1953"/>
      <c r="E696" s="1953"/>
      <c r="F696" s="1953"/>
      <c r="G696" s="1953"/>
      <c r="H696" s="1953"/>
      <c r="I696"/>
      <c r="J696"/>
      <c r="K696"/>
      <c r="L696"/>
    </row>
    <row r="697" spans="2:12" x14ac:dyDescent="0.35">
      <c r="B697" s="1953"/>
      <c r="C697" s="1953"/>
      <c r="D697" s="1953"/>
      <c r="E697" s="1953"/>
      <c r="F697" s="1953"/>
      <c r="G697" s="1953"/>
      <c r="H697" s="1953"/>
      <c r="I697"/>
      <c r="J697"/>
      <c r="K697"/>
      <c r="L697"/>
    </row>
    <row r="698" spans="2:12" x14ac:dyDescent="0.35">
      <c r="B698" s="1953"/>
      <c r="C698" s="1953"/>
      <c r="D698" s="1953"/>
      <c r="E698" s="1953"/>
      <c r="F698" s="1953"/>
      <c r="G698" s="1953"/>
      <c r="H698" s="1953"/>
      <c r="I698"/>
      <c r="J698"/>
      <c r="K698"/>
      <c r="L698"/>
    </row>
    <row r="699" spans="2:12" x14ac:dyDescent="0.35">
      <c r="B699" s="1953"/>
      <c r="C699" s="1953"/>
      <c r="D699" s="1953"/>
      <c r="E699" s="1953"/>
      <c r="F699" s="1953"/>
      <c r="G699" s="1953"/>
      <c r="H699" s="1953"/>
      <c r="I699"/>
      <c r="J699"/>
      <c r="K699"/>
      <c r="L699"/>
    </row>
    <row r="700" spans="2:12" x14ac:dyDescent="0.35">
      <c r="B700" s="1953"/>
      <c r="C700" s="1953"/>
      <c r="D700" s="1953"/>
      <c r="E700" s="1953"/>
      <c r="F700" s="1953"/>
      <c r="G700" s="1953"/>
      <c r="H700" s="1953"/>
      <c r="I700"/>
      <c r="J700"/>
      <c r="K700"/>
      <c r="L700"/>
    </row>
    <row r="701" spans="2:12" x14ac:dyDescent="0.35">
      <c r="B701" s="1953"/>
      <c r="C701" s="1953"/>
      <c r="D701" s="1953"/>
      <c r="E701" s="1953"/>
      <c r="F701" s="1953"/>
      <c r="G701" s="1953"/>
      <c r="H701" s="1953"/>
      <c r="I701"/>
      <c r="J701"/>
      <c r="K701"/>
      <c r="L701"/>
    </row>
    <row r="702" spans="2:12" x14ac:dyDescent="0.35">
      <c r="B702" s="1953"/>
      <c r="C702" s="1953"/>
      <c r="D702" s="1953"/>
      <c r="E702" s="1953"/>
      <c r="F702" s="1953"/>
      <c r="G702" s="1953"/>
      <c r="H702" s="1953"/>
      <c r="I702"/>
      <c r="J702"/>
      <c r="K702"/>
      <c r="L702"/>
    </row>
    <row r="703" spans="2:12" x14ac:dyDescent="0.35">
      <c r="B703" s="1953"/>
      <c r="C703" s="1953"/>
      <c r="D703" s="1953"/>
      <c r="E703" s="1953"/>
      <c r="F703" s="1953"/>
      <c r="G703" s="1953"/>
      <c r="H703" s="1953"/>
      <c r="I703"/>
      <c r="J703"/>
      <c r="K703"/>
      <c r="L703"/>
    </row>
    <row r="704" spans="2:12" x14ac:dyDescent="0.35">
      <c r="B704" s="1953"/>
      <c r="C704" s="1953"/>
      <c r="D704" s="1953"/>
      <c r="E704" s="1953"/>
      <c r="F704" s="1953"/>
      <c r="G704" s="1953"/>
      <c r="H704" s="1953"/>
      <c r="I704"/>
      <c r="J704"/>
      <c r="K704"/>
      <c r="L704"/>
    </row>
    <row r="705" spans="2:12" x14ac:dyDescent="0.35">
      <c r="B705" s="1953"/>
      <c r="C705" s="1953"/>
      <c r="D705" s="1953"/>
      <c r="E705" s="1953"/>
      <c r="F705" s="1953"/>
      <c r="G705" s="1953"/>
      <c r="H705" s="1953"/>
      <c r="I705"/>
      <c r="J705"/>
      <c r="K705"/>
      <c r="L705"/>
    </row>
    <row r="706" spans="2:12" x14ac:dyDescent="0.35">
      <c r="B706" s="1953"/>
      <c r="C706" s="1953"/>
      <c r="D706" s="1953"/>
      <c r="E706" s="1953"/>
      <c r="F706" s="1953"/>
      <c r="G706" s="1953"/>
      <c r="H706" s="1953"/>
      <c r="I706"/>
      <c r="J706"/>
      <c r="K706"/>
      <c r="L706"/>
    </row>
    <row r="707" spans="2:12" x14ac:dyDescent="0.35">
      <c r="B707" s="1953"/>
      <c r="C707" s="1953"/>
      <c r="D707" s="1953"/>
      <c r="E707" s="1953"/>
      <c r="F707" s="1953"/>
      <c r="G707" s="1953"/>
      <c r="H707" s="1953"/>
      <c r="I707"/>
      <c r="J707"/>
      <c r="K707"/>
      <c r="L707"/>
    </row>
    <row r="708" spans="2:12" x14ac:dyDescent="0.35">
      <c r="B708" s="1953"/>
      <c r="C708" s="1953"/>
      <c r="D708" s="1953"/>
      <c r="E708" s="1953"/>
      <c r="F708" s="1953"/>
      <c r="G708" s="1953"/>
      <c r="H708" s="1953"/>
      <c r="I708"/>
      <c r="J708"/>
      <c r="K708"/>
      <c r="L708"/>
    </row>
    <row r="709" spans="2:12" x14ac:dyDescent="0.35">
      <c r="B709" s="1953"/>
      <c r="C709" s="1953"/>
      <c r="D709" s="1953"/>
      <c r="E709" s="1953"/>
      <c r="F709" s="1953"/>
      <c r="G709" s="1953"/>
      <c r="H709" s="1953"/>
      <c r="I709"/>
      <c r="J709"/>
      <c r="K709"/>
      <c r="L709"/>
    </row>
    <row r="710" spans="2:12" x14ac:dyDescent="0.35">
      <c r="B710" s="1953"/>
      <c r="C710" s="1953"/>
      <c r="D710" s="1953"/>
      <c r="E710" s="1953"/>
      <c r="F710" s="1953"/>
      <c r="G710" s="1953"/>
      <c r="H710" s="1953"/>
      <c r="I710"/>
      <c r="J710"/>
      <c r="K710"/>
      <c r="L710"/>
    </row>
    <row r="711" spans="2:12" x14ac:dyDescent="0.35">
      <c r="B711" s="1953"/>
      <c r="C711" s="1953"/>
      <c r="D711" s="1953"/>
      <c r="E711" s="1953"/>
      <c r="F711" s="1953"/>
      <c r="G711" s="1953"/>
      <c r="H711" s="1953"/>
      <c r="I711"/>
      <c r="J711"/>
      <c r="K711"/>
      <c r="L711"/>
    </row>
    <row r="712" spans="2:12" x14ac:dyDescent="0.35">
      <c r="B712" s="1953"/>
      <c r="C712" s="1953"/>
      <c r="D712" s="1953"/>
      <c r="E712" s="1953"/>
      <c r="F712" s="1953"/>
      <c r="G712" s="1953"/>
      <c r="H712" s="1953"/>
      <c r="I712"/>
      <c r="J712"/>
      <c r="K712"/>
      <c r="L712"/>
    </row>
    <row r="713" spans="2:12" x14ac:dyDescent="0.35">
      <c r="B713" s="1953"/>
      <c r="C713" s="1953"/>
      <c r="D713" s="1953"/>
      <c r="E713" s="1953"/>
      <c r="F713" s="1953"/>
      <c r="G713" s="1953"/>
      <c r="H713" s="1953"/>
      <c r="I713"/>
      <c r="J713"/>
      <c r="K713"/>
      <c r="L713"/>
    </row>
    <row r="714" spans="2:12" x14ac:dyDescent="0.35">
      <c r="B714" s="1953"/>
      <c r="C714" s="1953"/>
      <c r="D714" s="1953"/>
      <c r="E714" s="1953"/>
      <c r="F714" s="1953"/>
      <c r="G714" s="1953"/>
      <c r="H714" s="1953"/>
      <c r="I714"/>
      <c r="J714"/>
      <c r="K714"/>
      <c r="L714"/>
    </row>
    <row r="715" spans="2:12" x14ac:dyDescent="0.35">
      <c r="B715" s="1953"/>
      <c r="C715" s="1953"/>
      <c r="D715" s="1953"/>
      <c r="E715" s="1953"/>
      <c r="F715" s="1953"/>
      <c r="G715" s="1953"/>
      <c r="H715" s="1953"/>
      <c r="I715"/>
      <c r="J715"/>
      <c r="K715"/>
      <c r="L715"/>
    </row>
    <row r="716" spans="2:12" x14ac:dyDescent="0.35">
      <c r="B716" s="1953"/>
      <c r="C716" s="1953"/>
      <c r="D716" s="1953"/>
      <c r="E716" s="1953"/>
      <c r="F716" s="1953"/>
      <c r="G716" s="1953"/>
      <c r="H716" s="1953"/>
      <c r="I716"/>
      <c r="J716"/>
      <c r="K716"/>
      <c r="L716"/>
    </row>
    <row r="717" spans="2:12" x14ac:dyDescent="0.35">
      <c r="B717" s="1953"/>
      <c r="C717" s="1953"/>
      <c r="D717" s="1953"/>
      <c r="E717" s="1953"/>
      <c r="F717" s="1953"/>
      <c r="G717" s="1953"/>
      <c r="H717" s="1953"/>
      <c r="I717"/>
      <c r="J717"/>
      <c r="K717"/>
      <c r="L717"/>
    </row>
    <row r="718" spans="2:12" x14ac:dyDescent="0.35">
      <c r="B718" s="1953"/>
      <c r="C718" s="1953"/>
      <c r="D718" s="1953"/>
      <c r="E718" s="1953"/>
      <c r="F718" s="1953"/>
      <c r="G718" s="1953"/>
      <c r="H718" s="1953"/>
      <c r="I718"/>
      <c r="J718"/>
      <c r="K718"/>
      <c r="L718"/>
    </row>
    <row r="719" spans="2:12" x14ac:dyDescent="0.35">
      <c r="B719" s="1953"/>
      <c r="C719" s="1953"/>
      <c r="D719" s="1953"/>
      <c r="E719" s="1953"/>
      <c r="F719" s="1953"/>
      <c r="G719" s="1953"/>
      <c r="H719" s="1953"/>
      <c r="I719"/>
      <c r="J719"/>
      <c r="K719"/>
      <c r="L719"/>
    </row>
    <row r="720" spans="2:12" x14ac:dyDescent="0.35">
      <c r="B720" s="1953"/>
      <c r="C720" s="1953"/>
      <c r="D720" s="1953"/>
      <c r="E720" s="1953"/>
      <c r="F720" s="1953"/>
      <c r="G720" s="1953"/>
      <c r="H720" s="1953"/>
      <c r="I720"/>
      <c r="J720"/>
      <c r="K720"/>
      <c r="L720"/>
    </row>
    <row r="721" spans="2:12" x14ac:dyDescent="0.35">
      <c r="B721" s="1953"/>
      <c r="C721" s="1953"/>
      <c r="D721" s="1953"/>
      <c r="E721" s="1953"/>
      <c r="F721" s="1953"/>
      <c r="G721" s="1953"/>
      <c r="H721" s="1953"/>
      <c r="I721"/>
      <c r="J721"/>
      <c r="K721"/>
      <c r="L721"/>
    </row>
    <row r="722" spans="2:12" x14ac:dyDescent="0.35">
      <c r="B722" s="1953"/>
      <c r="C722" s="1953"/>
      <c r="D722" s="1953"/>
      <c r="E722" s="1953"/>
      <c r="F722" s="1953"/>
      <c r="G722" s="1953"/>
      <c r="H722" s="1953"/>
      <c r="I722"/>
      <c r="J722"/>
      <c r="K722"/>
      <c r="L722"/>
    </row>
    <row r="723" spans="2:12" x14ac:dyDescent="0.35">
      <c r="B723" s="1953"/>
      <c r="C723" s="1953"/>
      <c r="D723" s="1953"/>
      <c r="E723" s="1953"/>
      <c r="F723" s="1953"/>
      <c r="G723" s="1953"/>
      <c r="H723" s="1953"/>
      <c r="I723"/>
      <c r="J723"/>
      <c r="K723"/>
      <c r="L723"/>
    </row>
    <row r="724" spans="2:12" x14ac:dyDescent="0.35">
      <c r="B724" s="1953"/>
      <c r="C724" s="1953"/>
      <c r="D724" s="1953"/>
      <c r="E724" s="1953"/>
      <c r="F724" s="1953"/>
      <c r="G724" s="1953"/>
      <c r="H724" s="1953"/>
      <c r="I724"/>
      <c r="J724"/>
      <c r="K724"/>
      <c r="L724"/>
    </row>
    <row r="725" spans="2:12" x14ac:dyDescent="0.35">
      <c r="B725" s="1953"/>
      <c r="C725" s="1953"/>
      <c r="D725" s="1953"/>
      <c r="E725" s="1953"/>
      <c r="F725" s="1953"/>
      <c r="G725" s="1953"/>
      <c r="H725" s="1953"/>
      <c r="I725"/>
      <c r="J725"/>
      <c r="K725"/>
      <c r="L725"/>
    </row>
    <row r="726" spans="2:12" x14ac:dyDescent="0.35">
      <c r="B726" s="1953"/>
      <c r="C726" s="1953"/>
      <c r="D726" s="1953"/>
      <c r="E726" s="1953"/>
      <c r="F726" s="1953"/>
      <c r="G726" s="1953"/>
      <c r="H726" s="1953"/>
      <c r="I726"/>
      <c r="J726"/>
      <c r="K726"/>
      <c r="L726"/>
    </row>
    <row r="727" spans="2:12" x14ac:dyDescent="0.35">
      <c r="B727" s="1953"/>
      <c r="C727" s="1953"/>
      <c r="D727" s="1953"/>
      <c r="E727" s="1953"/>
      <c r="F727" s="1953"/>
      <c r="G727" s="1953"/>
      <c r="H727" s="1953"/>
      <c r="I727"/>
      <c r="J727"/>
      <c r="K727"/>
      <c r="L727"/>
    </row>
    <row r="728" spans="2:12" x14ac:dyDescent="0.35">
      <c r="B728" s="1953"/>
      <c r="C728" s="1953"/>
      <c r="D728" s="1953"/>
      <c r="E728" s="1953"/>
      <c r="F728" s="1953"/>
      <c r="G728" s="1953"/>
      <c r="H728" s="1953"/>
      <c r="I728"/>
      <c r="J728"/>
      <c r="K728"/>
      <c r="L728"/>
    </row>
    <row r="729" spans="2:12" x14ac:dyDescent="0.35">
      <c r="B729" s="1953"/>
      <c r="C729" s="1953"/>
      <c r="D729" s="1953"/>
      <c r="E729" s="1953"/>
      <c r="F729" s="1953"/>
      <c r="G729" s="1953"/>
      <c r="H729" s="1953"/>
      <c r="I729"/>
      <c r="J729"/>
      <c r="K729"/>
      <c r="L729"/>
    </row>
    <row r="730" spans="2:12" x14ac:dyDescent="0.35">
      <c r="B730" s="1953"/>
      <c r="C730" s="1953"/>
      <c r="D730" s="1953"/>
      <c r="E730" s="1953"/>
      <c r="F730" s="1953"/>
      <c r="G730" s="1953"/>
      <c r="H730" s="1953"/>
      <c r="I730"/>
      <c r="J730"/>
      <c r="K730"/>
      <c r="L730"/>
    </row>
    <row r="731" spans="2:12" x14ac:dyDescent="0.35">
      <c r="B731" s="1953"/>
      <c r="C731" s="1953"/>
      <c r="D731" s="1953"/>
      <c r="E731" s="1953"/>
      <c r="F731" s="1953"/>
      <c r="G731" s="1953"/>
      <c r="H731" s="1953"/>
      <c r="I731"/>
      <c r="J731"/>
      <c r="K731"/>
      <c r="L731"/>
    </row>
    <row r="732" spans="2:12" x14ac:dyDescent="0.35">
      <c r="B732" s="1953"/>
      <c r="C732" s="1953"/>
      <c r="D732" s="1953"/>
      <c r="E732" s="1953"/>
      <c r="F732" s="1953"/>
      <c r="G732" s="1953"/>
      <c r="H732" s="1953"/>
      <c r="I732"/>
      <c r="J732"/>
      <c r="K732"/>
      <c r="L732"/>
    </row>
    <row r="733" spans="2:12" x14ac:dyDescent="0.35">
      <c r="B733" s="1953"/>
      <c r="C733" s="1953"/>
      <c r="D733" s="1953"/>
      <c r="E733" s="1953"/>
      <c r="F733" s="1953"/>
      <c r="G733" s="1953"/>
      <c r="H733" s="1953"/>
      <c r="I733"/>
      <c r="J733"/>
      <c r="K733"/>
      <c r="L733"/>
    </row>
    <row r="734" spans="2:12" x14ac:dyDescent="0.35">
      <c r="B734" s="1953"/>
      <c r="C734" s="1953"/>
      <c r="D734" s="1953"/>
      <c r="E734" s="1953"/>
      <c r="F734" s="1953"/>
      <c r="G734" s="1953"/>
      <c r="H734" s="1953"/>
      <c r="I734"/>
      <c r="J734"/>
      <c r="K734"/>
      <c r="L734"/>
    </row>
    <row r="735" spans="2:12" x14ac:dyDescent="0.35">
      <c r="B735" s="1953"/>
      <c r="C735" s="1953"/>
      <c r="D735" s="1953"/>
      <c r="E735" s="1953"/>
      <c r="F735" s="1953"/>
      <c r="G735" s="1953"/>
      <c r="H735" s="1953"/>
      <c r="I735"/>
      <c r="J735"/>
      <c r="K735"/>
      <c r="L735"/>
    </row>
    <row r="736" spans="2:12" x14ac:dyDescent="0.35">
      <c r="B736" s="1953"/>
      <c r="C736" s="1953"/>
      <c r="D736" s="1953"/>
      <c r="E736" s="1953"/>
      <c r="F736" s="1953"/>
      <c r="G736" s="1953"/>
      <c r="H736" s="1953"/>
      <c r="I736"/>
      <c r="J736"/>
      <c r="K736"/>
      <c r="L736"/>
    </row>
    <row r="737" spans="2:12" x14ac:dyDescent="0.35">
      <c r="B737" s="1953"/>
      <c r="C737" s="1953"/>
      <c r="D737" s="1953"/>
      <c r="E737" s="1953"/>
      <c r="F737" s="1953"/>
      <c r="G737" s="1953"/>
      <c r="H737" s="1953"/>
      <c r="I737"/>
      <c r="J737"/>
      <c r="K737"/>
      <c r="L737"/>
    </row>
    <row r="738" spans="2:12" x14ac:dyDescent="0.35">
      <c r="B738" s="1953"/>
      <c r="C738" s="1953"/>
      <c r="D738" s="1953"/>
      <c r="E738" s="1953"/>
      <c r="F738" s="1953"/>
      <c r="G738" s="1953"/>
      <c r="H738" s="1953"/>
      <c r="I738"/>
      <c r="J738"/>
      <c r="K738"/>
      <c r="L738"/>
    </row>
    <row r="739" spans="2:12" x14ac:dyDescent="0.35">
      <c r="B739" s="1953"/>
      <c r="C739" s="1953"/>
      <c r="D739" s="1953"/>
      <c r="E739" s="1953"/>
      <c r="F739" s="1953"/>
      <c r="G739" s="1953"/>
      <c r="H739" s="1953"/>
      <c r="I739"/>
      <c r="J739"/>
      <c r="K739"/>
      <c r="L739"/>
    </row>
    <row r="740" spans="2:12" x14ac:dyDescent="0.35">
      <c r="B740" s="1953"/>
      <c r="C740" s="1953"/>
      <c r="D740" s="1953"/>
      <c r="E740" s="1953"/>
      <c r="F740" s="1953"/>
      <c r="G740" s="1953"/>
      <c r="H740" s="1953"/>
      <c r="I740"/>
      <c r="J740"/>
      <c r="K740"/>
      <c r="L740"/>
    </row>
    <row r="741" spans="2:12" x14ac:dyDescent="0.35">
      <c r="B741" s="1953"/>
      <c r="C741" s="1953"/>
      <c r="D741" s="1953"/>
      <c r="E741" s="1953"/>
      <c r="F741" s="1953"/>
      <c r="G741" s="1953"/>
      <c r="H741" s="1953"/>
      <c r="I741"/>
      <c r="J741"/>
      <c r="K741"/>
      <c r="L741"/>
    </row>
    <row r="742" spans="2:12" x14ac:dyDescent="0.35">
      <c r="B742" s="1953"/>
      <c r="C742" s="1953"/>
      <c r="D742" s="1953"/>
      <c r="E742" s="1953"/>
      <c r="F742" s="1953"/>
      <c r="G742" s="1953"/>
      <c r="H742" s="1953"/>
      <c r="I742"/>
      <c r="J742"/>
      <c r="K742"/>
      <c r="L742"/>
    </row>
    <row r="743" spans="2:12" x14ac:dyDescent="0.35">
      <c r="B743" s="1953"/>
      <c r="C743" s="1953"/>
      <c r="D743" s="1953"/>
      <c r="E743" s="1953"/>
      <c r="F743" s="1953"/>
      <c r="G743" s="1953"/>
      <c r="H743" s="1953"/>
      <c r="I743"/>
      <c r="J743"/>
      <c r="K743"/>
      <c r="L743"/>
    </row>
    <row r="744" spans="2:12" x14ac:dyDescent="0.35">
      <c r="B744" s="1953"/>
      <c r="C744" s="1953"/>
      <c r="D744" s="1953"/>
      <c r="E744" s="1953"/>
      <c r="F744" s="1953"/>
      <c r="G744" s="1953"/>
      <c r="H744" s="1953"/>
      <c r="I744"/>
      <c r="J744"/>
      <c r="K744"/>
      <c r="L744"/>
    </row>
    <row r="745" spans="2:12" x14ac:dyDescent="0.35">
      <c r="B745" s="1953"/>
      <c r="C745" s="1953"/>
      <c r="D745" s="1953"/>
      <c r="E745" s="1953"/>
      <c r="F745" s="1953"/>
      <c r="G745" s="1953"/>
      <c r="H745" s="1953"/>
      <c r="I745"/>
      <c r="J745"/>
      <c r="K745"/>
      <c r="L745"/>
    </row>
    <row r="746" spans="2:12" x14ac:dyDescent="0.35">
      <c r="B746" s="1953"/>
      <c r="C746" s="1953"/>
      <c r="D746" s="1953"/>
      <c r="E746" s="1953"/>
      <c r="F746" s="1953"/>
      <c r="G746" s="1953"/>
      <c r="H746" s="1953"/>
      <c r="I746"/>
      <c r="J746"/>
      <c r="K746"/>
      <c r="L746"/>
    </row>
    <row r="747" spans="2:12" x14ac:dyDescent="0.35">
      <c r="B747" s="1953"/>
      <c r="C747" s="1953"/>
      <c r="D747" s="1953"/>
      <c r="E747" s="1953"/>
      <c r="F747" s="1953"/>
      <c r="G747" s="1953"/>
      <c r="H747" s="1953"/>
      <c r="I747"/>
      <c r="J747"/>
      <c r="K747"/>
      <c r="L747"/>
    </row>
    <row r="748" spans="2:12" x14ac:dyDescent="0.35">
      <c r="B748" s="1953"/>
      <c r="C748" s="1953"/>
      <c r="D748" s="1953"/>
      <c r="E748" s="1953"/>
      <c r="F748" s="1953"/>
      <c r="G748" s="1953"/>
      <c r="H748" s="1953"/>
      <c r="I748"/>
      <c r="J748"/>
      <c r="K748"/>
      <c r="L748"/>
    </row>
    <row r="749" spans="2:12" x14ac:dyDescent="0.35">
      <c r="B749" s="1953"/>
      <c r="C749" s="1953"/>
      <c r="D749" s="1953"/>
      <c r="E749" s="1953"/>
      <c r="F749" s="1953"/>
      <c r="G749" s="1953"/>
      <c r="H749" s="1953"/>
      <c r="I749"/>
      <c r="J749"/>
      <c r="K749"/>
      <c r="L749"/>
    </row>
    <row r="750" spans="2:12" x14ac:dyDescent="0.35">
      <c r="B750" s="1953"/>
      <c r="C750" s="1953"/>
      <c r="D750" s="1953"/>
      <c r="E750" s="1953"/>
      <c r="F750" s="1953"/>
      <c r="G750" s="1953"/>
      <c r="H750" s="1953"/>
      <c r="I750"/>
      <c r="J750"/>
      <c r="K750"/>
      <c r="L750"/>
    </row>
    <row r="751" spans="2:12" x14ac:dyDescent="0.35">
      <c r="B751" s="1953"/>
      <c r="C751" s="1953"/>
      <c r="D751" s="1953"/>
      <c r="E751" s="1953"/>
      <c r="F751" s="1953"/>
      <c r="G751" s="1953"/>
      <c r="H751" s="1953"/>
      <c r="I751"/>
      <c r="J751"/>
      <c r="K751"/>
      <c r="L751"/>
    </row>
    <row r="752" spans="2:12" x14ac:dyDescent="0.35">
      <c r="B752" s="1953"/>
      <c r="C752" s="1953"/>
      <c r="D752" s="1953"/>
      <c r="E752" s="1953"/>
      <c r="F752" s="1953"/>
      <c r="G752" s="1953"/>
      <c r="H752" s="1953"/>
      <c r="I752"/>
      <c r="J752"/>
      <c r="K752"/>
      <c r="L752"/>
    </row>
    <row r="753" spans="2:12" x14ac:dyDescent="0.35">
      <c r="B753" s="1953"/>
      <c r="C753" s="1953"/>
      <c r="D753" s="1953"/>
      <c r="E753" s="1953"/>
      <c r="F753" s="1953"/>
      <c r="G753" s="1953"/>
      <c r="H753" s="1953"/>
      <c r="I753"/>
      <c r="J753"/>
      <c r="K753"/>
      <c r="L753"/>
    </row>
    <row r="754" spans="2:12" x14ac:dyDescent="0.35">
      <c r="B754" s="1953"/>
      <c r="C754" s="1953"/>
      <c r="D754" s="1953"/>
      <c r="E754" s="1953"/>
      <c r="F754" s="1953"/>
      <c r="G754" s="1953"/>
      <c r="H754" s="1953"/>
      <c r="I754"/>
      <c r="J754"/>
      <c r="K754"/>
      <c r="L754"/>
    </row>
    <row r="755" spans="2:12" x14ac:dyDescent="0.35">
      <c r="B755" s="1953"/>
      <c r="C755" s="1953"/>
      <c r="D755" s="1953"/>
      <c r="E755" s="1953"/>
      <c r="F755" s="1953"/>
      <c r="G755" s="1953"/>
      <c r="H755" s="1953"/>
      <c r="I755"/>
      <c r="J755"/>
      <c r="K755"/>
      <c r="L755"/>
    </row>
    <row r="756" spans="2:12" x14ac:dyDescent="0.35">
      <c r="B756" s="1953"/>
      <c r="C756" s="1953"/>
      <c r="D756" s="1953"/>
      <c r="E756" s="1953"/>
      <c r="F756" s="1953"/>
      <c r="G756" s="1953"/>
      <c r="H756" s="1953"/>
      <c r="I756"/>
      <c r="J756"/>
      <c r="K756"/>
      <c r="L756"/>
    </row>
    <row r="757" spans="2:12" x14ac:dyDescent="0.35">
      <c r="B757" s="1953"/>
      <c r="C757" s="1953"/>
      <c r="D757" s="1953"/>
      <c r="E757" s="1953"/>
      <c r="F757" s="1953"/>
      <c r="G757" s="1953"/>
      <c r="H757" s="1953"/>
      <c r="I757"/>
      <c r="J757"/>
      <c r="K757"/>
      <c r="L757"/>
    </row>
    <row r="758" spans="2:12" x14ac:dyDescent="0.35">
      <c r="B758" s="1953"/>
      <c r="C758" s="1953"/>
      <c r="D758" s="1953"/>
      <c r="E758" s="1953"/>
      <c r="F758" s="1953"/>
      <c r="G758" s="1953"/>
      <c r="H758" s="1953"/>
      <c r="I758"/>
      <c r="J758"/>
      <c r="K758"/>
      <c r="L758"/>
    </row>
    <row r="759" spans="2:12" x14ac:dyDescent="0.35">
      <c r="B759" s="1953"/>
      <c r="C759" s="1953"/>
      <c r="D759" s="1953"/>
      <c r="E759" s="1953"/>
      <c r="F759" s="1953"/>
      <c r="G759" s="1953"/>
      <c r="H759" s="1953"/>
      <c r="I759"/>
      <c r="J759"/>
      <c r="K759"/>
      <c r="L759"/>
    </row>
    <row r="760" spans="2:12" x14ac:dyDescent="0.35">
      <c r="B760" s="1953"/>
      <c r="C760" s="1953"/>
      <c r="D760" s="1953"/>
      <c r="E760" s="1953"/>
      <c r="F760" s="1953"/>
      <c r="G760" s="1953"/>
      <c r="H760" s="1953"/>
      <c r="I760"/>
      <c r="J760"/>
      <c r="K760"/>
      <c r="L760"/>
    </row>
    <row r="761" spans="2:12" x14ac:dyDescent="0.35">
      <c r="B761" s="1953"/>
      <c r="C761" s="1953"/>
      <c r="D761" s="1953"/>
      <c r="E761" s="1953"/>
      <c r="F761" s="1953"/>
      <c r="G761" s="1953"/>
      <c r="H761" s="1953"/>
      <c r="I761"/>
      <c r="J761"/>
      <c r="K761"/>
      <c r="L761"/>
    </row>
    <row r="762" spans="2:12" x14ac:dyDescent="0.35">
      <c r="B762" s="1953"/>
      <c r="C762" s="1953"/>
      <c r="D762" s="1953"/>
      <c r="E762" s="1953"/>
      <c r="F762" s="1953"/>
      <c r="G762" s="1953"/>
      <c r="H762" s="1953"/>
      <c r="I762"/>
      <c r="J762"/>
      <c r="K762"/>
      <c r="L762"/>
    </row>
    <row r="763" spans="2:12" x14ac:dyDescent="0.35">
      <c r="B763" s="1953"/>
      <c r="C763" s="1953"/>
      <c r="D763" s="1953"/>
      <c r="E763" s="1953"/>
      <c r="F763" s="1953"/>
      <c r="G763" s="1953"/>
      <c r="H763" s="1953"/>
      <c r="I763"/>
      <c r="J763"/>
      <c r="K763"/>
      <c r="L763"/>
    </row>
    <row r="764" spans="2:12" x14ac:dyDescent="0.35">
      <c r="B764" s="1953"/>
      <c r="C764" s="1953"/>
      <c r="D764" s="1953"/>
      <c r="E764" s="1953"/>
      <c r="F764" s="1953"/>
      <c r="G764" s="1953"/>
      <c r="H764" s="1953"/>
      <c r="I764"/>
      <c r="J764"/>
      <c r="K764"/>
      <c r="L764"/>
    </row>
    <row r="765" spans="2:12" x14ac:dyDescent="0.35">
      <c r="B765" s="1953"/>
      <c r="C765" s="1953"/>
      <c r="D765" s="1953"/>
      <c r="E765" s="1953"/>
      <c r="F765" s="1953"/>
      <c r="G765" s="1953"/>
      <c r="H765" s="1953"/>
      <c r="I765"/>
      <c r="J765"/>
      <c r="K765"/>
      <c r="L765"/>
    </row>
    <row r="766" spans="2:12" x14ac:dyDescent="0.35">
      <c r="B766" s="1953"/>
      <c r="C766" s="1953"/>
      <c r="D766" s="1953"/>
      <c r="E766" s="1953"/>
      <c r="F766" s="1953"/>
      <c r="G766" s="1953"/>
      <c r="H766" s="1953"/>
      <c r="I766"/>
      <c r="J766"/>
      <c r="K766"/>
      <c r="L766"/>
    </row>
    <row r="767" spans="2:12" x14ac:dyDescent="0.35">
      <c r="B767" s="1953"/>
      <c r="C767" s="1953"/>
      <c r="D767" s="1953"/>
      <c r="E767" s="1953"/>
      <c r="F767" s="1953"/>
      <c r="G767" s="1953"/>
      <c r="H767" s="1953"/>
      <c r="I767"/>
      <c r="J767"/>
      <c r="K767"/>
      <c r="L767"/>
    </row>
    <row r="768" spans="2:12" x14ac:dyDescent="0.35">
      <c r="B768" s="1953"/>
      <c r="C768" s="1953"/>
      <c r="D768" s="1953"/>
      <c r="E768" s="1953"/>
      <c r="F768" s="1953"/>
      <c r="G768" s="1953"/>
      <c r="H768" s="1953"/>
      <c r="I768"/>
      <c r="J768"/>
      <c r="K768"/>
      <c r="L768"/>
    </row>
    <row r="769" spans="2:12" x14ac:dyDescent="0.35">
      <c r="B769" s="1953"/>
      <c r="C769" s="1953"/>
      <c r="D769" s="1953"/>
      <c r="E769" s="1953"/>
      <c r="F769" s="1953"/>
      <c r="G769" s="1953"/>
      <c r="H769" s="1953"/>
      <c r="I769"/>
      <c r="J769"/>
      <c r="K769"/>
      <c r="L769"/>
    </row>
    <row r="770" spans="2:12" x14ac:dyDescent="0.35">
      <c r="B770" s="1953"/>
      <c r="C770" s="1953"/>
      <c r="D770" s="1953"/>
      <c r="E770" s="1953"/>
      <c r="F770" s="1953"/>
      <c r="G770" s="1953"/>
      <c r="H770" s="1953"/>
      <c r="I770"/>
      <c r="J770"/>
      <c r="K770"/>
      <c r="L770"/>
    </row>
    <row r="771" spans="2:12" x14ac:dyDescent="0.35">
      <c r="B771" s="1953"/>
      <c r="C771" s="1953"/>
      <c r="D771" s="1953"/>
      <c r="E771" s="1953"/>
      <c r="F771" s="1953"/>
      <c r="G771" s="1953"/>
      <c r="H771" s="1953"/>
      <c r="I771"/>
      <c r="J771"/>
      <c r="K771"/>
      <c r="L771"/>
    </row>
    <row r="772" spans="2:12" x14ac:dyDescent="0.35">
      <c r="B772" s="1953"/>
      <c r="C772" s="1953"/>
      <c r="D772" s="1953"/>
      <c r="E772" s="1953"/>
      <c r="F772" s="1953"/>
      <c r="G772" s="1953"/>
      <c r="H772" s="1953"/>
      <c r="I772"/>
      <c r="J772"/>
      <c r="K772"/>
      <c r="L772"/>
    </row>
    <row r="773" spans="2:12" x14ac:dyDescent="0.35">
      <c r="B773" s="1953"/>
      <c r="C773" s="1953"/>
      <c r="D773" s="1953"/>
      <c r="E773" s="1953"/>
      <c r="F773" s="1953"/>
      <c r="G773" s="1953"/>
      <c r="H773" s="1953"/>
      <c r="I773"/>
      <c r="J773"/>
      <c r="K773"/>
      <c r="L773"/>
    </row>
    <row r="774" spans="2:12" x14ac:dyDescent="0.35">
      <c r="B774" s="1953"/>
      <c r="C774" s="1953"/>
      <c r="D774" s="1953"/>
      <c r="E774" s="1953"/>
      <c r="F774" s="1953"/>
      <c r="G774" s="1953"/>
      <c r="H774" s="1953"/>
      <c r="I774"/>
      <c r="J774"/>
      <c r="K774"/>
      <c r="L774"/>
    </row>
    <row r="775" spans="2:12" x14ac:dyDescent="0.35">
      <c r="B775" s="1953"/>
      <c r="C775" s="1953"/>
      <c r="D775" s="1953"/>
      <c r="E775" s="1953"/>
      <c r="F775" s="1953"/>
      <c r="G775" s="1953"/>
      <c r="H775" s="1953"/>
      <c r="I775"/>
      <c r="J775"/>
      <c r="K775"/>
      <c r="L775"/>
    </row>
    <row r="776" spans="2:12" x14ac:dyDescent="0.35">
      <c r="B776" s="1953"/>
      <c r="C776" s="1953"/>
      <c r="D776" s="1953"/>
      <c r="E776" s="1953"/>
      <c r="F776" s="1953"/>
      <c r="G776" s="1953"/>
      <c r="H776" s="1953"/>
      <c r="I776"/>
      <c r="J776"/>
      <c r="K776"/>
      <c r="L776"/>
    </row>
    <row r="777" spans="2:12" x14ac:dyDescent="0.35">
      <c r="B777" s="1953"/>
      <c r="C777" s="1953"/>
      <c r="D777" s="1953"/>
      <c r="E777" s="1953"/>
      <c r="F777" s="1953"/>
      <c r="G777" s="1953"/>
      <c r="H777" s="1953"/>
      <c r="I777"/>
      <c r="J777"/>
      <c r="K777"/>
      <c r="L777"/>
    </row>
    <row r="778" spans="2:12" x14ac:dyDescent="0.35">
      <c r="B778" s="1953"/>
      <c r="C778" s="1953"/>
      <c r="D778" s="1953"/>
      <c r="E778" s="1953"/>
      <c r="F778" s="1953"/>
      <c r="G778" s="1953"/>
      <c r="H778" s="1953"/>
      <c r="I778"/>
      <c r="J778"/>
      <c r="K778"/>
      <c r="L778"/>
    </row>
    <row r="779" spans="2:12" x14ac:dyDescent="0.35">
      <c r="B779" s="1953"/>
      <c r="C779" s="1953"/>
      <c r="D779" s="1953"/>
      <c r="E779" s="1953"/>
      <c r="F779" s="1953"/>
      <c r="G779" s="1953"/>
      <c r="H779" s="1953"/>
      <c r="I779"/>
      <c r="J779"/>
      <c r="K779"/>
      <c r="L779"/>
    </row>
    <row r="780" spans="2:12" x14ac:dyDescent="0.35">
      <c r="B780" s="1953"/>
      <c r="C780" s="1953"/>
      <c r="D780" s="1953"/>
      <c r="E780" s="1953"/>
      <c r="F780" s="1953"/>
      <c r="G780" s="1953"/>
      <c r="H780" s="1953"/>
      <c r="I780"/>
      <c r="J780"/>
      <c r="K780"/>
      <c r="L780"/>
    </row>
    <row r="781" spans="2:12" x14ac:dyDescent="0.35">
      <c r="B781" s="1953"/>
      <c r="C781" s="1953"/>
      <c r="D781" s="1953"/>
      <c r="E781" s="1953"/>
      <c r="F781" s="1953"/>
      <c r="G781" s="1953"/>
      <c r="H781" s="1953"/>
      <c r="I781"/>
      <c r="J781"/>
      <c r="K781"/>
      <c r="L781"/>
    </row>
    <row r="782" spans="2:12" x14ac:dyDescent="0.35">
      <c r="B782" s="1953"/>
      <c r="C782" s="1953"/>
      <c r="D782" s="1953"/>
      <c r="E782" s="1953"/>
      <c r="F782" s="1953"/>
      <c r="G782" s="1953"/>
      <c r="H782" s="1953"/>
      <c r="I782"/>
      <c r="J782"/>
      <c r="K782"/>
      <c r="L782"/>
    </row>
    <row r="783" spans="2:12" x14ac:dyDescent="0.35">
      <c r="B783" s="1953"/>
      <c r="C783" s="1953"/>
      <c r="D783" s="1953"/>
      <c r="E783" s="1953"/>
      <c r="F783" s="1953"/>
      <c r="G783" s="1953"/>
      <c r="H783" s="1953"/>
      <c r="I783"/>
      <c r="J783"/>
      <c r="K783"/>
      <c r="L783"/>
    </row>
    <row r="784" spans="2:12" x14ac:dyDescent="0.35">
      <c r="B784" s="1953"/>
      <c r="C784" s="1953"/>
      <c r="D784" s="1953"/>
      <c r="E784" s="1953"/>
      <c r="F784" s="1953"/>
      <c r="G784" s="1953"/>
      <c r="H784" s="1953"/>
      <c r="I784"/>
      <c r="J784"/>
      <c r="K784"/>
      <c r="L784"/>
    </row>
    <row r="785" spans="2:12" x14ac:dyDescent="0.35">
      <c r="B785" s="1953"/>
      <c r="C785" s="1953"/>
      <c r="D785" s="1953"/>
      <c r="E785" s="1953"/>
      <c r="F785" s="1953"/>
      <c r="G785" s="1953"/>
      <c r="H785" s="1953"/>
      <c r="I785"/>
      <c r="J785"/>
      <c r="K785"/>
      <c r="L785"/>
    </row>
    <row r="786" spans="2:12" x14ac:dyDescent="0.35">
      <c r="B786" s="1953"/>
      <c r="C786" s="1953"/>
      <c r="D786" s="1953"/>
      <c r="E786" s="1953"/>
      <c r="F786" s="1953"/>
      <c r="G786" s="1953"/>
      <c r="H786" s="1953"/>
      <c r="I786"/>
      <c r="J786"/>
      <c r="K786"/>
      <c r="L786"/>
    </row>
    <row r="787" spans="2:12" x14ac:dyDescent="0.35">
      <c r="B787" s="1953"/>
      <c r="C787" s="1953"/>
      <c r="D787" s="1953"/>
      <c r="E787" s="1953"/>
      <c r="F787" s="1953"/>
      <c r="G787" s="1953"/>
      <c r="H787" s="1953"/>
      <c r="I787"/>
      <c r="J787"/>
      <c r="K787"/>
      <c r="L787"/>
    </row>
    <row r="788" spans="2:12" x14ac:dyDescent="0.35">
      <c r="B788" s="1953"/>
      <c r="C788" s="1953"/>
      <c r="D788" s="1953"/>
      <c r="E788" s="1953"/>
      <c r="F788" s="1953"/>
      <c r="G788" s="1953"/>
      <c r="H788" s="1953"/>
      <c r="I788"/>
      <c r="J788"/>
      <c r="K788"/>
      <c r="L788"/>
    </row>
    <row r="789" spans="2:12" x14ac:dyDescent="0.35">
      <c r="B789" s="1953"/>
      <c r="C789" s="1953"/>
      <c r="D789" s="1953"/>
      <c r="E789" s="1953"/>
      <c r="F789" s="1953"/>
      <c r="G789" s="1953"/>
      <c r="H789" s="1953"/>
      <c r="I789"/>
      <c r="J789"/>
      <c r="K789"/>
      <c r="L789"/>
    </row>
    <row r="790" spans="2:12" x14ac:dyDescent="0.35">
      <c r="B790" s="1953"/>
      <c r="C790" s="1953"/>
      <c r="D790" s="1953"/>
      <c r="E790" s="1953"/>
      <c r="F790" s="1953"/>
      <c r="G790" s="1953"/>
      <c r="H790" s="1953"/>
      <c r="I790"/>
      <c r="J790"/>
      <c r="K790"/>
      <c r="L790"/>
    </row>
    <row r="791" spans="2:12" x14ac:dyDescent="0.35">
      <c r="B791" s="1953"/>
      <c r="C791" s="1953"/>
      <c r="D791" s="1953"/>
      <c r="E791" s="1953"/>
      <c r="F791" s="1953"/>
      <c r="G791" s="1953"/>
      <c r="H791" s="1953"/>
      <c r="I791"/>
      <c r="J791"/>
      <c r="K791"/>
      <c r="L791"/>
    </row>
    <row r="792" spans="2:12" x14ac:dyDescent="0.35">
      <c r="B792" s="1953"/>
      <c r="C792" s="1953"/>
      <c r="D792" s="1953"/>
      <c r="E792" s="1953"/>
      <c r="F792" s="1953"/>
      <c r="G792" s="1953"/>
      <c r="H792" s="1953"/>
      <c r="I792"/>
      <c r="J792"/>
      <c r="K792"/>
      <c r="L792"/>
    </row>
    <row r="793" spans="2:12" x14ac:dyDescent="0.35">
      <c r="B793" s="1953"/>
      <c r="C793" s="1953"/>
      <c r="D793" s="1953"/>
      <c r="E793" s="1953"/>
      <c r="F793" s="1953"/>
      <c r="G793" s="1953"/>
      <c r="H793" s="1953"/>
      <c r="I793"/>
      <c r="J793"/>
      <c r="K793"/>
      <c r="L793"/>
    </row>
    <row r="794" spans="2:12" x14ac:dyDescent="0.35">
      <c r="B794" s="1953"/>
      <c r="C794" s="1953"/>
      <c r="D794" s="1953"/>
      <c r="E794" s="1953"/>
      <c r="F794" s="1953"/>
      <c r="G794" s="1953"/>
      <c r="H794" s="1953"/>
      <c r="I794"/>
      <c r="J794"/>
      <c r="K794"/>
      <c r="L794"/>
    </row>
    <row r="795" spans="2:12" x14ac:dyDescent="0.35">
      <c r="B795" s="1953"/>
      <c r="C795" s="1953"/>
      <c r="D795" s="1953"/>
      <c r="E795" s="1953"/>
      <c r="F795" s="1953"/>
      <c r="G795" s="1953"/>
      <c r="H795" s="1953"/>
      <c r="I795"/>
      <c r="J795"/>
      <c r="K795"/>
      <c r="L795"/>
    </row>
    <row r="796" spans="2:12" x14ac:dyDescent="0.35">
      <c r="B796" s="1953"/>
      <c r="C796" s="1953"/>
      <c r="D796" s="1953"/>
      <c r="E796" s="1953"/>
      <c r="F796" s="1953"/>
      <c r="G796" s="1953"/>
      <c r="H796" s="1953"/>
      <c r="I796"/>
      <c r="J796"/>
      <c r="K796"/>
      <c r="L796"/>
    </row>
    <row r="797" spans="2:12" x14ac:dyDescent="0.35">
      <c r="B797" s="1953"/>
      <c r="C797" s="1953"/>
      <c r="D797" s="1953"/>
      <c r="E797" s="1953"/>
      <c r="F797" s="1953"/>
      <c r="G797" s="1953"/>
      <c r="H797" s="1953"/>
      <c r="I797"/>
      <c r="J797"/>
      <c r="K797"/>
      <c r="L797"/>
    </row>
    <row r="798" spans="2:12" x14ac:dyDescent="0.35">
      <c r="B798" s="1953"/>
      <c r="C798" s="1953"/>
      <c r="D798" s="1953"/>
      <c r="E798" s="1953"/>
      <c r="F798" s="1953"/>
      <c r="G798" s="1953"/>
      <c r="H798" s="1953"/>
      <c r="I798"/>
      <c r="J798"/>
      <c r="K798"/>
      <c r="L798"/>
    </row>
    <row r="799" spans="2:12" x14ac:dyDescent="0.35">
      <c r="B799" s="1953"/>
      <c r="C799" s="1953"/>
      <c r="D799" s="1953"/>
      <c r="E799" s="1953"/>
      <c r="F799" s="1953"/>
      <c r="G799" s="1953"/>
      <c r="H799" s="1953"/>
      <c r="I799"/>
      <c r="J799"/>
      <c r="K799"/>
      <c r="L799"/>
    </row>
    <row r="800" spans="2:12" x14ac:dyDescent="0.35">
      <c r="B800" s="1953"/>
      <c r="C800" s="1953"/>
      <c r="D800" s="1953"/>
      <c r="E800" s="1953"/>
      <c r="F800" s="1953"/>
      <c r="G800" s="1953"/>
      <c r="H800" s="1953"/>
      <c r="I800"/>
      <c r="J800"/>
      <c r="K800"/>
      <c r="L800"/>
    </row>
    <row r="801" spans="2:12" x14ac:dyDescent="0.35">
      <c r="B801" s="1953"/>
      <c r="C801" s="1953"/>
      <c r="D801" s="1953"/>
      <c r="E801" s="1953"/>
      <c r="F801" s="1953"/>
      <c r="G801" s="1953"/>
      <c r="H801" s="1953"/>
      <c r="I801"/>
      <c r="J801"/>
      <c r="K801"/>
      <c r="L801"/>
    </row>
    <row r="802" spans="2:12" x14ac:dyDescent="0.35">
      <c r="B802" s="1953"/>
      <c r="C802" s="1953"/>
      <c r="D802" s="1953"/>
      <c r="E802" s="1953"/>
      <c r="F802" s="1953"/>
      <c r="G802" s="1953"/>
      <c r="H802" s="1953"/>
      <c r="I802"/>
      <c r="J802"/>
      <c r="K802"/>
      <c r="L802"/>
    </row>
    <row r="803" spans="2:12" x14ac:dyDescent="0.35">
      <c r="B803" s="1953"/>
      <c r="C803" s="1953"/>
      <c r="D803" s="1953"/>
      <c r="E803" s="1953"/>
      <c r="F803" s="1953"/>
      <c r="G803" s="1953"/>
      <c r="H803" s="1953"/>
      <c r="I803"/>
      <c r="J803"/>
      <c r="K803"/>
      <c r="L803"/>
    </row>
    <row r="804" spans="2:12" x14ac:dyDescent="0.35">
      <c r="B804" s="1953"/>
      <c r="C804" s="1953"/>
      <c r="D804" s="1953"/>
      <c r="E804" s="1953"/>
      <c r="F804" s="1953"/>
      <c r="G804" s="1953"/>
      <c r="H804" s="1953"/>
      <c r="I804"/>
      <c r="J804"/>
      <c r="K804"/>
      <c r="L804"/>
    </row>
    <row r="805" spans="2:12" x14ac:dyDescent="0.35">
      <c r="B805" s="1953"/>
      <c r="C805" s="1953"/>
      <c r="D805" s="1953"/>
      <c r="E805" s="1953"/>
      <c r="F805" s="1953"/>
      <c r="G805" s="1953"/>
      <c r="H805" s="1953"/>
      <c r="I805"/>
      <c r="J805"/>
      <c r="K805"/>
      <c r="L805"/>
    </row>
    <row r="806" spans="2:12" x14ac:dyDescent="0.35">
      <c r="B806" s="1953"/>
      <c r="C806" s="1953"/>
      <c r="D806" s="1953"/>
      <c r="E806" s="1953"/>
      <c r="F806" s="1953"/>
      <c r="G806" s="1953"/>
      <c r="H806" s="1953"/>
      <c r="I806"/>
      <c r="J806"/>
      <c r="K806"/>
      <c r="L806"/>
    </row>
    <row r="807" spans="2:12" x14ac:dyDescent="0.35">
      <c r="B807" s="1953"/>
      <c r="C807" s="1953"/>
      <c r="D807" s="1953"/>
      <c r="E807" s="1953"/>
      <c r="F807" s="1953"/>
      <c r="G807" s="1953"/>
      <c r="H807" s="1953"/>
      <c r="I807"/>
      <c r="J807"/>
      <c r="K807"/>
      <c r="L807"/>
    </row>
    <row r="808" spans="2:12" x14ac:dyDescent="0.35">
      <c r="B808" s="1953"/>
      <c r="C808" s="1953"/>
      <c r="D808" s="1953"/>
      <c r="E808" s="1953"/>
      <c r="F808" s="1953"/>
      <c r="G808" s="1953"/>
      <c r="H808" s="1953"/>
      <c r="I808"/>
      <c r="J808"/>
      <c r="K808"/>
      <c r="L808"/>
    </row>
    <row r="809" spans="2:12" x14ac:dyDescent="0.35">
      <c r="B809" s="1953"/>
      <c r="C809" s="1953"/>
      <c r="D809" s="1953"/>
      <c r="E809" s="1953"/>
      <c r="F809" s="1953"/>
      <c r="G809" s="1953"/>
      <c r="H809" s="1953"/>
      <c r="I809"/>
      <c r="J809"/>
      <c r="K809"/>
      <c r="L809"/>
    </row>
    <row r="810" spans="2:12" x14ac:dyDescent="0.35">
      <c r="B810" s="1953"/>
      <c r="C810" s="1953"/>
      <c r="D810" s="1953"/>
      <c r="E810" s="1953"/>
      <c r="F810" s="1953"/>
      <c r="G810" s="1953"/>
      <c r="H810" s="1953"/>
      <c r="I810"/>
      <c r="J810"/>
      <c r="K810"/>
      <c r="L810"/>
    </row>
    <row r="811" spans="2:12" x14ac:dyDescent="0.35">
      <c r="B811" s="1953"/>
      <c r="C811" s="1953"/>
      <c r="D811" s="1953"/>
      <c r="E811" s="1953"/>
      <c r="F811" s="1953"/>
      <c r="G811" s="1953"/>
      <c r="H811" s="1953"/>
      <c r="I811"/>
      <c r="J811"/>
      <c r="K811"/>
      <c r="L811"/>
    </row>
    <row r="812" spans="2:12" x14ac:dyDescent="0.35">
      <c r="B812" s="1953"/>
      <c r="C812" s="1953"/>
      <c r="D812" s="1953"/>
      <c r="E812" s="1953"/>
      <c r="F812" s="1953"/>
      <c r="G812" s="1953"/>
      <c r="H812" s="1953"/>
      <c r="I812"/>
      <c r="J812"/>
      <c r="K812"/>
      <c r="L812"/>
    </row>
    <row r="813" spans="2:12" x14ac:dyDescent="0.35">
      <c r="B813" s="1953"/>
      <c r="C813" s="1953"/>
      <c r="D813" s="1953"/>
      <c r="E813" s="1953"/>
      <c r="F813" s="1953"/>
      <c r="G813" s="1953"/>
      <c r="H813" s="1953"/>
      <c r="I813"/>
      <c r="J813"/>
      <c r="K813"/>
      <c r="L813"/>
    </row>
    <row r="814" spans="2:12" x14ac:dyDescent="0.35">
      <c r="B814" s="1953"/>
      <c r="C814" s="1953"/>
      <c r="D814" s="1953"/>
      <c r="E814" s="1953"/>
      <c r="F814" s="1953"/>
      <c r="G814" s="1953"/>
      <c r="H814" s="1953"/>
      <c r="I814"/>
      <c r="J814"/>
      <c r="K814"/>
      <c r="L814"/>
    </row>
    <row r="815" spans="2:12" x14ac:dyDescent="0.35">
      <c r="B815" s="1953"/>
      <c r="C815" s="1953"/>
      <c r="D815" s="1953"/>
      <c r="E815" s="1953"/>
      <c r="F815" s="1953"/>
      <c r="G815" s="1953"/>
      <c r="H815" s="1953"/>
      <c r="I815"/>
      <c r="J815"/>
      <c r="K815"/>
      <c r="L815"/>
    </row>
    <row r="816" spans="2:12" x14ac:dyDescent="0.35">
      <c r="B816" s="1953"/>
      <c r="C816" s="1953"/>
      <c r="D816" s="1953"/>
      <c r="E816" s="1953"/>
      <c r="F816" s="1953"/>
      <c r="G816" s="1953"/>
      <c r="H816" s="1953"/>
      <c r="I816"/>
      <c r="J816"/>
      <c r="K816"/>
      <c r="L816"/>
    </row>
    <row r="817" spans="2:12" x14ac:dyDescent="0.35">
      <c r="B817" s="1953"/>
      <c r="C817" s="1953"/>
      <c r="D817" s="1953"/>
      <c r="E817" s="1953"/>
      <c r="F817" s="1953"/>
      <c r="G817" s="1953"/>
      <c r="H817" s="1953"/>
      <c r="I817"/>
      <c r="J817"/>
      <c r="K817"/>
      <c r="L817"/>
    </row>
    <row r="818" spans="2:12" x14ac:dyDescent="0.35">
      <c r="B818" s="1953"/>
      <c r="C818" s="1953"/>
      <c r="D818" s="1953"/>
      <c r="E818" s="1953"/>
      <c r="F818" s="1953"/>
      <c r="G818" s="1953"/>
      <c r="H818" s="1953"/>
      <c r="I818"/>
      <c r="J818"/>
      <c r="K818"/>
      <c r="L818"/>
    </row>
    <row r="819" spans="2:12" x14ac:dyDescent="0.35">
      <c r="B819" s="1953"/>
      <c r="C819" s="1953"/>
      <c r="D819" s="1953"/>
      <c r="E819" s="1953"/>
      <c r="F819" s="1953"/>
      <c r="G819" s="1953"/>
      <c r="H819" s="1953"/>
      <c r="I819"/>
      <c r="J819"/>
      <c r="K819"/>
      <c r="L819"/>
    </row>
    <row r="820" spans="2:12" x14ac:dyDescent="0.35">
      <c r="B820" s="1953"/>
      <c r="C820" s="1953"/>
      <c r="D820" s="1953"/>
      <c r="E820" s="1953"/>
      <c r="F820" s="1953"/>
      <c r="G820" s="1953"/>
      <c r="H820" s="1953"/>
      <c r="I820"/>
      <c r="J820"/>
      <c r="K820"/>
      <c r="L820"/>
    </row>
    <row r="821" spans="2:12" x14ac:dyDescent="0.35">
      <c r="B821" s="1953"/>
      <c r="C821" s="1953"/>
      <c r="D821" s="1953"/>
      <c r="E821" s="1953"/>
      <c r="F821" s="1953"/>
      <c r="G821" s="1953"/>
      <c r="H821" s="1953"/>
      <c r="I821"/>
      <c r="J821"/>
      <c r="K821"/>
      <c r="L821"/>
    </row>
    <row r="822" spans="2:12" x14ac:dyDescent="0.35">
      <c r="B822" s="1953"/>
      <c r="C822" s="1953"/>
      <c r="D822" s="1953"/>
      <c r="E822" s="1953"/>
      <c r="F822" s="1953"/>
      <c r="G822" s="1953"/>
      <c r="H822" s="1953"/>
      <c r="I822"/>
      <c r="J822"/>
      <c r="K822"/>
      <c r="L822"/>
    </row>
    <row r="823" spans="2:12" x14ac:dyDescent="0.35">
      <c r="B823" s="1953"/>
      <c r="C823" s="1953"/>
      <c r="D823" s="1953"/>
      <c r="E823" s="1953"/>
      <c r="F823" s="1953"/>
      <c r="G823" s="1953"/>
      <c r="H823" s="1953"/>
      <c r="I823"/>
      <c r="J823"/>
      <c r="K823"/>
      <c r="L823"/>
    </row>
    <row r="824" spans="2:12" x14ac:dyDescent="0.35">
      <c r="B824" s="1953"/>
      <c r="C824" s="1953"/>
      <c r="D824" s="1953"/>
      <c r="E824" s="1953"/>
      <c r="F824" s="1953"/>
      <c r="G824" s="1953"/>
      <c r="H824" s="1953"/>
      <c r="I824"/>
      <c r="J824"/>
      <c r="K824"/>
      <c r="L824"/>
    </row>
    <row r="825" spans="2:12" x14ac:dyDescent="0.35">
      <c r="B825" s="1953"/>
      <c r="C825" s="1953"/>
      <c r="D825" s="1953"/>
      <c r="E825" s="1953"/>
      <c r="F825" s="1953"/>
      <c r="G825" s="1953"/>
      <c r="H825" s="1953"/>
      <c r="I825"/>
      <c r="J825"/>
      <c r="K825"/>
      <c r="L825"/>
    </row>
    <row r="826" spans="2:12" x14ac:dyDescent="0.35">
      <c r="B826" s="1953"/>
      <c r="C826" s="1953"/>
      <c r="D826" s="1953"/>
      <c r="E826" s="1953"/>
      <c r="F826" s="1953"/>
      <c r="G826" s="1953"/>
      <c r="H826" s="1953"/>
      <c r="I826"/>
      <c r="J826"/>
      <c r="K826"/>
      <c r="L826"/>
    </row>
    <row r="827" spans="2:12" x14ac:dyDescent="0.35">
      <c r="B827" s="1953"/>
      <c r="C827" s="1953"/>
      <c r="D827" s="1953"/>
      <c r="E827" s="1953"/>
      <c r="F827" s="1953"/>
      <c r="G827" s="1953"/>
      <c r="H827" s="1953"/>
      <c r="I827"/>
      <c r="J827"/>
      <c r="K827"/>
      <c r="L827"/>
    </row>
    <row r="828" spans="2:12" x14ac:dyDescent="0.35">
      <c r="B828" s="1953"/>
      <c r="C828" s="1953"/>
      <c r="D828" s="1953"/>
      <c r="E828" s="1953"/>
      <c r="F828" s="1953"/>
      <c r="G828" s="1953"/>
      <c r="H828" s="1953"/>
      <c r="I828"/>
      <c r="J828"/>
      <c r="K828"/>
      <c r="L828"/>
    </row>
    <row r="829" spans="2:12" x14ac:dyDescent="0.35">
      <c r="B829" s="1953"/>
      <c r="C829" s="1953"/>
      <c r="D829" s="1953"/>
      <c r="E829" s="1953"/>
      <c r="F829" s="1953"/>
      <c r="G829" s="1953"/>
      <c r="H829" s="1953"/>
      <c r="I829"/>
      <c r="J829"/>
      <c r="K829"/>
      <c r="L829"/>
    </row>
    <row r="830" spans="2:12" x14ac:dyDescent="0.35">
      <c r="B830" s="1953"/>
      <c r="C830" s="1953"/>
      <c r="D830" s="1953"/>
      <c r="E830" s="1953"/>
      <c r="F830" s="1953"/>
      <c r="G830" s="1953"/>
      <c r="H830" s="1953"/>
      <c r="I830"/>
      <c r="J830"/>
      <c r="K830"/>
      <c r="L830"/>
    </row>
    <row r="831" spans="2:12" x14ac:dyDescent="0.35">
      <c r="B831" s="1953"/>
      <c r="C831" s="1953"/>
      <c r="D831" s="1953"/>
      <c r="E831" s="1953"/>
      <c r="F831" s="1953"/>
      <c r="G831" s="1953"/>
      <c r="H831" s="1953"/>
      <c r="I831"/>
      <c r="J831"/>
      <c r="K831"/>
      <c r="L831"/>
    </row>
    <row r="832" spans="2:12" x14ac:dyDescent="0.35">
      <c r="B832" s="1953"/>
      <c r="C832" s="1953"/>
      <c r="D832" s="1953"/>
      <c r="E832" s="1953"/>
      <c r="F832" s="1953"/>
      <c r="G832" s="1953"/>
      <c r="H832" s="1953"/>
      <c r="I832"/>
      <c r="J832"/>
      <c r="K832"/>
      <c r="L832"/>
    </row>
    <row r="833" spans="2:12" x14ac:dyDescent="0.35">
      <c r="B833" s="1953"/>
      <c r="C833" s="1953"/>
      <c r="D833" s="1953"/>
      <c r="E833" s="1953"/>
      <c r="F833" s="1953"/>
      <c r="G833" s="1953"/>
      <c r="H833" s="1953"/>
      <c r="I833"/>
      <c r="J833"/>
      <c r="K833"/>
      <c r="L833"/>
    </row>
    <row r="834" spans="2:12" x14ac:dyDescent="0.35">
      <c r="B834" s="1953"/>
      <c r="C834" s="1953"/>
      <c r="D834" s="1953"/>
      <c r="E834" s="1953"/>
      <c r="F834" s="1953"/>
      <c r="G834" s="1953"/>
      <c r="H834" s="1953"/>
      <c r="I834"/>
      <c r="J834"/>
      <c r="K834"/>
      <c r="L834"/>
    </row>
    <row r="835" spans="2:12" x14ac:dyDescent="0.35">
      <c r="B835" s="1953"/>
      <c r="C835" s="1953"/>
      <c r="D835" s="1953"/>
      <c r="E835" s="1953"/>
      <c r="F835" s="1953"/>
      <c r="G835" s="1953"/>
      <c r="H835" s="1953"/>
      <c r="I835"/>
      <c r="J835"/>
      <c r="K835"/>
      <c r="L835"/>
    </row>
    <row r="836" spans="2:12" x14ac:dyDescent="0.35">
      <c r="B836" s="1953"/>
      <c r="C836" s="1953"/>
      <c r="D836" s="1953"/>
      <c r="E836" s="1953"/>
      <c r="F836" s="1953"/>
      <c r="G836" s="1953"/>
      <c r="H836" s="1953"/>
      <c r="I836"/>
      <c r="J836"/>
      <c r="K836"/>
      <c r="L836"/>
    </row>
    <row r="837" spans="2:12" x14ac:dyDescent="0.35">
      <c r="B837" s="1953"/>
      <c r="C837" s="1953"/>
      <c r="D837" s="1953"/>
      <c r="E837" s="1953"/>
      <c r="F837" s="1953"/>
      <c r="G837" s="1953"/>
      <c r="H837" s="1953"/>
      <c r="I837"/>
      <c r="J837"/>
      <c r="K837"/>
      <c r="L837"/>
    </row>
    <row r="838" spans="2:12" x14ac:dyDescent="0.35">
      <c r="B838" s="1953"/>
      <c r="C838" s="1953"/>
      <c r="D838" s="1953"/>
      <c r="E838" s="1953"/>
      <c r="F838" s="1953"/>
      <c r="G838" s="1953"/>
      <c r="H838" s="1953"/>
      <c r="I838"/>
      <c r="J838"/>
      <c r="K838"/>
      <c r="L838"/>
    </row>
    <row r="839" spans="2:12" x14ac:dyDescent="0.35">
      <c r="B839" s="1953"/>
      <c r="C839" s="1953"/>
      <c r="D839" s="1953"/>
      <c r="E839" s="1953"/>
      <c r="F839" s="1953"/>
      <c r="G839" s="1953"/>
      <c r="H839" s="1953"/>
      <c r="I839"/>
      <c r="J839"/>
      <c r="K839"/>
      <c r="L839"/>
    </row>
    <row r="840" spans="2:12" x14ac:dyDescent="0.35">
      <c r="B840" s="1953"/>
      <c r="C840" s="1953"/>
      <c r="D840" s="1953"/>
      <c r="E840" s="1953"/>
      <c r="F840" s="1953"/>
      <c r="G840" s="1953"/>
      <c r="H840" s="1953"/>
      <c r="I840"/>
      <c r="J840"/>
      <c r="K840"/>
      <c r="L840"/>
    </row>
    <row r="841" spans="2:12" x14ac:dyDescent="0.35">
      <c r="B841" s="1953"/>
      <c r="C841" s="1953"/>
      <c r="D841" s="1953"/>
      <c r="E841" s="1953"/>
      <c r="F841" s="1953"/>
      <c r="G841" s="1953"/>
      <c r="H841" s="1953"/>
      <c r="I841"/>
      <c r="J841"/>
      <c r="K841"/>
      <c r="L841"/>
    </row>
    <row r="842" spans="2:12" x14ac:dyDescent="0.35">
      <c r="B842" s="1953"/>
      <c r="C842" s="1953"/>
      <c r="D842" s="1953"/>
      <c r="E842" s="1953"/>
      <c r="F842" s="1953"/>
      <c r="G842" s="1953"/>
      <c r="H842" s="1953"/>
      <c r="I842"/>
      <c r="J842"/>
      <c r="K842"/>
      <c r="L842"/>
    </row>
    <row r="843" spans="2:12" x14ac:dyDescent="0.35">
      <c r="B843" s="1953"/>
      <c r="C843" s="1953"/>
      <c r="D843" s="1953"/>
      <c r="E843" s="1953"/>
      <c r="F843" s="1953"/>
      <c r="G843" s="1953"/>
      <c r="H843" s="1953"/>
      <c r="I843"/>
      <c r="J843"/>
      <c r="K843"/>
      <c r="L843"/>
    </row>
    <row r="844" spans="2:12" x14ac:dyDescent="0.35">
      <c r="B844" s="1953"/>
      <c r="C844" s="1953"/>
      <c r="D844" s="1953"/>
      <c r="E844" s="1953"/>
      <c r="F844" s="1953"/>
      <c r="G844" s="1953"/>
      <c r="H844" s="1953"/>
      <c r="I844"/>
      <c r="J844"/>
      <c r="K844"/>
      <c r="L844"/>
    </row>
    <row r="845" spans="2:12" x14ac:dyDescent="0.35">
      <c r="B845" s="1953"/>
      <c r="C845" s="1953"/>
      <c r="D845" s="1953"/>
      <c r="E845" s="1953"/>
      <c r="F845" s="1953"/>
      <c r="G845" s="1953"/>
      <c r="H845" s="1953"/>
      <c r="I845"/>
      <c r="J845"/>
      <c r="K845"/>
      <c r="L845"/>
    </row>
    <row r="846" spans="2:12" x14ac:dyDescent="0.35">
      <c r="B846" s="1953"/>
      <c r="C846" s="1953"/>
      <c r="D846" s="1953"/>
      <c r="E846" s="1953"/>
      <c r="F846" s="1953"/>
      <c r="G846" s="1953"/>
      <c r="H846" s="1953"/>
      <c r="I846"/>
      <c r="J846"/>
      <c r="K846"/>
      <c r="L846"/>
    </row>
    <row r="847" spans="2:12" x14ac:dyDescent="0.35">
      <c r="B847" s="1953"/>
      <c r="C847" s="1953"/>
      <c r="D847" s="1953"/>
      <c r="E847" s="1953"/>
      <c r="F847" s="1953"/>
      <c r="G847" s="1953"/>
      <c r="H847" s="1953"/>
      <c r="I847"/>
      <c r="J847"/>
      <c r="K847"/>
      <c r="L847"/>
    </row>
    <row r="848" spans="2:12" x14ac:dyDescent="0.35">
      <c r="B848" s="1953"/>
      <c r="C848" s="1953"/>
      <c r="D848" s="1953"/>
      <c r="E848" s="1953"/>
      <c r="F848" s="1953"/>
      <c r="G848" s="1953"/>
      <c r="H848" s="1953"/>
      <c r="I848"/>
      <c r="J848"/>
      <c r="K848"/>
      <c r="L848"/>
    </row>
    <row r="849" spans="2:12" x14ac:dyDescent="0.35">
      <c r="B849" s="1953"/>
      <c r="C849" s="1953"/>
      <c r="D849" s="1953"/>
      <c r="E849" s="1953"/>
      <c r="F849" s="1953"/>
      <c r="G849" s="1953"/>
      <c r="H849" s="1953"/>
      <c r="I849"/>
      <c r="J849"/>
      <c r="K849"/>
      <c r="L849"/>
    </row>
    <row r="850" spans="2:12" x14ac:dyDescent="0.35">
      <c r="B850" s="1953"/>
      <c r="C850" s="1953"/>
      <c r="D850" s="1953"/>
      <c r="E850" s="1953"/>
      <c r="F850" s="1953"/>
      <c r="G850" s="1953"/>
      <c r="H850" s="1953"/>
      <c r="I850"/>
      <c r="J850"/>
      <c r="K850"/>
      <c r="L850"/>
    </row>
    <row r="851" spans="2:12" x14ac:dyDescent="0.35">
      <c r="B851" s="1953"/>
      <c r="C851" s="1953"/>
      <c r="D851" s="1953"/>
      <c r="E851" s="1953"/>
      <c r="F851" s="1953"/>
      <c r="G851" s="1953"/>
      <c r="H851" s="1953"/>
      <c r="I851"/>
      <c r="J851"/>
      <c r="K851"/>
      <c r="L851"/>
    </row>
    <row r="852" spans="2:12" x14ac:dyDescent="0.35">
      <c r="B852" s="1953"/>
      <c r="C852" s="1953"/>
      <c r="D852" s="1953"/>
      <c r="E852" s="1953"/>
      <c r="F852" s="1953"/>
      <c r="G852" s="1953"/>
      <c r="H852" s="1953"/>
      <c r="I852"/>
      <c r="J852"/>
      <c r="K852"/>
      <c r="L852"/>
    </row>
    <row r="853" spans="2:12" x14ac:dyDescent="0.35">
      <c r="B853" s="1953"/>
      <c r="C853" s="1953"/>
      <c r="D853" s="1953"/>
      <c r="E853" s="1953"/>
      <c r="F853" s="1953"/>
      <c r="G853" s="1953"/>
      <c r="H853" s="1953"/>
      <c r="I853"/>
      <c r="J853"/>
      <c r="K853"/>
      <c r="L853"/>
    </row>
    <row r="854" spans="2:12" x14ac:dyDescent="0.35">
      <c r="B854" s="1953"/>
      <c r="C854" s="1953"/>
      <c r="D854" s="1953"/>
      <c r="E854" s="1953"/>
      <c r="F854" s="1953"/>
      <c r="G854" s="1953"/>
      <c r="H854" s="1953"/>
      <c r="I854"/>
      <c r="J854"/>
      <c r="K854"/>
      <c r="L854"/>
    </row>
    <row r="855" spans="2:12" x14ac:dyDescent="0.35">
      <c r="B855" s="1953"/>
      <c r="C855" s="1953"/>
      <c r="D855" s="1953"/>
      <c r="E855" s="1953"/>
      <c r="F855" s="1953"/>
      <c r="G855" s="1953"/>
      <c r="H855" s="1953"/>
      <c r="I855"/>
      <c r="J855"/>
      <c r="K855"/>
      <c r="L855"/>
    </row>
    <row r="856" spans="2:12" x14ac:dyDescent="0.35">
      <c r="B856" s="1953"/>
      <c r="C856" s="1953"/>
      <c r="D856" s="1953"/>
      <c r="E856" s="1953"/>
      <c r="F856" s="1953"/>
      <c r="G856" s="1953"/>
      <c r="H856" s="1953"/>
      <c r="I856"/>
      <c r="J856"/>
      <c r="K856"/>
      <c r="L856"/>
    </row>
    <row r="857" spans="2:12" x14ac:dyDescent="0.35">
      <c r="B857" s="1953"/>
      <c r="C857" s="1953"/>
      <c r="D857" s="1953"/>
      <c r="E857" s="1953"/>
      <c r="F857" s="1953"/>
      <c r="G857" s="1953"/>
      <c r="H857" s="1953"/>
      <c r="I857"/>
      <c r="J857"/>
      <c r="K857"/>
      <c r="L857"/>
    </row>
    <row r="858" spans="2:12" x14ac:dyDescent="0.35">
      <c r="B858" s="1953"/>
      <c r="C858" s="1953"/>
      <c r="D858" s="1953"/>
      <c r="E858" s="1953"/>
      <c r="F858" s="1953"/>
      <c r="G858" s="1953"/>
      <c r="H858" s="1953"/>
      <c r="I858"/>
      <c r="J858"/>
      <c r="K858"/>
      <c r="L858"/>
    </row>
    <row r="859" spans="2:12" x14ac:dyDescent="0.35">
      <c r="B859" s="1953"/>
      <c r="C859" s="1953"/>
      <c r="D859" s="1953"/>
      <c r="E859" s="1953"/>
      <c r="F859" s="1953"/>
      <c r="G859" s="1953"/>
      <c r="H859" s="1953"/>
      <c r="I859"/>
      <c r="J859"/>
      <c r="K859"/>
      <c r="L859"/>
    </row>
    <row r="860" spans="2:12" x14ac:dyDescent="0.35">
      <c r="B860" s="1953"/>
      <c r="C860" s="1953"/>
      <c r="D860" s="1953"/>
      <c r="E860" s="1953"/>
      <c r="F860" s="1953"/>
      <c r="G860" s="1953"/>
      <c r="H860" s="1953"/>
      <c r="I860"/>
      <c r="J860"/>
      <c r="K860"/>
      <c r="L860"/>
    </row>
    <row r="861" spans="2:12" x14ac:dyDescent="0.35">
      <c r="B861" s="1953"/>
      <c r="C861" s="1953"/>
      <c r="D861" s="1953"/>
      <c r="E861" s="1953"/>
      <c r="F861" s="1953"/>
      <c r="G861" s="1953"/>
      <c r="H861" s="1953"/>
      <c r="I861"/>
      <c r="J861"/>
      <c r="K861"/>
      <c r="L861"/>
    </row>
    <row r="862" spans="2:12" x14ac:dyDescent="0.35">
      <c r="B862" s="1953"/>
      <c r="C862" s="1953"/>
      <c r="D862" s="1953"/>
      <c r="E862" s="1953"/>
      <c r="F862" s="1953"/>
      <c r="G862" s="1953"/>
      <c r="H862" s="1953"/>
      <c r="I862"/>
      <c r="J862"/>
      <c r="K862"/>
      <c r="L862"/>
    </row>
    <row r="863" spans="2:12" x14ac:dyDescent="0.35">
      <c r="B863" s="1953"/>
      <c r="C863" s="1953"/>
      <c r="D863" s="1953"/>
      <c r="E863" s="1953"/>
      <c r="F863" s="1953"/>
      <c r="G863" s="1953"/>
      <c r="H863" s="1953"/>
      <c r="I863"/>
      <c r="J863"/>
      <c r="K863"/>
      <c r="L863"/>
    </row>
    <row r="864" spans="2:12" x14ac:dyDescent="0.35">
      <c r="B864" s="1953"/>
      <c r="C864" s="1953"/>
      <c r="D864" s="1953"/>
      <c r="E864" s="1953"/>
      <c r="F864" s="1953"/>
      <c r="G864" s="1953"/>
      <c r="H864" s="1953"/>
      <c r="I864"/>
      <c r="J864"/>
      <c r="K864"/>
      <c r="L864"/>
    </row>
    <row r="865" spans="2:12" x14ac:dyDescent="0.35">
      <c r="B865" s="1953"/>
      <c r="C865" s="1953"/>
      <c r="D865" s="1953"/>
      <c r="E865" s="1953"/>
      <c r="F865" s="1953"/>
      <c r="G865" s="1953"/>
      <c r="H865" s="1953"/>
      <c r="I865"/>
      <c r="J865"/>
      <c r="K865"/>
      <c r="L865"/>
    </row>
    <row r="866" spans="2:12" x14ac:dyDescent="0.35">
      <c r="B866" s="1953"/>
      <c r="C866" s="1953"/>
      <c r="D866" s="1953"/>
      <c r="E866" s="1953"/>
      <c r="F866" s="1953"/>
      <c r="G866" s="1953"/>
      <c r="H866" s="1953"/>
      <c r="I866"/>
      <c r="J866"/>
      <c r="K866"/>
      <c r="L866"/>
    </row>
    <row r="867" spans="2:12" x14ac:dyDescent="0.35">
      <c r="B867" s="1953"/>
      <c r="C867" s="1953"/>
      <c r="D867" s="1953"/>
      <c r="E867" s="1953"/>
      <c r="F867" s="1953"/>
      <c r="G867" s="1953"/>
      <c r="H867" s="1953"/>
      <c r="I867"/>
      <c r="J867"/>
      <c r="K867"/>
      <c r="L867"/>
    </row>
    <row r="868" spans="2:12" x14ac:dyDescent="0.35">
      <c r="B868" s="1953"/>
      <c r="C868" s="1953"/>
      <c r="D868" s="1953"/>
      <c r="E868" s="1953"/>
      <c r="F868" s="1953"/>
      <c r="G868" s="1953"/>
      <c r="H868" s="1953"/>
      <c r="I868"/>
      <c r="J868"/>
      <c r="K868"/>
      <c r="L868"/>
    </row>
    <row r="869" spans="2:12" x14ac:dyDescent="0.35">
      <c r="B869" s="1953"/>
      <c r="C869" s="1953"/>
      <c r="D869" s="1953"/>
      <c r="E869" s="1953"/>
      <c r="F869" s="1953"/>
      <c r="G869" s="1953"/>
      <c r="H869" s="1953"/>
      <c r="I869"/>
      <c r="J869"/>
      <c r="K869"/>
      <c r="L869"/>
    </row>
    <row r="870" spans="2:12" x14ac:dyDescent="0.35">
      <c r="B870" s="1953"/>
      <c r="C870" s="1953"/>
      <c r="D870" s="1953"/>
      <c r="E870" s="1953"/>
      <c r="F870" s="1953"/>
      <c r="G870" s="1953"/>
      <c r="H870" s="1953"/>
      <c r="I870"/>
      <c r="J870"/>
      <c r="K870"/>
      <c r="L870"/>
    </row>
    <row r="871" spans="2:12" x14ac:dyDescent="0.35">
      <c r="B871" s="1953"/>
      <c r="C871" s="1953"/>
      <c r="D871" s="1953"/>
      <c r="E871" s="1953"/>
      <c r="F871" s="1953"/>
      <c r="G871" s="1953"/>
      <c r="H871" s="1953"/>
      <c r="I871"/>
      <c r="J871"/>
      <c r="K871"/>
      <c r="L871"/>
    </row>
    <row r="872" spans="2:12" x14ac:dyDescent="0.35">
      <c r="B872" s="1953"/>
      <c r="C872" s="1953"/>
      <c r="D872" s="1953"/>
      <c r="E872" s="1953"/>
      <c r="F872" s="1953"/>
      <c r="G872" s="1953"/>
      <c r="H872" s="1953"/>
      <c r="I872"/>
      <c r="J872"/>
      <c r="K872"/>
      <c r="L872"/>
    </row>
    <row r="873" spans="2:12" x14ac:dyDescent="0.35">
      <c r="B873" s="1953"/>
      <c r="C873" s="1953"/>
      <c r="D873" s="1953"/>
      <c r="E873" s="1953"/>
      <c r="F873" s="1953"/>
      <c r="G873" s="1953"/>
      <c r="H873" s="1953"/>
      <c r="I873"/>
      <c r="J873"/>
      <c r="K873"/>
      <c r="L873"/>
    </row>
    <row r="874" spans="2:12" x14ac:dyDescent="0.35">
      <c r="B874" s="1953"/>
      <c r="C874" s="1953"/>
      <c r="D874" s="1953"/>
      <c r="E874" s="1953"/>
      <c r="F874" s="1953"/>
      <c r="G874" s="1953"/>
      <c r="H874" s="1953"/>
      <c r="I874"/>
      <c r="J874"/>
      <c r="K874"/>
      <c r="L874"/>
    </row>
    <row r="875" spans="2:12" x14ac:dyDescent="0.35">
      <c r="B875" s="1953"/>
      <c r="C875" s="1953"/>
      <c r="D875" s="1953"/>
      <c r="E875" s="1953"/>
      <c r="F875" s="1953"/>
      <c r="G875" s="1953"/>
      <c r="H875" s="1953"/>
      <c r="I875"/>
      <c r="J875"/>
      <c r="K875"/>
      <c r="L875"/>
    </row>
    <row r="876" spans="2:12" x14ac:dyDescent="0.35">
      <c r="B876" s="1953"/>
      <c r="C876" s="1953"/>
      <c r="D876" s="1953"/>
      <c r="E876" s="1953"/>
      <c r="F876" s="1953"/>
      <c r="G876" s="1953"/>
      <c r="H876" s="1953"/>
      <c r="I876"/>
      <c r="J876"/>
      <c r="K876"/>
      <c r="L876"/>
    </row>
    <row r="877" spans="2:12" x14ac:dyDescent="0.35">
      <c r="B877" s="1953"/>
      <c r="C877" s="1953"/>
      <c r="D877" s="1953"/>
      <c r="E877" s="1953"/>
      <c r="F877" s="1953"/>
      <c r="G877" s="1953"/>
      <c r="H877" s="1953"/>
      <c r="I877"/>
      <c r="J877"/>
      <c r="K877"/>
      <c r="L877"/>
    </row>
    <row r="878" spans="2:12" x14ac:dyDescent="0.35">
      <c r="B878" s="1953"/>
      <c r="C878" s="1953"/>
      <c r="D878" s="1953"/>
      <c r="E878" s="1953"/>
      <c r="F878" s="1953"/>
      <c r="G878" s="1953"/>
      <c r="H878" s="1953"/>
      <c r="I878"/>
      <c r="J878"/>
      <c r="K878"/>
      <c r="L878"/>
    </row>
    <row r="879" spans="2:12" x14ac:dyDescent="0.35">
      <c r="B879" s="1953"/>
      <c r="C879" s="1953"/>
      <c r="D879" s="1953"/>
      <c r="E879" s="1953"/>
      <c r="F879" s="1953"/>
      <c r="G879" s="1953"/>
      <c r="H879" s="1953"/>
      <c r="I879"/>
      <c r="J879"/>
      <c r="K879"/>
      <c r="L879"/>
    </row>
    <row r="880" spans="2:12" x14ac:dyDescent="0.35">
      <c r="B880" s="1953"/>
      <c r="C880" s="1953"/>
      <c r="D880" s="1953"/>
      <c r="E880" s="1953"/>
      <c r="F880" s="1953"/>
      <c r="G880" s="1953"/>
      <c r="H880" s="1953"/>
      <c r="I880"/>
      <c r="J880"/>
      <c r="K880"/>
      <c r="L880"/>
    </row>
    <row r="881" spans="2:12" x14ac:dyDescent="0.35">
      <c r="B881" s="1953"/>
      <c r="C881" s="1953"/>
      <c r="D881" s="1953"/>
      <c r="E881" s="1953"/>
      <c r="F881" s="1953"/>
      <c r="G881" s="1953"/>
      <c r="H881" s="1953"/>
      <c r="I881"/>
      <c r="J881"/>
      <c r="K881"/>
      <c r="L881"/>
    </row>
    <row r="882" spans="2:12" x14ac:dyDescent="0.35">
      <c r="B882" s="1953"/>
      <c r="C882" s="1953"/>
      <c r="D882" s="1953"/>
      <c r="E882" s="1953"/>
      <c r="F882" s="1953"/>
      <c r="G882" s="1953"/>
      <c r="H882" s="1953"/>
      <c r="I882"/>
      <c r="J882"/>
      <c r="K882"/>
      <c r="L882"/>
    </row>
    <row r="883" spans="2:12" x14ac:dyDescent="0.35">
      <c r="B883" s="1953"/>
      <c r="C883" s="1953"/>
      <c r="D883" s="1953"/>
      <c r="E883" s="1953"/>
      <c r="F883" s="1953"/>
      <c r="G883" s="1953"/>
      <c r="H883" s="1953"/>
      <c r="I883"/>
      <c r="J883"/>
      <c r="K883"/>
      <c r="L883"/>
    </row>
    <row r="884" spans="2:12" x14ac:dyDescent="0.35">
      <c r="B884" s="1953"/>
      <c r="C884" s="1953"/>
      <c r="D884" s="1953"/>
      <c r="E884" s="1953"/>
      <c r="F884" s="1953"/>
      <c r="G884" s="1953"/>
      <c r="H884" s="1953"/>
      <c r="I884"/>
      <c r="J884"/>
      <c r="K884"/>
      <c r="L884"/>
    </row>
    <row r="885" spans="2:12" x14ac:dyDescent="0.35">
      <c r="B885" s="1953"/>
      <c r="C885" s="1953"/>
      <c r="D885" s="1953"/>
      <c r="E885" s="1953"/>
      <c r="F885" s="1953"/>
      <c r="G885" s="1953"/>
      <c r="H885" s="1953"/>
      <c r="I885"/>
      <c r="J885"/>
      <c r="K885"/>
      <c r="L885"/>
    </row>
    <row r="886" spans="2:12" x14ac:dyDescent="0.35">
      <c r="B886" s="1953"/>
      <c r="C886" s="1953"/>
      <c r="D886" s="1953"/>
      <c r="E886" s="1953"/>
      <c r="F886" s="1953"/>
      <c r="G886" s="1953"/>
      <c r="H886" s="1953"/>
      <c r="I886"/>
      <c r="J886"/>
      <c r="K886"/>
      <c r="L886"/>
    </row>
    <row r="887" spans="2:12" x14ac:dyDescent="0.35">
      <c r="B887" s="1953"/>
      <c r="C887" s="1953"/>
      <c r="D887" s="1953"/>
      <c r="E887" s="1953"/>
      <c r="F887" s="1953"/>
      <c r="G887" s="1953"/>
      <c r="H887" s="1953"/>
      <c r="I887"/>
      <c r="J887"/>
      <c r="K887"/>
      <c r="L887"/>
    </row>
    <row r="888" spans="2:12" x14ac:dyDescent="0.35">
      <c r="B888" s="1953"/>
      <c r="C888" s="1953"/>
      <c r="D888" s="1953"/>
      <c r="E888" s="1953"/>
      <c r="F888" s="1953"/>
      <c r="G888" s="1953"/>
      <c r="H888" s="1953"/>
      <c r="I888"/>
      <c r="J888"/>
      <c r="K888"/>
      <c r="L888"/>
    </row>
    <row r="889" spans="2:12" x14ac:dyDescent="0.35">
      <c r="B889" s="1953"/>
      <c r="C889" s="1953"/>
      <c r="D889" s="1953"/>
      <c r="E889" s="1953"/>
      <c r="F889" s="1953"/>
      <c r="G889" s="1953"/>
      <c r="H889" s="1953"/>
      <c r="I889"/>
      <c r="J889"/>
      <c r="K889"/>
      <c r="L889"/>
    </row>
    <row r="890" spans="2:12" x14ac:dyDescent="0.35">
      <c r="B890" s="1953"/>
      <c r="C890" s="1953"/>
      <c r="D890" s="1953"/>
      <c r="E890" s="1953"/>
      <c r="F890" s="1953"/>
      <c r="G890" s="1953"/>
      <c r="H890" s="1953"/>
      <c r="I890"/>
      <c r="J890"/>
      <c r="K890"/>
      <c r="L890"/>
    </row>
    <row r="891" spans="2:12" x14ac:dyDescent="0.35">
      <c r="B891" s="1953"/>
      <c r="C891" s="1953"/>
      <c r="D891" s="1953"/>
      <c r="E891" s="1953"/>
      <c r="F891" s="1953"/>
      <c r="G891" s="1953"/>
      <c r="H891" s="1953"/>
      <c r="I891"/>
      <c r="J891"/>
      <c r="K891"/>
      <c r="L891"/>
    </row>
    <row r="892" spans="2:12" x14ac:dyDescent="0.35">
      <c r="B892" s="1953"/>
      <c r="C892" s="1953"/>
      <c r="D892" s="1953"/>
      <c r="E892" s="1953"/>
      <c r="F892" s="1953"/>
      <c r="G892" s="1953"/>
      <c r="H892" s="1953"/>
      <c r="I892"/>
      <c r="J892"/>
      <c r="K892"/>
      <c r="L892"/>
    </row>
    <row r="893" spans="2:12" x14ac:dyDescent="0.35">
      <c r="B893" s="1953"/>
      <c r="C893" s="1953"/>
      <c r="D893" s="1953"/>
      <c r="E893" s="1953"/>
      <c r="F893" s="1953"/>
      <c r="G893" s="1953"/>
      <c r="H893" s="1953"/>
      <c r="I893"/>
      <c r="J893"/>
      <c r="K893"/>
      <c r="L893"/>
    </row>
    <row r="894" spans="2:12" x14ac:dyDescent="0.35">
      <c r="B894" s="1953"/>
      <c r="C894" s="1953"/>
      <c r="D894" s="1953"/>
      <c r="E894" s="1953"/>
      <c r="F894" s="1953"/>
      <c r="G894" s="1953"/>
      <c r="H894" s="1953"/>
      <c r="I894"/>
      <c r="J894"/>
      <c r="K894"/>
      <c r="L894"/>
    </row>
    <row r="895" spans="2:12" x14ac:dyDescent="0.35">
      <c r="B895" s="1953"/>
      <c r="C895" s="1953"/>
      <c r="D895" s="1953"/>
      <c r="E895" s="1953"/>
      <c r="F895" s="1953"/>
      <c r="G895" s="1953"/>
      <c r="H895" s="1953"/>
      <c r="I895"/>
      <c r="J895"/>
      <c r="K895"/>
      <c r="L895"/>
    </row>
    <row r="896" spans="2:12" x14ac:dyDescent="0.35">
      <c r="B896" s="1953"/>
      <c r="C896" s="1953"/>
      <c r="D896" s="1953"/>
      <c r="E896" s="1953"/>
      <c r="F896" s="1953"/>
      <c r="G896" s="1953"/>
      <c r="H896" s="1953"/>
      <c r="I896"/>
      <c r="J896"/>
      <c r="K896"/>
      <c r="L896"/>
    </row>
    <row r="897" spans="2:12" x14ac:dyDescent="0.35">
      <c r="B897" s="1953"/>
      <c r="C897" s="1953"/>
      <c r="D897" s="1953"/>
      <c r="E897" s="1953"/>
      <c r="F897" s="1953"/>
      <c r="G897" s="1953"/>
      <c r="H897" s="1953"/>
      <c r="I897"/>
      <c r="J897"/>
      <c r="K897"/>
      <c r="L897"/>
    </row>
    <row r="898" spans="2:12" x14ac:dyDescent="0.35">
      <c r="B898" s="1953"/>
      <c r="C898" s="1953"/>
      <c r="D898" s="1953"/>
      <c r="E898" s="1953"/>
      <c r="F898" s="1953"/>
      <c r="G898" s="1953"/>
      <c r="H898" s="1953"/>
      <c r="I898"/>
      <c r="J898"/>
      <c r="K898"/>
      <c r="L898"/>
    </row>
    <row r="899" spans="2:12" x14ac:dyDescent="0.35">
      <c r="B899" s="1953"/>
      <c r="C899" s="1953"/>
      <c r="D899" s="1953"/>
      <c r="E899" s="1953"/>
      <c r="F899" s="1953"/>
      <c r="G899" s="1953"/>
      <c r="H899" s="1953"/>
      <c r="I899"/>
      <c r="J899"/>
      <c r="K899"/>
      <c r="L899"/>
    </row>
    <row r="900" spans="2:12" x14ac:dyDescent="0.35">
      <c r="B900" s="1953"/>
      <c r="C900" s="1953"/>
      <c r="D900" s="1953"/>
      <c r="E900" s="1953"/>
      <c r="F900" s="1953"/>
      <c r="G900" s="1953"/>
      <c r="H900" s="1953"/>
      <c r="I900"/>
      <c r="J900"/>
      <c r="K900"/>
      <c r="L900"/>
    </row>
    <row r="901" spans="2:12" x14ac:dyDescent="0.35">
      <c r="B901" s="1953"/>
      <c r="C901" s="1953"/>
      <c r="D901" s="1953"/>
      <c r="E901" s="1953"/>
      <c r="F901" s="1953"/>
      <c r="G901" s="1953"/>
      <c r="H901" s="1953"/>
      <c r="I901"/>
      <c r="J901"/>
      <c r="K901"/>
      <c r="L901"/>
    </row>
    <row r="902" spans="2:12" x14ac:dyDescent="0.35">
      <c r="B902" s="1953"/>
      <c r="C902" s="1953"/>
      <c r="D902" s="1953"/>
      <c r="E902" s="1953"/>
      <c r="F902" s="1953"/>
      <c r="G902" s="1953"/>
      <c r="H902" s="1953"/>
      <c r="I902"/>
      <c r="J902"/>
      <c r="K902"/>
      <c r="L902"/>
    </row>
    <row r="903" spans="2:12" x14ac:dyDescent="0.35">
      <c r="B903" s="1953"/>
      <c r="C903" s="1953"/>
      <c r="D903" s="1953"/>
      <c r="E903" s="1953"/>
      <c r="F903" s="1953"/>
      <c r="G903" s="1953"/>
      <c r="H903" s="1953"/>
      <c r="I903"/>
      <c r="J903"/>
      <c r="K903"/>
      <c r="L903"/>
    </row>
    <row r="904" spans="2:12" x14ac:dyDescent="0.35">
      <c r="B904" s="1953"/>
      <c r="C904" s="1953"/>
      <c r="D904" s="1953"/>
      <c r="E904" s="1953"/>
      <c r="F904" s="1953"/>
      <c r="G904" s="1953"/>
      <c r="H904" s="1953"/>
      <c r="I904"/>
      <c r="J904"/>
      <c r="K904"/>
      <c r="L904"/>
    </row>
    <row r="905" spans="2:12" x14ac:dyDescent="0.35">
      <c r="B905" s="1953"/>
      <c r="C905" s="1953"/>
      <c r="D905" s="1953"/>
      <c r="E905" s="1953"/>
      <c r="F905" s="1953"/>
      <c r="G905" s="1953"/>
      <c r="H905" s="1953"/>
      <c r="I905"/>
      <c r="J905"/>
      <c r="K905"/>
      <c r="L905"/>
    </row>
    <row r="906" spans="2:12" x14ac:dyDescent="0.35">
      <c r="B906" s="1953"/>
      <c r="C906" s="1953"/>
      <c r="D906" s="1953"/>
      <c r="E906" s="1953"/>
      <c r="F906" s="1953"/>
      <c r="G906" s="1953"/>
      <c r="H906" s="1953"/>
      <c r="I906"/>
      <c r="J906"/>
      <c r="K906"/>
      <c r="L906"/>
    </row>
    <row r="907" spans="2:12" x14ac:dyDescent="0.35">
      <c r="B907" s="1953"/>
      <c r="C907" s="1953"/>
      <c r="D907" s="1953"/>
      <c r="E907" s="1953"/>
      <c r="F907" s="1953"/>
      <c r="G907" s="1953"/>
      <c r="H907" s="1953"/>
      <c r="I907"/>
      <c r="J907"/>
      <c r="K907"/>
      <c r="L907"/>
    </row>
    <row r="908" spans="2:12" x14ac:dyDescent="0.35">
      <c r="B908" s="1953"/>
      <c r="C908" s="1953"/>
      <c r="D908" s="1953"/>
      <c r="E908" s="1953"/>
      <c r="F908" s="1953"/>
      <c r="G908" s="1953"/>
      <c r="H908" s="1953"/>
      <c r="I908"/>
      <c r="J908"/>
      <c r="K908"/>
      <c r="L908"/>
    </row>
    <row r="909" spans="2:12" x14ac:dyDescent="0.35">
      <c r="B909" s="1953"/>
      <c r="C909" s="1953"/>
      <c r="D909" s="1953"/>
      <c r="E909" s="1953"/>
      <c r="F909" s="1953"/>
      <c r="G909" s="1953"/>
      <c r="H909" s="1953"/>
      <c r="I909"/>
      <c r="J909"/>
      <c r="K909"/>
      <c r="L909"/>
    </row>
    <row r="910" spans="2:12" x14ac:dyDescent="0.35">
      <c r="B910" s="1953"/>
      <c r="C910" s="1953"/>
      <c r="D910" s="1953"/>
      <c r="E910" s="1953"/>
      <c r="F910" s="1953"/>
      <c r="G910" s="1953"/>
      <c r="H910" s="1953"/>
      <c r="I910"/>
      <c r="J910"/>
      <c r="K910"/>
      <c r="L910"/>
    </row>
    <row r="911" spans="2:12" x14ac:dyDescent="0.35">
      <c r="B911" s="1953"/>
      <c r="C911" s="1953"/>
      <c r="D911" s="1953"/>
      <c r="E911" s="1953"/>
      <c r="F911" s="1953"/>
      <c r="G911" s="1953"/>
      <c r="H911" s="1953"/>
      <c r="I911"/>
      <c r="J911"/>
      <c r="K911"/>
      <c r="L911"/>
    </row>
    <row r="912" spans="2:12" x14ac:dyDescent="0.35">
      <c r="B912" s="1953"/>
      <c r="C912" s="1953"/>
      <c r="D912" s="1953"/>
      <c r="E912" s="1953"/>
      <c r="F912" s="1953"/>
      <c r="G912" s="1953"/>
      <c r="H912" s="1953"/>
      <c r="I912"/>
      <c r="J912"/>
      <c r="K912"/>
      <c r="L912"/>
    </row>
    <row r="913" spans="2:12" x14ac:dyDescent="0.35">
      <c r="B913" s="1953"/>
      <c r="C913" s="1953"/>
      <c r="D913" s="1953"/>
      <c r="E913" s="1953"/>
      <c r="F913" s="1953"/>
      <c r="G913" s="1953"/>
      <c r="H913" s="1953"/>
      <c r="I913"/>
      <c r="J913"/>
      <c r="K913"/>
      <c r="L913"/>
    </row>
    <row r="914" spans="2:12" x14ac:dyDescent="0.35">
      <c r="B914" s="1953"/>
      <c r="C914" s="1953"/>
      <c r="D914" s="1953"/>
      <c r="E914" s="1953"/>
      <c r="F914" s="1953"/>
      <c r="G914" s="1953"/>
      <c r="H914" s="1953"/>
      <c r="I914"/>
      <c r="J914"/>
      <c r="K914"/>
      <c r="L914"/>
    </row>
    <row r="915" spans="2:12" x14ac:dyDescent="0.35">
      <c r="B915" s="1953"/>
      <c r="C915" s="1953"/>
      <c r="D915" s="1953"/>
      <c r="E915" s="1953"/>
      <c r="F915" s="1953"/>
      <c r="G915" s="1953"/>
      <c r="H915" s="1953"/>
      <c r="I915"/>
      <c r="J915"/>
      <c r="K915"/>
      <c r="L915"/>
    </row>
    <row r="916" spans="2:12" x14ac:dyDescent="0.35">
      <c r="B916" s="1953"/>
      <c r="C916" s="1953"/>
      <c r="D916" s="1953"/>
      <c r="E916" s="1953"/>
      <c r="F916" s="1953"/>
      <c r="G916" s="1953"/>
      <c r="H916" s="1953"/>
      <c r="I916"/>
      <c r="J916"/>
      <c r="K916"/>
      <c r="L916"/>
    </row>
    <row r="917" spans="2:12" x14ac:dyDescent="0.35">
      <c r="B917" s="1953"/>
      <c r="C917" s="1953"/>
      <c r="D917" s="1953"/>
      <c r="E917" s="1953"/>
      <c r="F917" s="1953"/>
      <c r="G917" s="1953"/>
      <c r="H917" s="1953"/>
      <c r="I917"/>
      <c r="J917"/>
      <c r="K917"/>
      <c r="L917"/>
    </row>
    <row r="918" spans="2:12" x14ac:dyDescent="0.35">
      <c r="B918" s="1953"/>
      <c r="C918" s="1953"/>
      <c r="D918" s="1953"/>
      <c r="E918" s="1953"/>
      <c r="F918" s="1953"/>
      <c r="G918" s="1953"/>
      <c r="H918" s="1953"/>
      <c r="I918"/>
      <c r="J918"/>
      <c r="K918"/>
      <c r="L918"/>
    </row>
    <row r="919" spans="2:12" x14ac:dyDescent="0.35">
      <c r="B919" s="1953"/>
      <c r="C919" s="1953"/>
      <c r="D919" s="1953"/>
      <c r="E919" s="1953"/>
      <c r="F919" s="1953"/>
      <c r="G919" s="1953"/>
      <c r="H919" s="1953"/>
      <c r="I919"/>
      <c r="J919"/>
      <c r="K919"/>
      <c r="L919"/>
    </row>
    <row r="920" spans="2:12" x14ac:dyDescent="0.35">
      <c r="B920" s="1953"/>
      <c r="C920" s="1953"/>
      <c r="D920" s="1953"/>
      <c r="E920" s="1953"/>
      <c r="F920" s="1953"/>
      <c r="G920" s="1953"/>
      <c r="H920" s="1953"/>
      <c r="I920"/>
      <c r="J920"/>
      <c r="K920"/>
      <c r="L920"/>
    </row>
    <row r="921" spans="2:12" x14ac:dyDescent="0.35">
      <c r="B921" s="1953"/>
      <c r="C921" s="1953"/>
      <c r="D921" s="1953"/>
      <c r="E921" s="1953"/>
      <c r="F921" s="1953"/>
      <c r="G921" s="1953"/>
      <c r="H921" s="1953"/>
      <c r="I921"/>
      <c r="J921"/>
      <c r="K921"/>
      <c r="L921"/>
    </row>
    <row r="922" spans="2:12" x14ac:dyDescent="0.35">
      <c r="B922" s="1953"/>
      <c r="C922" s="1953"/>
      <c r="D922" s="1953"/>
      <c r="E922" s="1953"/>
      <c r="F922" s="1953"/>
      <c r="G922" s="1953"/>
      <c r="H922" s="1953"/>
      <c r="I922"/>
      <c r="J922"/>
      <c r="K922"/>
      <c r="L922"/>
    </row>
    <row r="923" spans="2:12" x14ac:dyDescent="0.35">
      <c r="B923" s="1953"/>
      <c r="C923" s="1953"/>
      <c r="D923" s="1953"/>
      <c r="E923" s="1953"/>
      <c r="F923" s="1953"/>
      <c r="G923" s="1953"/>
      <c r="H923" s="1953"/>
      <c r="I923"/>
      <c r="J923"/>
      <c r="K923"/>
      <c r="L923"/>
    </row>
    <row r="924" spans="2:12" x14ac:dyDescent="0.35">
      <c r="B924" s="1953"/>
      <c r="C924" s="1953"/>
      <c r="D924" s="1953"/>
      <c r="E924" s="1953"/>
      <c r="F924" s="1953"/>
      <c r="G924" s="1953"/>
      <c r="H924" s="1953"/>
      <c r="I924"/>
      <c r="J924"/>
      <c r="K924"/>
      <c r="L924"/>
    </row>
    <row r="925" spans="2:12" x14ac:dyDescent="0.35">
      <c r="B925" s="1953"/>
      <c r="C925" s="1953"/>
      <c r="D925" s="1953"/>
      <c r="E925" s="1953"/>
      <c r="F925" s="1953"/>
      <c r="G925" s="1953"/>
      <c r="H925" s="1953"/>
      <c r="I925"/>
      <c r="J925"/>
      <c r="K925"/>
      <c r="L925"/>
    </row>
    <row r="926" spans="2:12" x14ac:dyDescent="0.35">
      <c r="B926" s="1953"/>
      <c r="C926" s="1953"/>
      <c r="D926" s="1953"/>
      <c r="E926" s="1953"/>
      <c r="F926" s="1953"/>
      <c r="G926" s="1953"/>
      <c r="H926" s="1953"/>
      <c r="I926"/>
      <c r="J926"/>
      <c r="K926"/>
      <c r="L926"/>
    </row>
    <row r="927" spans="2:12" x14ac:dyDescent="0.35">
      <c r="B927" s="1953"/>
      <c r="C927" s="1953"/>
      <c r="D927" s="1953"/>
      <c r="E927" s="1953"/>
      <c r="F927" s="1953"/>
      <c r="G927" s="1953"/>
      <c r="H927" s="1953"/>
      <c r="I927"/>
      <c r="J927"/>
      <c r="K927"/>
      <c r="L927"/>
    </row>
    <row r="928" spans="2:12" x14ac:dyDescent="0.35">
      <c r="B928" s="1953"/>
      <c r="C928" s="1953"/>
      <c r="D928" s="1953"/>
      <c r="E928" s="1953"/>
      <c r="F928" s="1953"/>
      <c r="G928" s="1953"/>
      <c r="H928" s="1953"/>
      <c r="I928"/>
      <c r="J928"/>
      <c r="K928"/>
      <c r="L928"/>
    </row>
    <row r="929" spans="2:12" x14ac:dyDescent="0.35">
      <c r="B929" s="1953"/>
      <c r="C929" s="1953"/>
      <c r="D929" s="1953"/>
      <c r="E929" s="1953"/>
      <c r="F929" s="1953"/>
      <c r="G929" s="1953"/>
      <c r="H929" s="1953"/>
      <c r="I929"/>
      <c r="J929"/>
      <c r="K929"/>
      <c r="L929"/>
    </row>
    <row r="930" spans="2:12" x14ac:dyDescent="0.35">
      <c r="B930" s="1953"/>
      <c r="C930" s="1953"/>
      <c r="D930" s="1953"/>
      <c r="E930" s="1953"/>
      <c r="F930" s="1953"/>
      <c r="G930" s="1953"/>
      <c r="H930" s="1953"/>
      <c r="I930"/>
      <c r="J930"/>
      <c r="K930"/>
      <c r="L930"/>
    </row>
    <row r="931" spans="2:12" x14ac:dyDescent="0.35">
      <c r="B931" s="1953"/>
      <c r="C931" s="1953"/>
      <c r="D931" s="1953"/>
      <c r="E931" s="1953"/>
      <c r="F931" s="1953"/>
      <c r="G931" s="1953"/>
      <c r="H931" s="1953"/>
      <c r="I931"/>
      <c r="J931"/>
      <c r="K931"/>
      <c r="L931"/>
    </row>
    <row r="932" spans="2:12" x14ac:dyDescent="0.35">
      <c r="B932" s="1953"/>
      <c r="C932" s="1953"/>
      <c r="D932" s="1953"/>
      <c r="E932" s="1953"/>
      <c r="F932" s="1953"/>
      <c r="G932" s="1953"/>
      <c r="H932" s="1953"/>
      <c r="I932"/>
      <c r="J932"/>
      <c r="K932"/>
      <c r="L932"/>
    </row>
    <row r="933" spans="2:12" x14ac:dyDescent="0.35">
      <c r="B933" s="1953"/>
      <c r="C933" s="1953"/>
      <c r="D933" s="1953"/>
      <c r="E933" s="1953"/>
      <c r="F933" s="1953"/>
      <c r="G933" s="1953"/>
      <c r="H933" s="1953"/>
      <c r="I933"/>
      <c r="J933"/>
      <c r="K933"/>
      <c r="L933"/>
    </row>
    <row r="934" spans="2:12" x14ac:dyDescent="0.35">
      <c r="B934" s="1953"/>
      <c r="C934" s="1953"/>
      <c r="D934" s="1953"/>
      <c r="E934" s="1953"/>
      <c r="F934" s="1953"/>
      <c r="G934" s="1953"/>
      <c r="H934" s="1953"/>
      <c r="I934"/>
      <c r="J934"/>
      <c r="K934"/>
      <c r="L934"/>
    </row>
    <row r="935" spans="2:12" x14ac:dyDescent="0.35">
      <c r="B935" s="1953"/>
      <c r="C935" s="1953"/>
      <c r="D935" s="1953"/>
      <c r="E935" s="1953"/>
      <c r="F935" s="1953"/>
      <c r="G935" s="1953"/>
      <c r="H935" s="1953"/>
      <c r="I935"/>
      <c r="J935"/>
      <c r="K935"/>
      <c r="L935"/>
    </row>
    <row r="936" spans="2:12" x14ac:dyDescent="0.35">
      <c r="B936" s="1953"/>
      <c r="C936" s="1953"/>
      <c r="D936" s="1953"/>
      <c r="E936" s="1953"/>
      <c r="F936" s="1953"/>
      <c r="G936" s="1953"/>
      <c r="H936" s="1953"/>
      <c r="I936"/>
      <c r="J936"/>
      <c r="K936"/>
      <c r="L936"/>
    </row>
    <row r="937" spans="2:12" x14ac:dyDescent="0.35">
      <c r="B937" s="1953"/>
      <c r="C937" s="1953"/>
      <c r="D937" s="1953"/>
      <c r="E937" s="1953"/>
      <c r="F937" s="1953"/>
      <c r="G937" s="1953"/>
      <c r="H937" s="1953"/>
      <c r="I937"/>
      <c r="J937"/>
      <c r="K937"/>
      <c r="L937"/>
    </row>
    <row r="938" spans="2:12" x14ac:dyDescent="0.35">
      <c r="B938" s="1953"/>
      <c r="C938" s="1953"/>
      <c r="D938" s="1953"/>
      <c r="E938" s="1953"/>
      <c r="F938" s="1953"/>
      <c r="G938" s="1953"/>
      <c r="H938" s="1953"/>
      <c r="I938"/>
      <c r="J938"/>
      <c r="K938"/>
      <c r="L938"/>
    </row>
    <row r="939" spans="2:12" x14ac:dyDescent="0.35">
      <c r="B939" s="1953"/>
      <c r="C939" s="1953"/>
      <c r="D939" s="1953"/>
      <c r="E939" s="1953"/>
      <c r="F939" s="1953"/>
      <c r="G939" s="1953"/>
      <c r="H939" s="1953"/>
      <c r="I939"/>
      <c r="J939"/>
      <c r="K939"/>
      <c r="L939"/>
    </row>
    <row r="940" spans="2:12" x14ac:dyDescent="0.35">
      <c r="B940" s="1953"/>
      <c r="C940" s="1953"/>
      <c r="D940" s="1953"/>
      <c r="E940" s="1953"/>
      <c r="F940" s="1953"/>
      <c r="G940" s="1953"/>
      <c r="H940" s="1953"/>
      <c r="I940"/>
      <c r="J940"/>
      <c r="K940"/>
      <c r="L940"/>
    </row>
    <row r="941" spans="2:12" x14ac:dyDescent="0.35">
      <c r="B941" s="1953"/>
      <c r="C941" s="1953"/>
      <c r="D941" s="1953"/>
      <c r="E941" s="1953"/>
      <c r="F941" s="1953"/>
      <c r="G941" s="1953"/>
      <c r="H941" s="1953"/>
      <c r="I941"/>
      <c r="J941"/>
      <c r="K941"/>
      <c r="L941"/>
    </row>
    <row r="942" spans="2:12" x14ac:dyDescent="0.35">
      <c r="B942" s="1953"/>
      <c r="C942" s="1953"/>
      <c r="D942" s="1953"/>
      <c r="E942" s="1953"/>
      <c r="F942" s="1953"/>
      <c r="G942" s="1953"/>
      <c r="H942" s="1953"/>
      <c r="I942"/>
      <c r="J942"/>
      <c r="K942"/>
      <c r="L942"/>
    </row>
    <row r="943" spans="2:12" x14ac:dyDescent="0.35">
      <c r="B943" s="1953"/>
      <c r="C943" s="1953"/>
      <c r="D943" s="1953"/>
      <c r="E943" s="1953"/>
      <c r="F943" s="1953"/>
      <c r="G943" s="1953"/>
      <c r="H943" s="1953"/>
      <c r="I943"/>
      <c r="J943"/>
      <c r="K943"/>
      <c r="L943"/>
    </row>
    <row r="944" spans="2:12" x14ac:dyDescent="0.35">
      <c r="B944" s="1953"/>
      <c r="C944" s="1953"/>
      <c r="D944" s="1953"/>
      <c r="E944" s="1953"/>
      <c r="F944" s="1953"/>
      <c r="G944" s="1953"/>
      <c r="H944" s="1953"/>
      <c r="I944"/>
      <c r="J944"/>
      <c r="K944"/>
      <c r="L944"/>
    </row>
    <row r="945" spans="2:12" x14ac:dyDescent="0.35">
      <c r="B945" s="1953"/>
      <c r="C945" s="1953"/>
      <c r="D945" s="1953"/>
      <c r="E945" s="1953"/>
      <c r="F945" s="1953"/>
      <c r="G945" s="1953"/>
      <c r="H945" s="1953"/>
      <c r="I945"/>
      <c r="J945"/>
      <c r="K945"/>
      <c r="L945"/>
    </row>
    <row r="946" spans="2:12" x14ac:dyDescent="0.35">
      <c r="B946" s="1953"/>
      <c r="C946" s="1953"/>
      <c r="D946" s="1953"/>
      <c r="E946" s="1953"/>
      <c r="F946" s="1953"/>
      <c r="G946" s="1953"/>
      <c r="H946" s="1953"/>
      <c r="I946"/>
      <c r="J946"/>
      <c r="K946"/>
      <c r="L946"/>
    </row>
    <row r="947" spans="2:12" x14ac:dyDescent="0.35">
      <c r="B947" s="1953"/>
      <c r="C947" s="1953"/>
      <c r="D947" s="1953"/>
      <c r="E947" s="1953"/>
      <c r="F947" s="1953"/>
      <c r="G947" s="1953"/>
      <c r="H947" s="1953"/>
      <c r="I947"/>
      <c r="J947"/>
      <c r="K947"/>
      <c r="L947"/>
    </row>
    <row r="948" spans="2:12" x14ac:dyDescent="0.35">
      <c r="B948" s="1953"/>
      <c r="C948" s="1953"/>
      <c r="D948" s="1953"/>
      <c r="E948" s="1953"/>
      <c r="F948" s="1953"/>
      <c r="G948" s="1953"/>
      <c r="H948" s="1953"/>
      <c r="I948"/>
      <c r="J948"/>
      <c r="K948"/>
      <c r="L948"/>
    </row>
    <row r="949" spans="2:12" x14ac:dyDescent="0.35">
      <c r="B949" s="1953"/>
      <c r="C949" s="1953"/>
      <c r="D949" s="1953"/>
      <c r="E949" s="1953"/>
      <c r="F949" s="1953"/>
      <c r="G949" s="1953"/>
      <c r="H949" s="1953"/>
      <c r="I949"/>
      <c r="J949"/>
      <c r="K949"/>
      <c r="L949"/>
    </row>
    <row r="950" spans="2:12" x14ac:dyDescent="0.35">
      <c r="B950" s="1953"/>
      <c r="C950" s="1953"/>
      <c r="D950" s="1953"/>
      <c r="E950" s="1953"/>
      <c r="F950" s="1953"/>
      <c r="G950" s="1953"/>
      <c r="H950" s="1953"/>
      <c r="I950"/>
      <c r="J950"/>
      <c r="K950"/>
      <c r="L950"/>
    </row>
    <row r="951" spans="2:12" x14ac:dyDescent="0.35">
      <c r="B951" s="1953"/>
      <c r="C951" s="1953"/>
      <c r="D951" s="1953"/>
      <c r="E951" s="1953"/>
      <c r="F951" s="1953"/>
      <c r="G951" s="1953"/>
      <c r="H951" s="1953"/>
      <c r="I951"/>
      <c r="J951"/>
      <c r="K951"/>
      <c r="L951"/>
    </row>
    <row r="952" spans="2:12" x14ac:dyDescent="0.35">
      <c r="B952" s="1953"/>
      <c r="C952" s="1953"/>
      <c r="D952" s="1953"/>
      <c r="E952" s="1953"/>
      <c r="F952" s="1953"/>
      <c r="G952" s="1953"/>
      <c r="H952" s="1953"/>
      <c r="I952"/>
      <c r="J952"/>
      <c r="K952"/>
      <c r="L952"/>
    </row>
    <row r="953" spans="2:12" x14ac:dyDescent="0.35">
      <c r="B953" s="1953"/>
      <c r="C953" s="1953"/>
      <c r="D953" s="1953"/>
      <c r="E953" s="1953"/>
      <c r="F953" s="1953"/>
      <c r="G953" s="1953"/>
      <c r="H953" s="1953"/>
      <c r="I953"/>
      <c r="J953"/>
      <c r="K953"/>
      <c r="L953"/>
    </row>
    <row r="954" spans="2:12" x14ac:dyDescent="0.35">
      <c r="B954" s="1953"/>
      <c r="C954" s="1953"/>
      <c r="D954" s="1953"/>
      <c r="E954" s="1953"/>
      <c r="F954" s="1953"/>
      <c r="G954" s="1953"/>
      <c r="H954" s="1953"/>
      <c r="I954"/>
      <c r="J954"/>
      <c r="K954"/>
      <c r="L954"/>
    </row>
    <row r="955" spans="2:12" x14ac:dyDescent="0.35">
      <c r="B955" s="1953"/>
      <c r="C955" s="1953"/>
      <c r="D955" s="1953"/>
      <c r="E955" s="1953"/>
      <c r="F955" s="1953"/>
      <c r="G955" s="1953"/>
      <c r="H955" s="1953"/>
      <c r="I955"/>
      <c r="J955"/>
      <c r="K955"/>
      <c r="L955"/>
    </row>
    <row r="956" spans="2:12" x14ac:dyDescent="0.35">
      <c r="B956" s="1953"/>
      <c r="C956" s="1953"/>
      <c r="D956" s="1953"/>
      <c r="E956" s="1953"/>
      <c r="F956" s="1953"/>
      <c r="G956" s="1953"/>
      <c r="H956" s="1953"/>
      <c r="I956"/>
      <c r="J956"/>
      <c r="K956"/>
      <c r="L956"/>
    </row>
    <row r="957" spans="2:12" x14ac:dyDescent="0.35">
      <c r="B957" s="1953"/>
      <c r="C957" s="1953"/>
      <c r="D957" s="1953"/>
      <c r="E957" s="1953"/>
      <c r="F957" s="1953"/>
      <c r="G957" s="1953"/>
      <c r="H957" s="1953"/>
      <c r="I957"/>
      <c r="J957"/>
      <c r="K957"/>
      <c r="L957"/>
    </row>
    <row r="958" spans="2:12" x14ac:dyDescent="0.35">
      <c r="B958" s="1953"/>
      <c r="C958" s="1953"/>
      <c r="D958" s="1953"/>
      <c r="E958" s="1953"/>
      <c r="F958" s="1953"/>
      <c r="G958" s="1953"/>
      <c r="H958" s="1953"/>
      <c r="I958"/>
      <c r="J958"/>
      <c r="K958"/>
      <c r="L958"/>
    </row>
    <row r="959" spans="2:12" x14ac:dyDescent="0.35">
      <c r="B959" s="1953"/>
      <c r="C959" s="1953"/>
      <c r="D959" s="1953"/>
      <c r="E959" s="1953"/>
      <c r="F959" s="1953"/>
      <c r="G959" s="1953"/>
      <c r="H959" s="1953"/>
      <c r="I959"/>
      <c r="J959"/>
      <c r="K959"/>
      <c r="L959"/>
    </row>
    <row r="960" spans="2:12" x14ac:dyDescent="0.35">
      <c r="B960" s="1953"/>
      <c r="C960" s="1953"/>
      <c r="D960" s="1953"/>
      <c r="E960" s="1953"/>
      <c r="F960" s="1953"/>
      <c r="G960" s="1953"/>
      <c r="H960" s="1953"/>
      <c r="I960"/>
      <c r="J960"/>
      <c r="K960"/>
      <c r="L960"/>
    </row>
    <row r="961" spans="2:12" x14ac:dyDescent="0.35">
      <c r="B961" s="1953"/>
      <c r="C961" s="1953"/>
      <c r="D961" s="1953"/>
      <c r="E961" s="1953"/>
      <c r="F961" s="1953"/>
      <c r="G961" s="1953"/>
      <c r="H961" s="1953"/>
      <c r="I961"/>
      <c r="J961"/>
      <c r="K961"/>
      <c r="L961"/>
    </row>
    <row r="962" spans="2:12" x14ac:dyDescent="0.35">
      <c r="B962" s="1953"/>
      <c r="C962" s="1953"/>
      <c r="D962" s="1953"/>
      <c r="E962" s="1953"/>
      <c r="F962" s="1953"/>
      <c r="G962" s="1953"/>
      <c r="H962" s="1953"/>
      <c r="I962"/>
      <c r="J962"/>
      <c r="K962"/>
      <c r="L962"/>
    </row>
    <row r="963" spans="2:12" x14ac:dyDescent="0.35">
      <c r="B963" s="1953"/>
      <c r="C963" s="1953"/>
      <c r="D963" s="1953"/>
      <c r="E963" s="1953"/>
      <c r="F963" s="1953"/>
      <c r="G963" s="1953"/>
      <c r="H963" s="1953"/>
      <c r="I963"/>
      <c r="J963"/>
      <c r="K963"/>
      <c r="L963"/>
    </row>
    <row r="964" spans="2:12" x14ac:dyDescent="0.35">
      <c r="B964" s="1953"/>
      <c r="C964" s="1953"/>
      <c r="D964" s="1953"/>
      <c r="E964" s="1953"/>
      <c r="F964" s="1953"/>
      <c r="G964" s="1953"/>
      <c r="H964" s="1953"/>
      <c r="I964"/>
      <c r="J964"/>
      <c r="K964"/>
      <c r="L964"/>
    </row>
    <row r="965" spans="2:12" x14ac:dyDescent="0.35">
      <c r="B965" s="1953"/>
      <c r="C965" s="1953"/>
      <c r="D965" s="1953"/>
      <c r="E965" s="1953"/>
      <c r="F965" s="1953"/>
      <c r="G965" s="1953"/>
      <c r="H965" s="1953"/>
      <c r="I965"/>
      <c r="J965"/>
      <c r="K965"/>
      <c r="L965"/>
    </row>
    <row r="966" spans="2:12" x14ac:dyDescent="0.35">
      <c r="B966" s="1953"/>
      <c r="C966" s="1953"/>
      <c r="D966" s="1953"/>
      <c r="E966" s="1953"/>
      <c r="F966" s="1953"/>
      <c r="G966" s="1953"/>
      <c r="H966" s="1953"/>
      <c r="I966"/>
      <c r="J966"/>
      <c r="K966"/>
      <c r="L966"/>
    </row>
    <row r="967" spans="2:12" x14ac:dyDescent="0.35">
      <c r="B967" s="1953"/>
      <c r="C967" s="1953"/>
      <c r="D967" s="1953"/>
      <c r="E967" s="1953"/>
      <c r="F967" s="1953"/>
      <c r="G967" s="1953"/>
      <c r="H967" s="1953"/>
      <c r="I967"/>
      <c r="J967"/>
      <c r="K967"/>
      <c r="L967"/>
    </row>
    <row r="968" spans="2:12" x14ac:dyDescent="0.35">
      <c r="B968" s="1953"/>
      <c r="C968" s="1953"/>
      <c r="D968" s="1953"/>
      <c r="E968" s="1953"/>
      <c r="F968" s="1953"/>
      <c r="G968" s="1953"/>
      <c r="H968" s="1953"/>
      <c r="I968"/>
      <c r="J968"/>
      <c r="K968"/>
      <c r="L968"/>
    </row>
    <row r="969" spans="2:12" x14ac:dyDescent="0.35">
      <c r="B969" s="1953"/>
      <c r="C969" s="1953"/>
      <c r="D969" s="1953"/>
      <c r="E969" s="1953"/>
      <c r="F969" s="1953"/>
      <c r="G969" s="1953"/>
      <c r="H969" s="1953"/>
      <c r="I969"/>
      <c r="J969"/>
      <c r="K969"/>
      <c r="L969"/>
    </row>
    <row r="970" spans="2:12" x14ac:dyDescent="0.35">
      <c r="B970" s="1953"/>
      <c r="C970" s="1953"/>
      <c r="D970" s="1953"/>
      <c r="E970" s="1953"/>
      <c r="F970" s="1953"/>
      <c r="G970" s="1953"/>
      <c r="H970" s="1953"/>
      <c r="I970"/>
      <c r="J970"/>
      <c r="K970"/>
      <c r="L970"/>
    </row>
    <row r="971" spans="2:12" x14ac:dyDescent="0.35">
      <c r="B971" s="1953"/>
      <c r="C971" s="1953"/>
      <c r="D971" s="1953"/>
      <c r="E971" s="1953"/>
      <c r="F971" s="1953"/>
      <c r="G971" s="1953"/>
      <c r="H971" s="1953"/>
      <c r="I971"/>
      <c r="J971"/>
      <c r="K971"/>
      <c r="L971"/>
    </row>
    <row r="972" spans="2:12" x14ac:dyDescent="0.35">
      <c r="B972" s="1953"/>
      <c r="C972" s="1953"/>
      <c r="D972" s="1953"/>
      <c r="E972" s="1953"/>
      <c r="F972" s="1953"/>
      <c r="G972" s="1953"/>
      <c r="H972" s="1953"/>
      <c r="I972"/>
      <c r="J972"/>
      <c r="K972"/>
      <c r="L972"/>
    </row>
    <row r="973" spans="2:12" x14ac:dyDescent="0.35">
      <c r="B973" s="1953"/>
      <c r="C973" s="1953"/>
      <c r="D973" s="1953"/>
      <c r="E973" s="1953"/>
      <c r="F973" s="1953"/>
      <c r="G973" s="1953"/>
      <c r="H973" s="1953"/>
      <c r="I973"/>
      <c r="J973"/>
      <c r="K973"/>
      <c r="L973"/>
    </row>
    <row r="974" spans="2:12" x14ac:dyDescent="0.35">
      <c r="B974" s="1953"/>
      <c r="C974" s="1953"/>
      <c r="D974" s="1953"/>
      <c r="E974" s="1953"/>
      <c r="F974" s="1953"/>
      <c r="G974" s="1953"/>
      <c r="H974" s="1953"/>
      <c r="I974"/>
      <c r="J974"/>
      <c r="K974"/>
      <c r="L974"/>
    </row>
    <row r="975" spans="2:12" x14ac:dyDescent="0.35">
      <c r="B975" s="1953"/>
      <c r="C975" s="1953"/>
      <c r="D975" s="1953"/>
      <c r="E975" s="1953"/>
      <c r="F975" s="1953"/>
      <c r="G975" s="1953"/>
      <c r="H975" s="1953"/>
      <c r="I975"/>
      <c r="J975"/>
      <c r="K975"/>
      <c r="L975"/>
    </row>
    <row r="976" spans="2:12" x14ac:dyDescent="0.35">
      <c r="B976" s="1953"/>
      <c r="C976" s="1953"/>
      <c r="D976" s="1953"/>
      <c r="E976" s="1953"/>
      <c r="F976" s="1953"/>
      <c r="G976" s="1953"/>
      <c r="H976" s="1953"/>
      <c r="I976"/>
      <c r="J976"/>
      <c r="K976"/>
      <c r="L976"/>
    </row>
    <row r="977" spans="2:12" x14ac:dyDescent="0.35">
      <c r="B977" s="1953"/>
      <c r="C977" s="1953"/>
      <c r="D977" s="1953"/>
      <c r="E977" s="1953"/>
      <c r="F977" s="1953"/>
      <c r="G977" s="1953"/>
      <c r="H977" s="1953"/>
      <c r="I977"/>
      <c r="J977"/>
      <c r="K977"/>
      <c r="L977"/>
    </row>
    <row r="978" spans="2:12" x14ac:dyDescent="0.35">
      <c r="B978" s="1953"/>
      <c r="C978" s="1953"/>
      <c r="D978" s="1953"/>
      <c r="E978" s="1953"/>
      <c r="F978" s="1953"/>
      <c r="G978" s="1953"/>
      <c r="H978" s="1953"/>
      <c r="I978"/>
      <c r="J978"/>
      <c r="K978"/>
      <c r="L978"/>
    </row>
    <row r="979" spans="2:12" x14ac:dyDescent="0.35">
      <c r="B979" s="1953"/>
      <c r="C979" s="1953"/>
      <c r="D979" s="1953"/>
      <c r="E979" s="1953"/>
      <c r="F979" s="1953"/>
      <c r="G979" s="1953"/>
      <c r="H979" s="1953"/>
      <c r="I979"/>
      <c r="J979"/>
      <c r="K979"/>
      <c r="L979"/>
    </row>
    <row r="980" spans="2:12" x14ac:dyDescent="0.35">
      <c r="B980" s="1953"/>
      <c r="C980" s="1953"/>
      <c r="D980" s="1953"/>
      <c r="E980" s="1953"/>
      <c r="F980" s="1953"/>
      <c r="G980" s="1953"/>
      <c r="H980" s="1953"/>
      <c r="I980"/>
      <c r="J980"/>
      <c r="K980"/>
      <c r="L980"/>
    </row>
    <row r="981" spans="2:12" x14ac:dyDescent="0.35">
      <c r="B981" s="1953"/>
      <c r="C981" s="1953"/>
      <c r="D981" s="1953"/>
      <c r="E981" s="1953"/>
      <c r="F981" s="1953"/>
      <c r="G981" s="1953"/>
      <c r="H981" s="1953"/>
      <c r="I981"/>
      <c r="J981"/>
      <c r="K981"/>
      <c r="L981"/>
    </row>
    <row r="982" spans="2:12" x14ac:dyDescent="0.35">
      <c r="B982" s="1953"/>
      <c r="C982" s="1953"/>
      <c r="D982" s="1953"/>
      <c r="E982" s="1953"/>
      <c r="F982" s="1953"/>
      <c r="G982" s="1953"/>
      <c r="H982" s="1953"/>
      <c r="I982"/>
      <c r="J982"/>
      <c r="K982"/>
      <c r="L982"/>
    </row>
    <row r="983" spans="2:12" x14ac:dyDescent="0.35">
      <c r="B983" s="1953"/>
      <c r="C983" s="1953"/>
      <c r="D983" s="1953"/>
      <c r="E983" s="1953"/>
      <c r="F983" s="1953"/>
      <c r="G983" s="1953"/>
      <c r="H983" s="1953"/>
      <c r="I983"/>
      <c r="J983"/>
      <c r="K983"/>
      <c r="L983"/>
    </row>
    <row r="984" spans="2:12" x14ac:dyDescent="0.35">
      <c r="B984" s="1953"/>
      <c r="C984" s="1953"/>
      <c r="D984" s="1953"/>
      <c r="E984" s="1953"/>
      <c r="F984" s="1953"/>
      <c r="G984" s="1953"/>
      <c r="H984" s="1953"/>
      <c r="I984"/>
      <c r="J984"/>
      <c r="K984"/>
      <c r="L984"/>
    </row>
    <row r="985" spans="2:12" x14ac:dyDescent="0.35">
      <c r="B985" s="1953"/>
      <c r="C985" s="1953"/>
      <c r="D985" s="1953"/>
      <c r="E985" s="1953"/>
      <c r="F985" s="1953"/>
      <c r="G985" s="1953"/>
      <c r="H985" s="1953"/>
      <c r="I985"/>
      <c r="J985"/>
      <c r="K985"/>
      <c r="L985"/>
    </row>
    <row r="986" spans="2:12" x14ac:dyDescent="0.35">
      <c r="B986" s="1953"/>
      <c r="C986" s="1953"/>
      <c r="D986" s="1953"/>
      <c r="E986" s="1953"/>
      <c r="F986" s="1953"/>
      <c r="G986" s="1953"/>
      <c r="H986" s="1953"/>
      <c r="I986"/>
      <c r="J986"/>
      <c r="K986"/>
      <c r="L986"/>
    </row>
    <row r="987" spans="2:12" x14ac:dyDescent="0.35">
      <c r="B987" s="1953"/>
      <c r="C987" s="1953"/>
      <c r="D987" s="1953"/>
      <c r="E987" s="1953"/>
      <c r="F987" s="1953"/>
      <c r="G987" s="1953"/>
      <c r="H987" s="1953"/>
      <c r="I987"/>
      <c r="J987"/>
      <c r="K987"/>
      <c r="L987"/>
    </row>
    <row r="988" spans="2:12" x14ac:dyDescent="0.35">
      <c r="B988" s="1953"/>
      <c r="C988" s="1953"/>
      <c r="D988" s="1953"/>
      <c r="E988" s="1953"/>
      <c r="F988" s="1953"/>
      <c r="G988" s="1953"/>
      <c r="H988" s="1953"/>
      <c r="I988"/>
      <c r="J988"/>
      <c r="K988"/>
      <c r="L988"/>
    </row>
    <row r="989" spans="2:12" x14ac:dyDescent="0.35">
      <c r="B989" s="1953"/>
      <c r="C989" s="1953"/>
      <c r="D989" s="1953"/>
      <c r="E989" s="1953"/>
      <c r="F989" s="1953"/>
      <c r="G989" s="1953"/>
      <c r="H989" s="1953"/>
      <c r="I989"/>
      <c r="J989"/>
      <c r="K989"/>
      <c r="L989"/>
    </row>
    <row r="990" spans="2:12" x14ac:dyDescent="0.35">
      <c r="B990" s="1953"/>
      <c r="C990" s="1953"/>
      <c r="D990" s="1953"/>
      <c r="E990" s="1953"/>
      <c r="F990" s="1953"/>
      <c r="G990" s="1953"/>
      <c r="H990" s="1953"/>
      <c r="I990"/>
      <c r="J990"/>
      <c r="K990"/>
      <c r="L990"/>
    </row>
    <row r="991" spans="2:12" x14ac:dyDescent="0.35">
      <c r="B991" s="1953"/>
      <c r="C991" s="1953"/>
      <c r="D991" s="1953"/>
      <c r="E991" s="1953"/>
      <c r="F991" s="1953"/>
      <c r="G991" s="1953"/>
      <c r="H991" s="1953"/>
      <c r="I991"/>
      <c r="J991"/>
      <c r="K991"/>
      <c r="L991"/>
    </row>
    <row r="992" spans="2:12" x14ac:dyDescent="0.35">
      <c r="B992" s="1953"/>
      <c r="C992" s="1953"/>
      <c r="D992" s="1953"/>
      <c r="E992" s="1953"/>
      <c r="F992" s="1953"/>
      <c r="G992" s="1953"/>
      <c r="H992" s="1953"/>
      <c r="I992"/>
      <c r="J992"/>
      <c r="K992"/>
      <c r="L992"/>
    </row>
    <row r="993" spans="2:12" x14ac:dyDescent="0.35">
      <c r="B993" s="1953"/>
      <c r="C993" s="1953"/>
      <c r="D993" s="1953"/>
      <c r="E993" s="1953"/>
      <c r="F993" s="1953"/>
      <c r="G993" s="1953"/>
      <c r="H993" s="1953"/>
      <c r="I993"/>
      <c r="J993"/>
      <c r="K993"/>
      <c r="L993"/>
    </row>
    <row r="994" spans="2:12" x14ac:dyDescent="0.35">
      <c r="B994" s="1953"/>
      <c r="C994" s="1953"/>
      <c r="D994" s="1953"/>
      <c r="E994" s="1953"/>
      <c r="F994" s="1953"/>
      <c r="G994" s="1953"/>
      <c r="H994" s="1953"/>
      <c r="I994"/>
      <c r="J994"/>
      <c r="K994"/>
      <c r="L994"/>
    </row>
    <row r="995" spans="2:12" x14ac:dyDescent="0.35">
      <c r="B995" s="1953"/>
      <c r="C995" s="1953"/>
      <c r="D995" s="1953"/>
      <c r="E995" s="1953"/>
      <c r="F995" s="1953"/>
      <c r="G995" s="1953"/>
      <c r="H995" s="1953"/>
      <c r="I995"/>
      <c r="J995"/>
      <c r="K995"/>
      <c r="L995"/>
    </row>
    <row r="996" spans="2:12" x14ac:dyDescent="0.35">
      <c r="B996" s="1953"/>
      <c r="C996" s="1953"/>
      <c r="D996" s="1953"/>
      <c r="E996" s="1953"/>
      <c r="F996" s="1953"/>
      <c r="G996" s="1953"/>
      <c r="H996" s="1953"/>
      <c r="I996"/>
      <c r="J996"/>
      <c r="K996"/>
      <c r="L996"/>
    </row>
    <row r="997" spans="2:12" x14ac:dyDescent="0.35">
      <c r="B997" s="1953"/>
      <c r="C997" s="1953"/>
      <c r="D997" s="1953"/>
      <c r="E997" s="1953"/>
      <c r="F997" s="1953"/>
      <c r="G997" s="1953"/>
      <c r="H997" s="1953"/>
      <c r="I997"/>
      <c r="J997"/>
      <c r="K997"/>
      <c r="L997"/>
    </row>
    <row r="998" spans="2:12" x14ac:dyDescent="0.35">
      <c r="B998" s="1953"/>
      <c r="C998" s="1953"/>
      <c r="D998" s="1953"/>
      <c r="E998" s="1953"/>
      <c r="F998" s="1953"/>
      <c r="G998" s="1953"/>
      <c r="H998" s="1953"/>
      <c r="I998"/>
      <c r="J998"/>
      <c r="K998"/>
      <c r="L998"/>
    </row>
    <row r="999" spans="2:12" x14ac:dyDescent="0.35">
      <c r="B999" s="1953"/>
      <c r="C999" s="1953"/>
      <c r="D999" s="1953"/>
      <c r="E999" s="1953"/>
      <c r="F999" s="1953"/>
      <c r="G999" s="1953"/>
      <c r="H999" s="1953"/>
      <c r="I999"/>
      <c r="J999"/>
      <c r="K999"/>
      <c r="L999"/>
    </row>
    <row r="1000" spans="2:12" x14ac:dyDescent="0.35">
      <c r="B1000" s="1953"/>
      <c r="C1000" s="1953"/>
      <c r="D1000" s="1953"/>
      <c r="E1000" s="1953"/>
      <c r="F1000" s="1953"/>
      <c r="G1000" s="1953"/>
      <c r="H1000" s="1953"/>
      <c r="I1000"/>
      <c r="J1000"/>
      <c r="K1000"/>
      <c r="L1000"/>
    </row>
    <row r="1001" spans="2:12" x14ac:dyDescent="0.35">
      <c r="B1001" s="1953"/>
      <c r="C1001" s="1953"/>
      <c r="D1001" s="1953"/>
      <c r="E1001" s="1953"/>
      <c r="F1001" s="1953"/>
      <c r="G1001" s="1953"/>
      <c r="H1001" s="1953"/>
      <c r="I1001"/>
      <c r="J1001"/>
      <c r="K1001"/>
      <c r="L1001"/>
    </row>
    <row r="1002" spans="2:12" x14ac:dyDescent="0.35">
      <c r="B1002" s="1953"/>
      <c r="C1002" s="1953"/>
      <c r="D1002" s="1953"/>
      <c r="E1002" s="1953"/>
      <c r="F1002" s="1953"/>
      <c r="G1002" s="1953"/>
      <c r="H1002" s="1953"/>
      <c r="I1002"/>
      <c r="J1002"/>
      <c r="K1002"/>
      <c r="L1002"/>
    </row>
    <row r="1003" spans="2:12" x14ac:dyDescent="0.35">
      <c r="B1003" s="1953"/>
      <c r="C1003" s="1953"/>
      <c r="D1003" s="1953"/>
      <c r="E1003" s="1953"/>
      <c r="F1003" s="1953"/>
      <c r="G1003" s="1953"/>
      <c r="H1003" s="1953"/>
      <c r="I1003"/>
      <c r="J1003"/>
      <c r="K1003"/>
      <c r="L1003"/>
    </row>
    <row r="1004" spans="2:12" x14ac:dyDescent="0.35">
      <c r="B1004" s="1953"/>
      <c r="C1004" s="1953"/>
      <c r="D1004" s="1953"/>
      <c r="E1004" s="1953"/>
      <c r="F1004" s="1953"/>
      <c r="G1004" s="1953"/>
      <c r="H1004" s="1953"/>
      <c r="I1004"/>
      <c r="J1004"/>
      <c r="K1004"/>
      <c r="L1004"/>
    </row>
    <row r="1005" spans="2:12" x14ac:dyDescent="0.35">
      <c r="B1005" s="1953"/>
      <c r="C1005" s="1953"/>
      <c r="D1005" s="1953"/>
      <c r="E1005" s="1953"/>
      <c r="F1005" s="1953"/>
      <c r="G1005" s="1953"/>
      <c r="H1005" s="1953"/>
      <c r="I1005"/>
      <c r="J1005"/>
      <c r="K1005"/>
      <c r="L1005"/>
    </row>
    <row r="1006" spans="2:12" x14ac:dyDescent="0.35">
      <c r="B1006" s="1953"/>
      <c r="C1006" s="1953"/>
      <c r="D1006" s="1953"/>
      <c r="E1006" s="1953"/>
      <c r="F1006" s="1953"/>
      <c r="G1006" s="1953"/>
      <c r="H1006" s="1953"/>
      <c r="I1006"/>
      <c r="J1006"/>
      <c r="K1006"/>
      <c r="L1006"/>
    </row>
    <row r="1007" spans="2:12" x14ac:dyDescent="0.35">
      <c r="B1007" s="1953"/>
      <c r="C1007" s="1953"/>
      <c r="D1007" s="1953"/>
      <c r="E1007" s="1953"/>
      <c r="F1007" s="1953"/>
      <c r="G1007" s="1953"/>
      <c r="H1007" s="1953"/>
      <c r="I1007"/>
      <c r="J1007"/>
      <c r="K1007"/>
      <c r="L1007"/>
    </row>
    <row r="1008" spans="2:12" x14ac:dyDescent="0.35">
      <c r="B1008" s="1953"/>
      <c r="C1008" s="1953"/>
      <c r="D1008" s="1953"/>
      <c r="E1008" s="1953"/>
      <c r="F1008" s="1953"/>
      <c r="G1008" s="1953"/>
      <c r="H1008" s="1953"/>
      <c r="I1008"/>
      <c r="J1008"/>
      <c r="K1008"/>
      <c r="L1008"/>
    </row>
    <row r="1009" spans="2:12" x14ac:dyDescent="0.35">
      <c r="B1009" s="1953"/>
      <c r="C1009" s="1953"/>
      <c r="D1009" s="1953"/>
      <c r="E1009" s="1953"/>
      <c r="F1009" s="1953"/>
      <c r="G1009" s="1953"/>
      <c r="H1009" s="1953"/>
      <c r="I1009"/>
      <c r="J1009"/>
      <c r="K1009"/>
      <c r="L1009"/>
    </row>
    <row r="1010" spans="2:12" x14ac:dyDescent="0.35">
      <c r="B1010" s="1953"/>
      <c r="C1010" s="1953"/>
      <c r="D1010" s="1953"/>
      <c r="E1010" s="1953"/>
      <c r="F1010" s="1953"/>
      <c r="G1010" s="1953"/>
      <c r="H1010" s="1953"/>
      <c r="I1010"/>
      <c r="J1010"/>
      <c r="K1010"/>
      <c r="L1010"/>
    </row>
    <row r="1011" spans="2:12" x14ac:dyDescent="0.35">
      <c r="B1011" s="1953"/>
      <c r="C1011" s="1953"/>
      <c r="D1011" s="1953"/>
      <c r="E1011" s="1953"/>
      <c r="F1011" s="1953"/>
      <c r="G1011" s="1953"/>
      <c r="H1011" s="1953"/>
      <c r="I1011"/>
      <c r="J1011"/>
      <c r="K1011"/>
      <c r="L1011"/>
    </row>
    <row r="1012" spans="2:12" x14ac:dyDescent="0.35">
      <c r="B1012" s="1953"/>
      <c r="C1012" s="1953"/>
      <c r="D1012" s="1953"/>
      <c r="E1012" s="1953"/>
      <c r="F1012" s="1953"/>
      <c r="G1012" s="1953"/>
      <c r="H1012" s="1953"/>
      <c r="I1012"/>
      <c r="J1012"/>
      <c r="K1012"/>
      <c r="L1012"/>
    </row>
    <row r="1013" spans="2:12" x14ac:dyDescent="0.35">
      <c r="B1013" s="1953"/>
      <c r="C1013" s="1953"/>
      <c r="D1013" s="1953"/>
      <c r="E1013" s="1953"/>
      <c r="F1013" s="1953"/>
      <c r="G1013" s="1953"/>
      <c r="H1013" s="1953"/>
      <c r="I1013"/>
      <c r="J1013"/>
      <c r="K1013"/>
      <c r="L1013"/>
    </row>
    <row r="1014" spans="2:12" x14ac:dyDescent="0.35">
      <c r="B1014" s="1953"/>
      <c r="C1014" s="1953"/>
      <c r="D1014" s="1953"/>
      <c r="E1014" s="1953"/>
      <c r="F1014" s="1953"/>
      <c r="G1014" s="1953"/>
      <c r="H1014" s="1953"/>
      <c r="I1014"/>
      <c r="J1014"/>
      <c r="K1014"/>
      <c r="L1014"/>
    </row>
    <row r="1015" spans="2:12" x14ac:dyDescent="0.35">
      <c r="B1015" s="1953"/>
      <c r="C1015" s="1953"/>
      <c r="D1015" s="1953"/>
      <c r="E1015" s="1953"/>
      <c r="F1015" s="1953"/>
      <c r="G1015" s="1953"/>
      <c r="H1015" s="1953"/>
      <c r="I1015"/>
      <c r="J1015"/>
      <c r="K1015"/>
      <c r="L1015"/>
    </row>
    <row r="1016" spans="2:12" x14ac:dyDescent="0.35">
      <c r="B1016" s="1953"/>
      <c r="C1016" s="1953"/>
      <c r="D1016" s="1953"/>
      <c r="E1016" s="1953"/>
      <c r="F1016" s="1953"/>
      <c r="G1016" s="1953"/>
      <c r="H1016" s="1953"/>
      <c r="I1016"/>
      <c r="J1016"/>
      <c r="K1016"/>
      <c r="L1016"/>
    </row>
    <row r="1017" spans="2:12" x14ac:dyDescent="0.35">
      <c r="B1017" s="1953"/>
      <c r="C1017" s="1953"/>
      <c r="D1017" s="1953"/>
      <c r="E1017" s="1953"/>
      <c r="F1017" s="1953"/>
      <c r="G1017" s="1953"/>
      <c r="H1017" s="1953"/>
      <c r="I1017"/>
      <c r="J1017"/>
      <c r="K1017"/>
      <c r="L1017"/>
    </row>
    <row r="1018" spans="2:12" x14ac:dyDescent="0.35">
      <c r="B1018" s="1953"/>
      <c r="C1018" s="1953"/>
      <c r="D1018" s="1953"/>
      <c r="E1018" s="1953"/>
      <c r="F1018" s="1953"/>
      <c r="G1018" s="1953"/>
      <c r="H1018" s="1953"/>
      <c r="I1018"/>
      <c r="J1018"/>
      <c r="K1018"/>
      <c r="L1018"/>
    </row>
    <row r="1019" spans="2:12" x14ac:dyDescent="0.35">
      <c r="B1019" s="1953"/>
      <c r="C1019" s="1953"/>
      <c r="D1019" s="1953"/>
      <c r="E1019" s="1953"/>
      <c r="F1019" s="1953"/>
      <c r="G1019" s="1953"/>
      <c r="H1019" s="1953"/>
      <c r="I1019"/>
      <c r="J1019"/>
      <c r="K1019"/>
      <c r="L1019"/>
    </row>
    <row r="1020" spans="2:12" x14ac:dyDescent="0.35">
      <c r="B1020" s="1953"/>
      <c r="C1020" s="1953"/>
      <c r="D1020" s="1953"/>
      <c r="E1020" s="1953"/>
      <c r="F1020" s="1953"/>
      <c r="G1020" s="1953"/>
      <c r="H1020" s="1953"/>
      <c r="I1020"/>
      <c r="J1020"/>
      <c r="K1020"/>
      <c r="L1020"/>
    </row>
    <row r="1021" spans="2:12" x14ac:dyDescent="0.35">
      <c r="B1021" s="1953"/>
      <c r="C1021" s="1953"/>
      <c r="D1021" s="1953"/>
      <c r="E1021" s="1953"/>
      <c r="F1021" s="1953"/>
      <c r="G1021" s="1953"/>
      <c r="H1021" s="1953"/>
      <c r="I1021"/>
      <c r="J1021"/>
      <c r="K1021"/>
      <c r="L1021"/>
    </row>
    <row r="1022" spans="2:12" x14ac:dyDescent="0.35">
      <c r="B1022" s="1953"/>
      <c r="C1022" s="1953"/>
      <c r="D1022" s="1953"/>
      <c r="E1022" s="1953"/>
      <c r="F1022" s="1953"/>
      <c r="G1022" s="1953"/>
      <c r="H1022" s="1953"/>
      <c r="I1022"/>
      <c r="J1022"/>
      <c r="K1022"/>
      <c r="L1022"/>
    </row>
    <row r="1023" spans="2:12" x14ac:dyDescent="0.35">
      <c r="B1023" s="1953"/>
      <c r="C1023" s="1953"/>
      <c r="D1023" s="1953"/>
      <c r="E1023" s="1953"/>
      <c r="F1023" s="1953"/>
      <c r="G1023" s="1953"/>
      <c r="H1023" s="1953"/>
      <c r="I1023"/>
      <c r="J1023"/>
      <c r="K1023"/>
      <c r="L1023"/>
    </row>
    <row r="1024" spans="2:12" x14ac:dyDescent="0.35">
      <c r="B1024" s="1953"/>
      <c r="C1024" s="1953"/>
      <c r="D1024" s="1953"/>
      <c r="E1024" s="1953"/>
      <c r="F1024" s="1953"/>
      <c r="G1024" s="1953"/>
      <c r="H1024" s="1953"/>
      <c r="I1024"/>
      <c r="J1024"/>
      <c r="K1024"/>
      <c r="L1024"/>
    </row>
    <row r="1025" spans="2:12" x14ac:dyDescent="0.35">
      <c r="B1025" s="1953"/>
      <c r="C1025" s="1953"/>
      <c r="D1025" s="1953"/>
      <c r="E1025" s="1953"/>
      <c r="F1025" s="1953"/>
      <c r="G1025" s="1953"/>
      <c r="H1025" s="1953"/>
      <c r="I1025"/>
      <c r="J1025"/>
      <c r="K1025"/>
      <c r="L1025"/>
    </row>
    <row r="1026" spans="2:12" x14ac:dyDescent="0.35">
      <c r="B1026" s="1953"/>
      <c r="C1026" s="1953"/>
      <c r="D1026" s="1953"/>
      <c r="E1026" s="1953"/>
      <c r="F1026" s="1953"/>
      <c r="G1026" s="1953"/>
      <c r="H1026" s="1953"/>
      <c r="I1026"/>
      <c r="J1026"/>
      <c r="K1026"/>
      <c r="L1026"/>
    </row>
    <row r="1027" spans="2:12" x14ac:dyDescent="0.35">
      <c r="B1027" s="1953"/>
      <c r="C1027" s="1953"/>
      <c r="D1027" s="1953"/>
      <c r="E1027" s="1953"/>
      <c r="F1027" s="1953"/>
      <c r="G1027" s="1953"/>
      <c r="H1027" s="1953"/>
      <c r="I1027"/>
      <c r="J1027"/>
      <c r="K1027"/>
      <c r="L1027"/>
    </row>
    <row r="1028" spans="2:12" x14ac:dyDescent="0.35">
      <c r="B1028" s="1953"/>
      <c r="C1028" s="1953"/>
      <c r="D1028" s="1953"/>
      <c r="E1028" s="1953"/>
      <c r="F1028" s="1953"/>
      <c r="G1028" s="1953"/>
      <c r="H1028" s="1953"/>
      <c r="I1028"/>
      <c r="J1028"/>
      <c r="K1028"/>
      <c r="L1028"/>
    </row>
    <row r="1029" spans="2:12" x14ac:dyDescent="0.35">
      <c r="B1029" s="1953"/>
      <c r="C1029" s="1953"/>
      <c r="D1029" s="1953"/>
      <c r="E1029" s="1953"/>
      <c r="F1029" s="1953"/>
      <c r="G1029" s="1953"/>
      <c r="H1029" s="1953"/>
      <c r="I1029"/>
      <c r="J1029"/>
      <c r="K1029"/>
      <c r="L1029"/>
    </row>
    <row r="1030" spans="2:12" x14ac:dyDescent="0.35">
      <c r="B1030" s="1953"/>
      <c r="C1030" s="1953"/>
      <c r="D1030" s="1953"/>
      <c r="E1030" s="1953"/>
      <c r="F1030" s="1953"/>
      <c r="G1030" s="1953"/>
      <c r="H1030" s="1953"/>
      <c r="I1030"/>
      <c r="J1030"/>
      <c r="K1030"/>
      <c r="L1030"/>
    </row>
    <row r="1031" spans="2:12" x14ac:dyDescent="0.35">
      <c r="B1031" s="1953"/>
      <c r="C1031" s="1953"/>
      <c r="D1031" s="1953"/>
      <c r="E1031" s="1953"/>
      <c r="F1031" s="1953"/>
      <c r="G1031" s="1953"/>
      <c r="H1031" s="1953"/>
      <c r="I1031"/>
      <c r="J1031"/>
      <c r="K1031"/>
      <c r="L1031"/>
    </row>
    <row r="1032" spans="2:12" x14ac:dyDescent="0.35">
      <c r="B1032" s="1953"/>
      <c r="C1032" s="1953"/>
      <c r="D1032" s="1953"/>
      <c r="E1032" s="1953"/>
      <c r="F1032" s="1953"/>
      <c r="G1032" s="1953"/>
      <c r="H1032" s="1953"/>
      <c r="I1032"/>
      <c r="J1032"/>
      <c r="K1032"/>
      <c r="L1032"/>
    </row>
    <row r="1033" spans="2:12" x14ac:dyDescent="0.35">
      <c r="B1033" s="1953"/>
      <c r="C1033" s="1953"/>
      <c r="D1033" s="1953"/>
      <c r="E1033" s="1953"/>
      <c r="F1033" s="1953"/>
      <c r="G1033" s="1953"/>
      <c r="H1033" s="1953"/>
      <c r="I1033"/>
      <c r="J1033"/>
      <c r="K1033"/>
      <c r="L1033"/>
    </row>
    <row r="1034" spans="2:12" x14ac:dyDescent="0.35">
      <c r="B1034" s="1953"/>
      <c r="C1034" s="1953"/>
      <c r="D1034" s="1953"/>
      <c r="E1034" s="1953"/>
      <c r="F1034" s="1953"/>
      <c r="G1034" s="1953"/>
      <c r="H1034" s="1953"/>
      <c r="I1034"/>
      <c r="J1034"/>
      <c r="K1034"/>
      <c r="L1034"/>
    </row>
    <row r="1035" spans="2:12" x14ac:dyDescent="0.35">
      <c r="B1035" s="1953"/>
      <c r="C1035" s="1953"/>
      <c r="D1035" s="1953"/>
      <c r="E1035" s="1953"/>
      <c r="F1035" s="1953"/>
      <c r="G1035" s="1953"/>
      <c r="H1035" s="1953"/>
      <c r="I1035"/>
      <c r="J1035"/>
      <c r="K1035"/>
      <c r="L1035"/>
    </row>
    <row r="1036" spans="2:12" x14ac:dyDescent="0.35">
      <c r="B1036" s="1953"/>
      <c r="C1036" s="1953"/>
      <c r="D1036" s="1953"/>
      <c r="E1036" s="1953"/>
      <c r="F1036" s="1953"/>
      <c r="G1036" s="1953"/>
      <c r="H1036" s="1953"/>
      <c r="I1036"/>
      <c r="J1036"/>
      <c r="K1036"/>
      <c r="L1036"/>
    </row>
    <row r="1037" spans="2:12" x14ac:dyDescent="0.35">
      <c r="B1037" s="1953"/>
      <c r="C1037" s="1953"/>
      <c r="D1037" s="1953"/>
      <c r="E1037" s="1953"/>
      <c r="F1037" s="1953"/>
      <c r="G1037" s="1953"/>
      <c r="H1037" s="1953"/>
      <c r="I1037"/>
      <c r="J1037"/>
      <c r="K1037"/>
      <c r="L1037"/>
    </row>
    <row r="1038" spans="2:12" x14ac:dyDescent="0.35">
      <c r="B1038" s="1953"/>
      <c r="C1038" s="1953"/>
      <c r="D1038" s="1953"/>
      <c r="E1038" s="1953"/>
      <c r="F1038" s="1953"/>
      <c r="G1038" s="1953"/>
      <c r="H1038" s="1953"/>
      <c r="I1038"/>
      <c r="J1038"/>
      <c r="K1038"/>
      <c r="L1038"/>
    </row>
    <row r="1039" spans="2:12" x14ac:dyDescent="0.35">
      <c r="B1039" s="1953"/>
      <c r="C1039" s="1953"/>
      <c r="D1039" s="1953"/>
      <c r="E1039" s="1953"/>
      <c r="F1039" s="1953"/>
      <c r="G1039" s="1953"/>
      <c r="H1039" s="1953"/>
      <c r="I1039"/>
      <c r="J1039"/>
      <c r="K1039"/>
      <c r="L1039"/>
    </row>
    <row r="1040" spans="2:12" x14ac:dyDescent="0.35">
      <c r="B1040" s="1953"/>
      <c r="C1040" s="1953"/>
      <c r="D1040" s="1953"/>
      <c r="E1040" s="1953"/>
      <c r="F1040" s="1953"/>
      <c r="G1040" s="1953"/>
      <c r="H1040" s="1953"/>
      <c r="I1040"/>
      <c r="J1040"/>
      <c r="K1040"/>
      <c r="L1040"/>
    </row>
    <row r="1041" spans="2:12" x14ac:dyDescent="0.35">
      <c r="B1041" s="1953"/>
      <c r="C1041" s="1953"/>
      <c r="D1041" s="1953"/>
      <c r="E1041" s="1953"/>
      <c r="F1041" s="1953"/>
      <c r="G1041" s="1953"/>
      <c r="H1041" s="1953"/>
      <c r="I1041"/>
      <c r="J1041"/>
      <c r="K1041"/>
      <c r="L1041"/>
    </row>
    <row r="1042" spans="2:12" x14ac:dyDescent="0.35">
      <c r="B1042" s="1953"/>
      <c r="C1042" s="1953"/>
      <c r="D1042" s="1953"/>
      <c r="E1042" s="1953"/>
      <c r="F1042" s="1953"/>
      <c r="G1042" s="1953"/>
      <c r="H1042" s="1953"/>
      <c r="I1042"/>
      <c r="J1042"/>
      <c r="K1042"/>
      <c r="L1042"/>
    </row>
    <row r="1043" spans="2:12" x14ac:dyDescent="0.35">
      <c r="B1043" s="1953"/>
      <c r="C1043" s="1953"/>
      <c r="D1043" s="1953"/>
      <c r="E1043" s="1953"/>
      <c r="F1043" s="1953"/>
      <c r="G1043" s="1953"/>
      <c r="H1043" s="1953"/>
      <c r="I1043"/>
      <c r="J1043"/>
      <c r="K1043"/>
      <c r="L1043"/>
    </row>
    <row r="1044" spans="2:12" x14ac:dyDescent="0.35">
      <c r="B1044" s="1953"/>
      <c r="C1044" s="1953"/>
      <c r="D1044" s="1953"/>
      <c r="E1044" s="1953"/>
      <c r="F1044" s="1953"/>
      <c r="G1044" s="1953"/>
      <c r="H1044" s="1953"/>
      <c r="I1044"/>
      <c r="J1044"/>
      <c r="K1044"/>
      <c r="L1044"/>
    </row>
    <row r="1045" spans="2:12" x14ac:dyDescent="0.35">
      <c r="B1045" s="1953"/>
      <c r="C1045" s="1953"/>
      <c r="D1045" s="1953"/>
      <c r="E1045" s="1953"/>
      <c r="F1045" s="1953"/>
      <c r="G1045" s="1953"/>
      <c r="H1045" s="1953"/>
      <c r="I1045"/>
      <c r="J1045"/>
      <c r="K1045"/>
      <c r="L1045"/>
    </row>
    <row r="1046" spans="2:12" x14ac:dyDescent="0.35">
      <c r="B1046" s="1953"/>
      <c r="C1046" s="1953"/>
      <c r="D1046" s="1953"/>
      <c r="E1046" s="1953"/>
      <c r="F1046" s="1953"/>
      <c r="G1046" s="1953"/>
      <c r="H1046" s="1953"/>
      <c r="I1046"/>
      <c r="J1046"/>
      <c r="K1046"/>
      <c r="L1046"/>
    </row>
    <row r="1047" spans="2:12" x14ac:dyDescent="0.35">
      <c r="B1047" s="1953"/>
      <c r="C1047" s="1953"/>
      <c r="D1047" s="1953"/>
      <c r="E1047" s="1953"/>
      <c r="F1047" s="1953"/>
      <c r="G1047" s="1953"/>
      <c r="H1047" s="1953"/>
      <c r="I1047"/>
      <c r="J1047"/>
      <c r="K1047"/>
      <c r="L1047"/>
    </row>
    <row r="1048" spans="2:12" x14ac:dyDescent="0.35">
      <c r="B1048" s="1953"/>
      <c r="C1048" s="1953"/>
      <c r="D1048" s="1953"/>
      <c r="E1048" s="1953"/>
      <c r="F1048" s="1953"/>
      <c r="G1048" s="1953"/>
      <c r="H1048" s="1953"/>
      <c r="I1048"/>
      <c r="J1048"/>
      <c r="K1048"/>
      <c r="L1048"/>
    </row>
    <row r="1049" spans="2:12" x14ac:dyDescent="0.35">
      <c r="B1049" s="1953"/>
      <c r="C1049" s="1953"/>
      <c r="D1049" s="1953"/>
      <c r="E1049" s="1953"/>
      <c r="F1049" s="1953"/>
      <c r="G1049" s="1953"/>
      <c r="H1049" s="1953"/>
      <c r="I1049"/>
      <c r="J1049"/>
      <c r="K1049"/>
      <c r="L1049"/>
    </row>
    <row r="1050" spans="2:12" x14ac:dyDescent="0.35">
      <c r="B1050" s="1953"/>
      <c r="C1050" s="1953"/>
      <c r="D1050" s="1953"/>
      <c r="E1050" s="1953"/>
      <c r="F1050" s="1953"/>
      <c r="G1050" s="1953"/>
      <c r="H1050" s="1953"/>
      <c r="I1050"/>
      <c r="J1050"/>
      <c r="K1050"/>
      <c r="L1050"/>
    </row>
    <row r="1051" spans="2:12" x14ac:dyDescent="0.35">
      <c r="B1051" s="1953"/>
      <c r="C1051" s="1953"/>
      <c r="D1051" s="1953"/>
      <c r="E1051" s="1953"/>
      <c r="F1051" s="1953"/>
      <c r="G1051" s="1953"/>
      <c r="H1051" s="1953"/>
      <c r="I1051"/>
      <c r="J1051"/>
      <c r="K1051"/>
      <c r="L1051"/>
    </row>
    <row r="1052" spans="2:12" x14ac:dyDescent="0.35">
      <c r="B1052" s="1953"/>
      <c r="C1052" s="1953"/>
      <c r="D1052" s="1953"/>
      <c r="E1052" s="1953"/>
      <c r="F1052" s="1953"/>
      <c r="G1052" s="1953"/>
      <c r="H1052" s="1953"/>
      <c r="I1052"/>
      <c r="J1052"/>
      <c r="K1052"/>
      <c r="L1052"/>
    </row>
    <row r="1053" spans="2:12" x14ac:dyDescent="0.35">
      <c r="B1053" s="1953"/>
      <c r="C1053" s="1953"/>
      <c r="D1053" s="1953"/>
      <c r="E1053" s="1953"/>
      <c r="F1053" s="1953"/>
      <c r="G1053" s="1953"/>
      <c r="H1053" s="1953"/>
      <c r="I1053"/>
      <c r="J1053"/>
      <c r="K1053"/>
      <c r="L1053"/>
    </row>
    <row r="1054" spans="2:12" x14ac:dyDescent="0.35">
      <c r="B1054" s="1953"/>
      <c r="C1054" s="1953"/>
      <c r="D1054" s="1953"/>
      <c r="E1054" s="1953"/>
      <c r="F1054" s="1953"/>
      <c r="G1054" s="1953"/>
      <c r="H1054" s="1953"/>
      <c r="I1054"/>
      <c r="J1054"/>
      <c r="K1054"/>
      <c r="L1054"/>
    </row>
    <row r="1055" spans="2:12" x14ac:dyDescent="0.35">
      <c r="B1055" s="1953"/>
      <c r="C1055" s="1953"/>
      <c r="D1055" s="1953"/>
      <c r="E1055" s="1953"/>
      <c r="F1055" s="1953"/>
      <c r="G1055" s="1953"/>
      <c r="H1055" s="1953"/>
      <c r="I1055"/>
      <c r="J1055"/>
      <c r="K1055"/>
      <c r="L1055"/>
    </row>
    <row r="1056" spans="2:12" x14ac:dyDescent="0.35">
      <c r="B1056" s="1953"/>
      <c r="C1056" s="1953"/>
      <c r="D1056" s="1953"/>
      <c r="E1056" s="1953"/>
      <c r="F1056" s="1953"/>
      <c r="G1056" s="1953"/>
      <c r="H1056" s="1953"/>
      <c r="I1056"/>
      <c r="J1056"/>
      <c r="K1056"/>
      <c r="L1056"/>
    </row>
    <row r="1057" spans="2:12" x14ac:dyDescent="0.35">
      <c r="B1057" s="1953"/>
      <c r="C1057" s="1953"/>
      <c r="D1057" s="1953"/>
      <c r="E1057" s="1953"/>
      <c r="F1057" s="1953"/>
      <c r="G1057" s="1953"/>
      <c r="H1057" s="1953"/>
      <c r="I1057"/>
      <c r="J1057"/>
      <c r="K1057"/>
      <c r="L1057"/>
    </row>
    <row r="1058" spans="2:12" x14ac:dyDescent="0.35">
      <c r="B1058" s="1953"/>
      <c r="C1058" s="1953"/>
      <c r="D1058" s="1953"/>
      <c r="E1058" s="1953"/>
      <c r="F1058" s="1953"/>
      <c r="G1058" s="1953"/>
      <c r="H1058" s="1953"/>
      <c r="I1058"/>
      <c r="J1058"/>
      <c r="K1058"/>
      <c r="L1058"/>
    </row>
    <row r="1059" spans="2:12" x14ac:dyDescent="0.35">
      <c r="B1059" s="1953"/>
      <c r="C1059" s="1953"/>
      <c r="D1059" s="1953"/>
      <c r="E1059" s="1953"/>
      <c r="F1059" s="1953"/>
      <c r="G1059" s="1953"/>
      <c r="H1059" s="1953"/>
      <c r="I1059"/>
      <c r="J1059"/>
      <c r="K1059"/>
      <c r="L1059"/>
    </row>
    <row r="1060" spans="2:12" x14ac:dyDescent="0.35">
      <c r="B1060" s="1953"/>
      <c r="C1060" s="1953"/>
      <c r="D1060" s="1953"/>
      <c r="E1060" s="1953"/>
      <c r="F1060" s="1953"/>
      <c r="G1060" s="1953"/>
      <c r="H1060" s="1953"/>
      <c r="I1060"/>
      <c r="J1060"/>
      <c r="K1060"/>
      <c r="L1060"/>
    </row>
    <row r="1061" spans="2:12" x14ac:dyDescent="0.35">
      <c r="B1061" s="1953"/>
      <c r="C1061" s="1953"/>
      <c r="D1061" s="1953"/>
      <c r="E1061" s="1953"/>
      <c r="F1061" s="1953"/>
      <c r="G1061" s="1953"/>
      <c r="H1061" s="1953"/>
      <c r="I1061"/>
      <c r="J1061"/>
      <c r="K1061"/>
      <c r="L1061"/>
    </row>
    <row r="1062" spans="2:12" x14ac:dyDescent="0.35">
      <c r="B1062" s="1953"/>
      <c r="C1062" s="1953"/>
      <c r="D1062" s="1953"/>
      <c r="E1062" s="1953"/>
      <c r="F1062" s="1953"/>
      <c r="G1062" s="1953"/>
      <c r="H1062" s="1953"/>
      <c r="I1062"/>
      <c r="J1062"/>
      <c r="K1062"/>
      <c r="L1062"/>
    </row>
    <row r="1063" spans="2:12" x14ac:dyDescent="0.35">
      <c r="B1063" s="1953"/>
      <c r="C1063" s="1953"/>
      <c r="D1063" s="1953"/>
      <c r="E1063" s="1953"/>
      <c r="F1063" s="1953"/>
      <c r="G1063" s="1953"/>
      <c r="H1063" s="1953"/>
      <c r="I1063"/>
      <c r="J1063"/>
      <c r="K1063"/>
      <c r="L1063"/>
    </row>
    <row r="1064" spans="2:12" x14ac:dyDescent="0.35">
      <c r="B1064" s="1953"/>
      <c r="C1064" s="1953"/>
      <c r="D1064" s="1953"/>
      <c r="E1064" s="1953"/>
      <c r="F1064" s="1953"/>
      <c r="G1064" s="1953"/>
      <c r="H1064" s="1953"/>
      <c r="I1064"/>
      <c r="J1064"/>
      <c r="K1064"/>
      <c r="L1064"/>
    </row>
    <row r="1065" spans="2:12" x14ac:dyDescent="0.35">
      <c r="B1065" s="1953"/>
      <c r="C1065" s="1953"/>
      <c r="D1065" s="1953"/>
      <c r="E1065" s="1953"/>
      <c r="F1065" s="1953"/>
      <c r="G1065" s="1953"/>
      <c r="H1065" s="1953"/>
      <c r="I1065"/>
      <c r="J1065"/>
      <c r="K1065"/>
      <c r="L1065"/>
    </row>
    <row r="1066" spans="2:12" x14ac:dyDescent="0.35">
      <c r="B1066" s="1953"/>
      <c r="C1066" s="1953"/>
      <c r="D1066" s="1953"/>
      <c r="E1066" s="1953"/>
      <c r="F1066" s="1953"/>
      <c r="G1066" s="1953"/>
      <c r="H1066" s="1953"/>
      <c r="I1066"/>
      <c r="J1066"/>
      <c r="K1066"/>
      <c r="L1066"/>
    </row>
    <row r="1067" spans="2:12" x14ac:dyDescent="0.35">
      <c r="B1067" s="1953"/>
      <c r="C1067" s="1953"/>
      <c r="D1067" s="1953"/>
      <c r="E1067" s="1953"/>
      <c r="F1067" s="1953"/>
      <c r="G1067" s="1953"/>
      <c r="H1067" s="1953"/>
      <c r="I1067"/>
      <c r="J1067"/>
      <c r="K1067"/>
      <c r="L1067"/>
    </row>
    <row r="1068" spans="2:12" x14ac:dyDescent="0.35">
      <c r="B1068" s="1953"/>
      <c r="C1068" s="1953"/>
      <c r="D1068" s="1953"/>
      <c r="E1068" s="1953"/>
      <c r="F1068" s="1953"/>
      <c r="G1068" s="1953"/>
      <c r="H1068" s="1953"/>
      <c r="I1068"/>
      <c r="J1068"/>
      <c r="K1068"/>
      <c r="L1068"/>
    </row>
    <row r="1069" spans="2:12" x14ac:dyDescent="0.35">
      <c r="B1069" s="1953"/>
      <c r="C1069" s="1953"/>
      <c r="D1069" s="1953"/>
      <c r="E1069" s="1953"/>
      <c r="F1069" s="1953"/>
      <c r="G1069" s="1953"/>
      <c r="H1069" s="1953"/>
      <c r="I1069"/>
      <c r="J1069"/>
      <c r="K1069"/>
      <c r="L1069"/>
    </row>
    <row r="1070" spans="2:12" x14ac:dyDescent="0.35">
      <c r="B1070" s="1953"/>
      <c r="C1070" s="1953"/>
      <c r="D1070" s="1953"/>
      <c r="E1070" s="1953"/>
      <c r="F1070" s="1953"/>
      <c r="G1070" s="1953"/>
      <c r="H1070" s="1953"/>
      <c r="I1070"/>
      <c r="J1070"/>
      <c r="K1070"/>
      <c r="L1070"/>
    </row>
    <row r="1071" spans="2:12" x14ac:dyDescent="0.35">
      <c r="B1071" s="1953"/>
      <c r="C1071" s="1953"/>
      <c r="D1071" s="1953"/>
      <c r="E1071" s="1953"/>
      <c r="F1071" s="1953"/>
      <c r="G1071" s="1953"/>
      <c r="H1071" s="1953"/>
      <c r="I1071"/>
      <c r="J1071"/>
      <c r="K1071"/>
      <c r="L1071"/>
    </row>
    <row r="1072" spans="2:12" x14ac:dyDescent="0.35">
      <c r="B1072" s="1953"/>
      <c r="C1072" s="1953"/>
      <c r="D1072" s="1953"/>
      <c r="E1072" s="1953"/>
      <c r="F1072" s="1953"/>
      <c r="G1072" s="1953"/>
      <c r="H1072" s="1953"/>
      <c r="I1072"/>
      <c r="J1072"/>
      <c r="K1072"/>
      <c r="L1072"/>
    </row>
    <row r="1073" spans="2:12" x14ac:dyDescent="0.35">
      <c r="B1073" s="1953"/>
      <c r="C1073" s="1953"/>
      <c r="D1073" s="1953"/>
      <c r="E1073" s="1953"/>
      <c r="F1073" s="1953"/>
      <c r="G1073" s="1953"/>
      <c r="H1073" s="1953"/>
      <c r="I1073"/>
      <c r="J1073"/>
      <c r="K1073"/>
      <c r="L1073"/>
    </row>
    <row r="1074" spans="2:12" x14ac:dyDescent="0.35">
      <c r="B1074" s="1953"/>
      <c r="C1074" s="1953"/>
      <c r="D1074" s="1953"/>
      <c r="E1074" s="1953"/>
      <c r="F1074" s="1953"/>
      <c r="G1074" s="1953"/>
      <c r="H1074" s="1953"/>
      <c r="I1074"/>
      <c r="J1074"/>
      <c r="K1074"/>
      <c r="L1074"/>
    </row>
    <row r="1075" spans="2:12" x14ac:dyDescent="0.35">
      <c r="B1075" s="1953"/>
      <c r="C1075" s="1953"/>
      <c r="D1075" s="1953"/>
      <c r="E1075" s="1953"/>
      <c r="F1075" s="1953"/>
      <c r="G1075" s="1953"/>
      <c r="H1075" s="1953"/>
      <c r="I1075"/>
      <c r="J1075"/>
      <c r="K1075"/>
      <c r="L1075"/>
    </row>
    <row r="1076" spans="2:12" x14ac:dyDescent="0.35">
      <c r="B1076" s="1953"/>
      <c r="C1076" s="1953"/>
      <c r="D1076" s="1953"/>
      <c r="E1076" s="1953"/>
      <c r="F1076" s="1953"/>
      <c r="G1076" s="1953"/>
      <c r="H1076" s="1953"/>
      <c r="I1076"/>
      <c r="J1076"/>
      <c r="K1076"/>
      <c r="L1076"/>
    </row>
    <row r="1077" spans="2:12" x14ac:dyDescent="0.35">
      <c r="B1077" s="1953"/>
      <c r="C1077" s="1953"/>
      <c r="D1077" s="1953"/>
      <c r="E1077" s="1953"/>
      <c r="F1077" s="1953"/>
      <c r="G1077" s="1953"/>
      <c r="H1077" s="1953"/>
      <c r="I1077"/>
      <c r="J1077"/>
      <c r="K1077"/>
      <c r="L1077"/>
    </row>
    <row r="1078" spans="2:12" x14ac:dyDescent="0.35">
      <c r="B1078" s="1953"/>
      <c r="C1078" s="1953"/>
      <c r="D1078" s="1953"/>
      <c r="E1078" s="1953"/>
      <c r="F1078" s="1953"/>
      <c r="G1078" s="1953"/>
      <c r="H1078" s="1953"/>
      <c r="I1078"/>
      <c r="J1078"/>
      <c r="K1078"/>
      <c r="L1078"/>
    </row>
    <row r="1079" spans="2:12" x14ac:dyDescent="0.35">
      <c r="B1079" s="1953"/>
      <c r="C1079" s="1953"/>
      <c r="D1079" s="1953"/>
      <c r="E1079" s="1953"/>
      <c r="F1079" s="1953"/>
      <c r="G1079" s="1953"/>
      <c r="H1079" s="1953"/>
      <c r="I1079"/>
      <c r="J1079"/>
      <c r="K1079"/>
      <c r="L1079"/>
    </row>
    <row r="1080" spans="2:12" x14ac:dyDescent="0.35">
      <c r="B1080" s="1953"/>
      <c r="C1080" s="1953"/>
      <c r="D1080" s="1953"/>
      <c r="E1080" s="1953"/>
      <c r="F1080" s="1953"/>
      <c r="G1080" s="1953"/>
      <c r="H1080" s="1953"/>
      <c r="I1080"/>
      <c r="J1080"/>
      <c r="K1080"/>
      <c r="L1080"/>
    </row>
    <row r="1081" spans="2:12" x14ac:dyDescent="0.35">
      <c r="B1081" s="1953"/>
      <c r="C1081" s="1953"/>
      <c r="D1081" s="1953"/>
      <c r="E1081" s="1953"/>
      <c r="F1081" s="1953"/>
      <c r="G1081" s="1953"/>
      <c r="H1081" s="1953"/>
      <c r="I1081"/>
      <c r="J1081"/>
      <c r="K1081"/>
      <c r="L1081"/>
    </row>
    <row r="1082" spans="2:12" x14ac:dyDescent="0.35">
      <c r="B1082" s="1953"/>
      <c r="C1082" s="1953"/>
      <c r="D1082" s="1953"/>
      <c r="E1082" s="1953"/>
      <c r="F1082" s="1953"/>
      <c r="G1082" s="1953"/>
      <c r="H1082" s="1953"/>
      <c r="I1082"/>
      <c r="J1082"/>
      <c r="K1082"/>
      <c r="L1082"/>
    </row>
    <row r="1083" spans="2:12" x14ac:dyDescent="0.35">
      <c r="B1083" s="1953"/>
      <c r="C1083" s="1953"/>
      <c r="D1083" s="1953"/>
      <c r="E1083" s="1953"/>
      <c r="F1083" s="1953"/>
      <c r="G1083" s="1953"/>
      <c r="H1083" s="1953"/>
      <c r="I1083"/>
      <c r="J1083"/>
      <c r="K1083"/>
      <c r="L1083"/>
    </row>
    <row r="1084" spans="2:12" x14ac:dyDescent="0.35">
      <c r="B1084" s="1953"/>
      <c r="C1084" s="1953"/>
      <c r="D1084" s="1953"/>
      <c r="E1084" s="1953"/>
      <c r="F1084" s="1953"/>
      <c r="G1084" s="1953"/>
      <c r="H1084" s="1953"/>
      <c r="I1084"/>
      <c r="J1084"/>
      <c r="K1084"/>
      <c r="L1084"/>
    </row>
    <row r="1085" spans="2:12" x14ac:dyDescent="0.35">
      <c r="B1085" s="1953"/>
      <c r="C1085" s="1953"/>
      <c r="D1085" s="1953"/>
      <c r="E1085" s="1953"/>
      <c r="F1085" s="1953"/>
      <c r="G1085" s="1953"/>
      <c r="H1085" s="1953"/>
      <c r="I1085"/>
      <c r="J1085"/>
      <c r="K1085"/>
      <c r="L1085"/>
    </row>
    <row r="1086" spans="2:12" x14ac:dyDescent="0.35">
      <c r="B1086" s="1953"/>
      <c r="C1086" s="1953"/>
      <c r="D1086" s="1953"/>
      <c r="E1086" s="1953"/>
      <c r="F1086" s="1953"/>
      <c r="G1086" s="1953"/>
      <c r="H1086" s="1953"/>
      <c r="I1086"/>
      <c r="J1086"/>
      <c r="K1086"/>
      <c r="L1086"/>
    </row>
    <row r="1087" spans="2:12" x14ac:dyDescent="0.35">
      <c r="B1087" s="1953"/>
      <c r="C1087" s="1953"/>
      <c r="D1087" s="1953"/>
      <c r="E1087" s="1953"/>
      <c r="F1087" s="1953"/>
      <c r="G1087" s="1953"/>
      <c r="H1087" s="1953"/>
      <c r="I1087"/>
      <c r="J1087"/>
      <c r="K1087"/>
      <c r="L1087"/>
    </row>
    <row r="1088" spans="2:12" x14ac:dyDescent="0.35">
      <c r="B1088" s="1953"/>
      <c r="C1088" s="1953"/>
      <c r="D1088" s="1953"/>
      <c r="E1088" s="1953"/>
      <c r="F1088" s="1953"/>
      <c r="G1088" s="1953"/>
      <c r="H1088" s="1953"/>
      <c r="I1088"/>
      <c r="J1088"/>
      <c r="K1088"/>
      <c r="L1088"/>
    </row>
    <row r="1089" spans="2:12" x14ac:dyDescent="0.35">
      <c r="B1089" s="1953"/>
      <c r="C1089" s="1953"/>
      <c r="D1089" s="1953"/>
      <c r="E1089" s="1953"/>
      <c r="F1089" s="1953"/>
      <c r="G1089" s="1953"/>
      <c r="H1089" s="1953"/>
      <c r="I1089"/>
      <c r="J1089"/>
      <c r="K1089"/>
      <c r="L1089"/>
    </row>
    <row r="1090" spans="2:12" x14ac:dyDescent="0.35">
      <c r="B1090" s="1953"/>
      <c r="C1090" s="1953"/>
      <c r="D1090" s="1953"/>
      <c r="E1090" s="1953"/>
      <c r="F1090" s="1953"/>
      <c r="G1090" s="1953"/>
      <c r="H1090" s="1953"/>
      <c r="I1090"/>
      <c r="J1090"/>
      <c r="K1090"/>
      <c r="L1090"/>
    </row>
    <row r="1091" spans="2:12" x14ac:dyDescent="0.35">
      <c r="B1091" s="1953"/>
      <c r="C1091" s="1953"/>
      <c r="D1091" s="1953"/>
      <c r="E1091" s="1953"/>
      <c r="F1091" s="1953"/>
      <c r="G1091" s="1953"/>
      <c r="H1091" s="1953"/>
      <c r="I1091"/>
      <c r="J1091"/>
      <c r="K1091"/>
      <c r="L1091"/>
    </row>
    <row r="1092" spans="2:12" x14ac:dyDescent="0.35">
      <c r="B1092" s="1953"/>
      <c r="C1092" s="1953"/>
      <c r="D1092" s="1953"/>
      <c r="E1092" s="1953"/>
      <c r="F1092" s="1953"/>
      <c r="G1092" s="1953"/>
      <c r="H1092" s="1953"/>
      <c r="I1092"/>
      <c r="J1092"/>
      <c r="K1092"/>
      <c r="L1092"/>
    </row>
    <row r="1093" spans="2:12" x14ac:dyDescent="0.35">
      <c r="B1093" s="1953"/>
      <c r="C1093" s="1953"/>
      <c r="D1093" s="1953"/>
      <c r="E1093" s="1953"/>
      <c r="F1093" s="1953"/>
      <c r="G1093" s="1953"/>
      <c r="H1093" s="1953"/>
      <c r="I1093"/>
      <c r="J1093"/>
      <c r="K1093"/>
      <c r="L1093"/>
    </row>
    <row r="1094" spans="2:12" x14ac:dyDescent="0.35">
      <c r="B1094" s="1953"/>
      <c r="C1094" s="1953"/>
      <c r="D1094" s="1953"/>
      <c r="E1094" s="1953"/>
      <c r="F1094" s="1953"/>
      <c r="G1094" s="1953"/>
      <c r="H1094" s="1953"/>
      <c r="I1094"/>
      <c r="J1094"/>
      <c r="K1094"/>
      <c r="L1094"/>
    </row>
    <row r="1095" spans="2:12" x14ac:dyDescent="0.35">
      <c r="B1095" s="1953"/>
      <c r="C1095" s="1953"/>
      <c r="D1095" s="1953"/>
      <c r="E1095" s="1953"/>
      <c r="F1095" s="1953"/>
      <c r="G1095" s="1953"/>
      <c r="H1095" s="1953"/>
      <c r="I1095"/>
      <c r="J1095"/>
      <c r="K1095"/>
      <c r="L1095"/>
    </row>
    <row r="1096" spans="2:12" x14ac:dyDescent="0.35">
      <c r="B1096" s="1953"/>
      <c r="C1096" s="1953"/>
      <c r="D1096" s="1953"/>
      <c r="E1096" s="1953"/>
      <c r="F1096" s="1953"/>
      <c r="G1096" s="1953"/>
      <c r="H1096" s="1953"/>
      <c r="I1096"/>
      <c r="J1096"/>
      <c r="K1096"/>
      <c r="L1096"/>
    </row>
    <row r="1097" spans="2:12" x14ac:dyDescent="0.35">
      <c r="B1097" s="1953"/>
      <c r="C1097" s="1953"/>
      <c r="D1097" s="1953"/>
      <c r="E1097" s="1953"/>
      <c r="F1097" s="1953"/>
      <c r="G1097" s="1953"/>
      <c r="H1097" s="1953"/>
      <c r="I1097"/>
      <c r="J1097"/>
      <c r="K1097"/>
      <c r="L1097"/>
    </row>
    <row r="1098" spans="2:12" x14ac:dyDescent="0.35">
      <c r="B1098" s="1953"/>
      <c r="C1098" s="1953"/>
      <c r="D1098" s="1953"/>
      <c r="E1098" s="1953"/>
      <c r="F1098" s="1953"/>
      <c r="G1098" s="1953"/>
      <c r="H1098" s="1953"/>
      <c r="I1098"/>
      <c r="J1098"/>
      <c r="K1098"/>
      <c r="L1098"/>
    </row>
    <row r="1099" spans="2:12" x14ac:dyDescent="0.35">
      <c r="B1099" s="1953"/>
      <c r="C1099" s="1953"/>
      <c r="D1099" s="1953"/>
      <c r="E1099" s="1953"/>
      <c r="F1099" s="1953"/>
      <c r="G1099" s="1953"/>
      <c r="H1099" s="1953"/>
      <c r="I1099"/>
      <c r="J1099"/>
      <c r="K1099"/>
      <c r="L1099"/>
    </row>
    <row r="1100" spans="2:12" x14ac:dyDescent="0.35">
      <c r="B1100" s="1953"/>
      <c r="C1100" s="1953"/>
      <c r="D1100" s="1953"/>
      <c r="E1100" s="1953"/>
      <c r="F1100" s="1953"/>
      <c r="G1100" s="1953"/>
      <c r="H1100" s="1953"/>
      <c r="I1100"/>
      <c r="J1100"/>
      <c r="K1100"/>
      <c r="L1100"/>
    </row>
    <row r="1101" spans="2:12" x14ac:dyDescent="0.35">
      <c r="B1101" s="1953"/>
      <c r="C1101" s="1953"/>
      <c r="D1101" s="1953"/>
      <c r="E1101" s="1953"/>
      <c r="F1101" s="1953"/>
      <c r="G1101" s="1953"/>
      <c r="H1101" s="1953"/>
      <c r="I1101"/>
      <c r="J1101"/>
      <c r="K1101"/>
      <c r="L1101"/>
    </row>
    <row r="1102" spans="2:12" x14ac:dyDescent="0.35">
      <c r="B1102" s="1953"/>
      <c r="C1102" s="1953"/>
      <c r="D1102" s="1953"/>
      <c r="E1102" s="1953"/>
      <c r="F1102" s="1953"/>
      <c r="G1102" s="1953"/>
      <c r="H1102" s="1953"/>
      <c r="I1102"/>
      <c r="J1102"/>
      <c r="K1102"/>
      <c r="L1102"/>
    </row>
    <row r="1103" spans="2:12" x14ac:dyDescent="0.35">
      <c r="B1103" s="1953"/>
      <c r="C1103" s="1953"/>
      <c r="D1103" s="1953"/>
      <c r="E1103" s="1953"/>
      <c r="F1103" s="1953"/>
      <c r="G1103" s="1953"/>
      <c r="H1103" s="1953"/>
      <c r="I1103"/>
      <c r="J1103"/>
      <c r="K1103"/>
      <c r="L1103"/>
    </row>
    <row r="1104" spans="2:12" x14ac:dyDescent="0.35">
      <c r="B1104" s="1953"/>
      <c r="C1104" s="1953"/>
      <c r="D1104" s="1953"/>
      <c r="E1104" s="1953"/>
      <c r="F1104" s="1953"/>
      <c r="G1104" s="1953"/>
      <c r="H1104" s="1953"/>
      <c r="I1104"/>
      <c r="J1104"/>
      <c r="K1104"/>
      <c r="L1104"/>
    </row>
    <row r="1105" spans="2:12" x14ac:dyDescent="0.35">
      <c r="B1105" s="1953"/>
      <c r="C1105" s="1953"/>
      <c r="D1105" s="1953"/>
      <c r="E1105" s="1953"/>
      <c r="F1105" s="1953"/>
      <c r="G1105" s="1953"/>
      <c r="H1105" s="1953"/>
      <c r="I1105"/>
      <c r="J1105"/>
      <c r="K1105"/>
      <c r="L1105"/>
    </row>
    <row r="1106" spans="2:12" x14ac:dyDescent="0.35">
      <c r="B1106" s="1953"/>
      <c r="C1106" s="1953"/>
      <c r="D1106" s="1953"/>
      <c r="E1106" s="1953"/>
      <c r="F1106" s="1953"/>
      <c r="G1106" s="1953"/>
      <c r="H1106" s="1953"/>
      <c r="I1106"/>
      <c r="J1106"/>
      <c r="K1106"/>
      <c r="L1106"/>
    </row>
    <row r="1107" spans="2:12" x14ac:dyDescent="0.35">
      <c r="B1107" s="1953"/>
      <c r="C1107" s="1953"/>
      <c r="D1107" s="1953"/>
      <c r="E1107" s="1953"/>
      <c r="F1107" s="1953"/>
      <c r="G1107" s="1953"/>
      <c r="H1107" s="1953"/>
      <c r="I1107"/>
      <c r="J1107"/>
      <c r="K1107"/>
      <c r="L1107"/>
    </row>
    <row r="1108" spans="2:12" x14ac:dyDescent="0.35">
      <c r="B1108" s="1953"/>
      <c r="C1108" s="1953"/>
      <c r="D1108" s="1953"/>
      <c r="E1108" s="1953"/>
      <c r="F1108" s="1953"/>
      <c r="G1108" s="1953"/>
      <c r="H1108" s="1953"/>
      <c r="I1108"/>
      <c r="J1108"/>
      <c r="K1108"/>
      <c r="L1108"/>
    </row>
    <row r="1109" spans="2:12" x14ac:dyDescent="0.35">
      <c r="B1109" s="1953"/>
      <c r="C1109" s="1953"/>
      <c r="D1109" s="1953"/>
      <c r="E1109" s="1953"/>
      <c r="F1109" s="1953"/>
      <c r="G1109" s="1953"/>
      <c r="H1109" s="1953"/>
      <c r="I1109"/>
      <c r="J1109"/>
      <c r="K1109"/>
      <c r="L1109"/>
    </row>
    <row r="1110" spans="2:12" x14ac:dyDescent="0.35">
      <c r="B1110" s="1953"/>
      <c r="C1110" s="1953"/>
      <c r="D1110" s="1953"/>
      <c r="E1110" s="1953"/>
      <c r="F1110" s="1953"/>
      <c r="G1110" s="1953"/>
      <c r="H1110" s="1953"/>
      <c r="I1110"/>
      <c r="J1110"/>
      <c r="K1110"/>
      <c r="L1110"/>
    </row>
    <row r="1111" spans="2:12" x14ac:dyDescent="0.35">
      <c r="B1111" s="1953"/>
      <c r="C1111" s="1953"/>
      <c r="D1111" s="1953"/>
      <c r="E1111" s="1953"/>
      <c r="F1111" s="1953"/>
      <c r="G1111" s="1953"/>
      <c r="H1111" s="1953"/>
      <c r="I1111"/>
      <c r="J1111"/>
      <c r="K1111"/>
      <c r="L1111"/>
    </row>
    <row r="1112" spans="2:12" x14ac:dyDescent="0.35">
      <c r="B1112" s="1953"/>
      <c r="C1112" s="1953"/>
      <c r="D1112" s="1953"/>
      <c r="E1112" s="1953"/>
      <c r="F1112" s="1953"/>
      <c r="G1112" s="1953"/>
      <c r="H1112" s="1953"/>
      <c r="I1112"/>
      <c r="J1112"/>
      <c r="K1112"/>
      <c r="L1112"/>
    </row>
    <row r="1113" spans="2:12" x14ac:dyDescent="0.35">
      <c r="B1113" s="1953"/>
      <c r="C1113" s="1953"/>
      <c r="D1113" s="1953"/>
      <c r="E1113" s="1953"/>
      <c r="F1113" s="1953"/>
      <c r="G1113" s="1953"/>
      <c r="H1113" s="1953"/>
      <c r="I1113"/>
      <c r="J1113"/>
      <c r="K1113"/>
      <c r="L1113"/>
    </row>
    <row r="1114" spans="2:12" x14ac:dyDescent="0.35">
      <c r="B1114" s="1953"/>
      <c r="C1114" s="1953"/>
      <c r="D1114" s="1953"/>
      <c r="E1114" s="1953"/>
      <c r="F1114" s="1953"/>
      <c r="G1114" s="1953"/>
      <c r="H1114" s="1953"/>
      <c r="I1114"/>
      <c r="J1114"/>
      <c r="K1114"/>
      <c r="L1114"/>
    </row>
    <row r="1115" spans="2:12" x14ac:dyDescent="0.35">
      <c r="B1115" s="1953"/>
      <c r="C1115" s="1953"/>
      <c r="D1115" s="1953"/>
      <c r="E1115" s="1953"/>
      <c r="F1115" s="1953"/>
      <c r="G1115" s="1953"/>
      <c r="H1115" s="1953"/>
      <c r="I1115"/>
      <c r="J1115"/>
      <c r="K1115"/>
      <c r="L1115"/>
    </row>
    <row r="1116" spans="2:12" x14ac:dyDescent="0.35">
      <c r="B1116" s="1953"/>
      <c r="C1116" s="1953"/>
      <c r="D1116" s="1953"/>
      <c r="E1116" s="1953"/>
      <c r="F1116" s="1953"/>
      <c r="G1116" s="1953"/>
      <c r="H1116" s="1953"/>
      <c r="I1116"/>
      <c r="J1116"/>
      <c r="K1116"/>
      <c r="L1116"/>
    </row>
    <row r="1117" spans="2:12" x14ac:dyDescent="0.35">
      <c r="B1117" s="1953"/>
      <c r="C1117" s="1953"/>
      <c r="D1117" s="1953"/>
      <c r="E1117" s="1953"/>
      <c r="F1117" s="1953"/>
      <c r="G1117" s="1953"/>
      <c r="H1117" s="1953"/>
      <c r="I1117"/>
      <c r="J1117"/>
      <c r="K1117"/>
      <c r="L1117"/>
    </row>
    <row r="1118" spans="2:12" x14ac:dyDescent="0.35">
      <c r="B1118" s="1953"/>
      <c r="C1118" s="1953"/>
      <c r="D1118" s="1953"/>
      <c r="E1118" s="1953"/>
      <c r="F1118" s="1953"/>
      <c r="G1118" s="1953"/>
      <c r="H1118" s="1953"/>
      <c r="I1118"/>
      <c r="J1118"/>
      <c r="K1118"/>
      <c r="L1118"/>
    </row>
    <row r="1119" spans="2:12" x14ac:dyDescent="0.35">
      <c r="B1119" s="1953"/>
      <c r="C1119" s="1953"/>
      <c r="D1119" s="1953"/>
      <c r="E1119" s="1953"/>
      <c r="F1119" s="1953"/>
      <c r="G1119" s="1953"/>
      <c r="H1119" s="1953"/>
      <c r="I1119"/>
      <c r="J1119"/>
      <c r="K1119"/>
      <c r="L1119"/>
    </row>
    <row r="1120" spans="2:12" x14ac:dyDescent="0.35">
      <c r="B1120" s="1953"/>
      <c r="C1120" s="1953"/>
      <c r="D1120" s="1953"/>
      <c r="E1120" s="1953"/>
      <c r="F1120" s="1953"/>
      <c r="G1120" s="1953"/>
      <c r="H1120" s="1953"/>
      <c r="I1120"/>
      <c r="J1120"/>
      <c r="K1120"/>
      <c r="L1120"/>
    </row>
    <row r="1121" spans="2:12" x14ac:dyDescent="0.35">
      <c r="B1121" s="1953"/>
      <c r="C1121" s="1953"/>
      <c r="D1121" s="1953"/>
      <c r="E1121" s="1953"/>
      <c r="F1121" s="1953"/>
      <c r="G1121" s="1953"/>
      <c r="H1121" s="1953"/>
      <c r="I1121"/>
      <c r="J1121"/>
      <c r="K1121"/>
      <c r="L1121"/>
    </row>
    <row r="1122" spans="2:12" x14ac:dyDescent="0.35">
      <c r="B1122" s="1953"/>
      <c r="C1122" s="1953"/>
      <c r="D1122" s="1953"/>
      <c r="E1122" s="1953"/>
      <c r="F1122" s="1953"/>
      <c r="G1122" s="1953"/>
      <c r="H1122" s="1953"/>
      <c r="I1122"/>
      <c r="J1122"/>
      <c r="K1122"/>
      <c r="L1122"/>
    </row>
    <row r="1123" spans="2:12" x14ac:dyDescent="0.35">
      <c r="B1123" s="1953"/>
      <c r="C1123" s="1953"/>
      <c r="D1123" s="1953"/>
      <c r="E1123" s="1953"/>
      <c r="F1123" s="1953"/>
      <c r="G1123" s="1953"/>
      <c r="H1123" s="1953"/>
      <c r="I1123"/>
      <c r="J1123"/>
      <c r="K1123"/>
      <c r="L1123"/>
    </row>
    <row r="1124" spans="2:12" x14ac:dyDescent="0.35">
      <c r="B1124" s="1953"/>
      <c r="C1124" s="1953"/>
      <c r="D1124" s="1953"/>
      <c r="E1124" s="1953"/>
      <c r="F1124" s="1953"/>
      <c r="G1124" s="1953"/>
      <c r="H1124" s="1953"/>
      <c r="I1124"/>
      <c r="J1124"/>
      <c r="K1124"/>
      <c r="L1124"/>
    </row>
    <row r="1125" spans="2:12" x14ac:dyDescent="0.35">
      <c r="B1125" s="1953"/>
      <c r="C1125" s="1953"/>
      <c r="D1125" s="1953"/>
      <c r="E1125" s="1953"/>
      <c r="F1125" s="1953"/>
      <c r="G1125" s="1953"/>
      <c r="H1125" s="1953"/>
      <c r="I1125"/>
      <c r="J1125"/>
      <c r="K1125"/>
      <c r="L1125"/>
    </row>
    <row r="1126" spans="2:12" x14ac:dyDescent="0.35">
      <c r="B1126" s="1953"/>
      <c r="C1126" s="1953"/>
      <c r="D1126" s="1953"/>
      <c r="E1126" s="1953"/>
      <c r="F1126" s="1953"/>
      <c r="G1126" s="1953"/>
      <c r="H1126" s="1953"/>
      <c r="I1126"/>
      <c r="J1126"/>
      <c r="K1126"/>
      <c r="L1126"/>
    </row>
    <row r="1127" spans="2:12" x14ac:dyDescent="0.35">
      <c r="B1127" s="1953"/>
      <c r="C1127" s="1953"/>
      <c r="D1127" s="1953"/>
      <c r="E1127" s="1953"/>
      <c r="F1127" s="1953"/>
      <c r="G1127" s="1953"/>
      <c r="H1127" s="1953"/>
      <c r="I1127"/>
      <c r="J1127"/>
      <c r="K1127"/>
      <c r="L1127"/>
    </row>
    <row r="1128" spans="2:12" x14ac:dyDescent="0.35">
      <c r="B1128" s="1953"/>
      <c r="C1128" s="1953"/>
      <c r="D1128" s="1953"/>
      <c r="E1128" s="1953"/>
      <c r="F1128" s="1953"/>
      <c r="G1128" s="1953"/>
      <c r="H1128" s="1953"/>
      <c r="I1128"/>
      <c r="J1128"/>
      <c r="K1128"/>
      <c r="L1128"/>
    </row>
    <row r="1129" spans="2:12" x14ac:dyDescent="0.35">
      <c r="B1129" s="1953"/>
      <c r="C1129" s="1953"/>
      <c r="D1129" s="1953"/>
      <c r="E1129" s="1953"/>
      <c r="F1129" s="1953"/>
      <c r="G1129" s="1953"/>
      <c r="H1129" s="1953"/>
      <c r="I1129"/>
      <c r="J1129"/>
      <c r="K1129"/>
      <c r="L1129"/>
    </row>
    <row r="1130" spans="2:12" x14ac:dyDescent="0.35">
      <c r="B1130" s="1953"/>
      <c r="C1130" s="1953"/>
      <c r="D1130" s="1953"/>
      <c r="E1130" s="1953"/>
      <c r="F1130" s="1953"/>
      <c r="G1130" s="1953"/>
      <c r="H1130" s="1953"/>
      <c r="I1130"/>
      <c r="J1130"/>
      <c r="K1130"/>
      <c r="L1130"/>
    </row>
    <row r="1131" spans="2:12" x14ac:dyDescent="0.35">
      <c r="B1131" s="1953"/>
      <c r="C1131" s="1953"/>
      <c r="D1131" s="1953"/>
      <c r="E1131" s="1953"/>
      <c r="F1131" s="1953"/>
      <c r="G1131" s="1953"/>
      <c r="H1131" s="1953"/>
      <c r="I1131"/>
      <c r="J1131"/>
      <c r="K1131"/>
      <c r="L1131"/>
    </row>
    <row r="1132" spans="2:12" x14ac:dyDescent="0.35">
      <c r="B1132" s="1953"/>
      <c r="C1132" s="1953"/>
      <c r="D1132" s="1953"/>
      <c r="E1132" s="1953"/>
      <c r="F1132" s="1953"/>
      <c r="G1132" s="1953"/>
      <c r="H1132" s="1953"/>
      <c r="I1132"/>
      <c r="J1132"/>
      <c r="K1132"/>
      <c r="L1132"/>
    </row>
    <row r="1133" spans="2:12" x14ac:dyDescent="0.35">
      <c r="B1133" s="1953"/>
      <c r="C1133" s="1953"/>
      <c r="D1133" s="1953"/>
      <c r="E1133" s="1953"/>
      <c r="F1133" s="1953"/>
      <c r="G1133" s="1953"/>
      <c r="H1133" s="1953"/>
      <c r="I1133"/>
      <c r="J1133"/>
      <c r="K1133"/>
      <c r="L1133"/>
    </row>
    <row r="1134" spans="2:12" x14ac:dyDescent="0.35">
      <c r="B1134" s="1953"/>
      <c r="C1134" s="1953"/>
      <c r="D1134" s="1953"/>
      <c r="E1134" s="1953"/>
      <c r="F1134" s="1953"/>
      <c r="G1134" s="1953"/>
      <c r="H1134" s="1953"/>
      <c r="I1134"/>
      <c r="J1134"/>
      <c r="K1134"/>
      <c r="L1134"/>
    </row>
    <row r="1135" spans="2:12" x14ac:dyDescent="0.35">
      <c r="B1135" s="1953"/>
      <c r="C1135" s="1953"/>
      <c r="D1135" s="1953"/>
      <c r="E1135" s="1953"/>
      <c r="F1135" s="1953"/>
      <c r="G1135" s="1953"/>
      <c r="H1135" s="1953"/>
      <c r="I1135"/>
      <c r="J1135"/>
      <c r="K1135"/>
      <c r="L1135"/>
    </row>
    <row r="1136" spans="2:12" x14ac:dyDescent="0.35">
      <c r="B1136" s="1953"/>
      <c r="C1136" s="1953"/>
      <c r="D1136" s="1953"/>
      <c r="E1136" s="1953"/>
      <c r="F1136" s="1953"/>
      <c r="G1136" s="1953"/>
      <c r="H1136" s="1953"/>
      <c r="I1136"/>
      <c r="J1136"/>
      <c r="K1136"/>
      <c r="L1136"/>
    </row>
    <row r="1137" spans="2:12" x14ac:dyDescent="0.35">
      <c r="B1137" s="1953"/>
      <c r="C1137" s="1953"/>
      <c r="D1137" s="1953"/>
      <c r="E1137" s="1953"/>
      <c r="F1137" s="1953"/>
      <c r="G1137" s="1953"/>
      <c r="H1137" s="1953"/>
      <c r="I1137"/>
      <c r="J1137"/>
      <c r="K1137"/>
      <c r="L1137"/>
    </row>
    <row r="1138" spans="2:12" x14ac:dyDescent="0.35">
      <c r="B1138" s="1953"/>
      <c r="C1138" s="1953"/>
      <c r="D1138" s="1953"/>
      <c r="E1138" s="1953"/>
      <c r="F1138" s="1953"/>
      <c r="G1138" s="1953"/>
      <c r="H1138" s="1953"/>
      <c r="I1138"/>
      <c r="J1138"/>
      <c r="K1138"/>
      <c r="L1138"/>
    </row>
    <row r="1139" spans="2:12" x14ac:dyDescent="0.35">
      <c r="B1139" s="1953"/>
      <c r="C1139" s="1953"/>
      <c r="D1139" s="1953"/>
      <c r="E1139" s="1953"/>
      <c r="F1139" s="1953"/>
      <c r="G1139" s="1953"/>
      <c r="H1139" s="1953"/>
      <c r="I1139"/>
      <c r="J1139"/>
      <c r="K1139"/>
      <c r="L1139"/>
    </row>
    <row r="1140" spans="2:12" x14ac:dyDescent="0.35">
      <c r="B1140" s="1953"/>
      <c r="C1140" s="1953"/>
      <c r="D1140" s="1953"/>
      <c r="E1140" s="1953"/>
      <c r="F1140" s="1953"/>
      <c r="G1140" s="1953"/>
      <c r="H1140" s="1953"/>
      <c r="I1140"/>
      <c r="J1140"/>
      <c r="K1140"/>
      <c r="L1140"/>
    </row>
    <row r="1141" spans="2:12" x14ac:dyDescent="0.35">
      <c r="B1141" s="1953"/>
      <c r="C1141" s="1953"/>
      <c r="D1141" s="1953"/>
      <c r="E1141" s="1953"/>
      <c r="F1141" s="1953"/>
      <c r="G1141" s="1953"/>
      <c r="H1141" s="1953"/>
      <c r="I1141"/>
      <c r="J1141"/>
      <c r="K1141"/>
      <c r="L1141"/>
    </row>
    <row r="1142" spans="2:12" x14ac:dyDescent="0.35">
      <c r="B1142" s="1953"/>
      <c r="C1142" s="1953"/>
      <c r="D1142" s="1953"/>
      <c r="E1142" s="1953"/>
      <c r="F1142" s="1953"/>
      <c r="G1142" s="1953"/>
      <c r="H1142" s="1953"/>
      <c r="I1142"/>
      <c r="J1142"/>
      <c r="K1142"/>
      <c r="L1142"/>
    </row>
    <row r="1143" spans="2:12" x14ac:dyDescent="0.35">
      <c r="B1143" s="1953"/>
      <c r="C1143" s="1953"/>
      <c r="D1143" s="1953"/>
      <c r="E1143" s="1953"/>
      <c r="F1143" s="1953"/>
      <c r="G1143" s="1953"/>
      <c r="H1143" s="1953"/>
      <c r="I1143"/>
      <c r="J1143"/>
      <c r="K1143"/>
      <c r="L1143"/>
    </row>
    <row r="1144" spans="2:12" x14ac:dyDescent="0.35">
      <c r="B1144" s="1953"/>
      <c r="C1144" s="1953"/>
      <c r="D1144" s="1953"/>
      <c r="E1144" s="1953"/>
      <c r="F1144" s="1953"/>
      <c r="G1144" s="1953"/>
      <c r="H1144" s="1953"/>
      <c r="I1144"/>
      <c r="J1144"/>
      <c r="K1144"/>
      <c r="L1144"/>
    </row>
    <row r="1145" spans="2:12" x14ac:dyDescent="0.35">
      <c r="B1145" s="1953"/>
      <c r="C1145" s="1953"/>
      <c r="D1145" s="1953"/>
      <c r="E1145" s="1953"/>
      <c r="F1145" s="1953"/>
      <c r="G1145" s="1953"/>
      <c r="H1145" s="1953"/>
      <c r="I1145"/>
      <c r="J1145"/>
      <c r="K1145"/>
      <c r="L1145"/>
    </row>
    <row r="1146" spans="2:12" x14ac:dyDescent="0.35">
      <c r="B1146" s="1953"/>
      <c r="C1146" s="1953"/>
      <c r="D1146" s="1953"/>
      <c r="E1146" s="1953"/>
      <c r="F1146" s="1953"/>
      <c r="G1146" s="1953"/>
      <c r="H1146" s="1953"/>
      <c r="I1146"/>
      <c r="J1146"/>
      <c r="K1146"/>
      <c r="L1146"/>
    </row>
    <row r="1147" spans="2:12" x14ac:dyDescent="0.35">
      <c r="B1147" s="1953"/>
      <c r="C1147" s="1953"/>
      <c r="D1147" s="1953"/>
      <c r="E1147" s="1953"/>
      <c r="F1147" s="1953"/>
      <c r="G1147" s="1953"/>
      <c r="H1147" s="1953"/>
      <c r="I1147"/>
      <c r="J1147"/>
      <c r="K1147"/>
      <c r="L1147"/>
    </row>
    <row r="1148" spans="2:12" x14ac:dyDescent="0.35">
      <c r="B1148" s="1953"/>
      <c r="C1148" s="1953"/>
      <c r="D1148" s="1953"/>
      <c r="E1148" s="1953"/>
      <c r="F1148" s="1953"/>
      <c r="G1148" s="1953"/>
      <c r="H1148" s="1953"/>
      <c r="I1148"/>
      <c r="J1148"/>
      <c r="K1148"/>
      <c r="L1148"/>
    </row>
    <row r="1149" spans="2:12" x14ac:dyDescent="0.35">
      <c r="B1149" s="1953"/>
      <c r="C1149" s="1953"/>
      <c r="D1149" s="1953"/>
      <c r="E1149" s="1953"/>
      <c r="F1149" s="1953"/>
      <c r="G1149" s="1953"/>
      <c r="H1149" s="1953"/>
      <c r="I1149"/>
      <c r="J1149"/>
      <c r="K1149"/>
      <c r="L1149"/>
    </row>
    <row r="1150" spans="2:12" x14ac:dyDescent="0.35">
      <c r="B1150" s="1953"/>
      <c r="C1150" s="1953"/>
      <c r="D1150" s="1953"/>
      <c r="E1150" s="1953"/>
      <c r="F1150" s="1953"/>
      <c r="G1150" s="1953"/>
      <c r="H1150" s="1953"/>
      <c r="I1150"/>
      <c r="J1150"/>
      <c r="K1150"/>
      <c r="L1150"/>
    </row>
    <row r="1151" spans="2:12" x14ac:dyDescent="0.35">
      <c r="B1151" s="1953"/>
      <c r="C1151" s="1953"/>
      <c r="D1151" s="1953"/>
      <c r="E1151" s="1953"/>
      <c r="F1151" s="1953"/>
      <c r="G1151" s="1953"/>
      <c r="H1151" s="1953"/>
      <c r="I1151"/>
      <c r="J1151"/>
      <c r="K1151"/>
      <c r="L1151"/>
    </row>
    <row r="1152" spans="2:12" x14ac:dyDescent="0.35">
      <c r="B1152" s="1953"/>
      <c r="C1152" s="1953"/>
      <c r="D1152" s="1953"/>
      <c r="E1152" s="1953"/>
      <c r="F1152" s="1953"/>
      <c r="G1152" s="1953"/>
      <c r="H1152" s="1953"/>
      <c r="I1152"/>
      <c r="J1152"/>
      <c r="K1152"/>
      <c r="L1152"/>
    </row>
    <row r="1153" spans="2:12" x14ac:dyDescent="0.35">
      <c r="B1153" s="1953"/>
      <c r="C1153" s="1953"/>
      <c r="D1153" s="1953"/>
      <c r="E1153" s="1953"/>
      <c r="F1153" s="1953"/>
      <c r="G1153" s="1953"/>
      <c r="H1153" s="1953"/>
      <c r="I1153"/>
      <c r="J1153"/>
      <c r="K1153"/>
      <c r="L1153"/>
    </row>
    <row r="1154" spans="2:12" x14ac:dyDescent="0.35">
      <c r="B1154" s="1953"/>
      <c r="C1154" s="1953"/>
      <c r="D1154" s="1953"/>
      <c r="E1154" s="1953"/>
      <c r="F1154" s="1953"/>
      <c r="G1154" s="1953"/>
      <c r="H1154" s="1953"/>
      <c r="I1154"/>
      <c r="J1154"/>
      <c r="K1154"/>
      <c r="L1154"/>
    </row>
    <row r="1155" spans="2:12" x14ac:dyDescent="0.35">
      <c r="B1155" s="1953"/>
      <c r="C1155" s="1953"/>
      <c r="D1155" s="1953"/>
      <c r="E1155" s="1953"/>
      <c r="F1155" s="1953"/>
      <c r="G1155" s="1953"/>
      <c r="H1155" s="1953"/>
      <c r="I1155"/>
      <c r="J1155"/>
      <c r="K1155"/>
      <c r="L1155"/>
    </row>
    <row r="1156" spans="2:12" x14ac:dyDescent="0.35">
      <c r="B1156" s="1953"/>
      <c r="C1156" s="1953"/>
      <c r="D1156" s="1953"/>
      <c r="E1156" s="1953"/>
      <c r="F1156" s="1953"/>
      <c r="G1156" s="1953"/>
      <c r="H1156" s="1953"/>
      <c r="I1156"/>
      <c r="J1156"/>
      <c r="K1156"/>
      <c r="L1156"/>
    </row>
    <row r="1157" spans="2:12" x14ac:dyDescent="0.35">
      <c r="B1157" s="1953"/>
      <c r="C1157" s="1953"/>
      <c r="D1157" s="1953"/>
      <c r="E1157" s="1953"/>
      <c r="F1157" s="1953"/>
      <c r="G1157" s="1953"/>
      <c r="H1157" s="1953"/>
      <c r="I1157"/>
      <c r="J1157"/>
      <c r="K1157"/>
      <c r="L1157"/>
    </row>
    <row r="1158" spans="2:12" x14ac:dyDescent="0.35">
      <c r="B1158" s="1953"/>
      <c r="C1158" s="1953"/>
      <c r="D1158" s="1953"/>
      <c r="E1158" s="1953"/>
      <c r="F1158" s="1953"/>
      <c r="G1158" s="1953"/>
      <c r="H1158" s="1953"/>
      <c r="I1158"/>
      <c r="J1158"/>
      <c r="K1158"/>
      <c r="L1158"/>
    </row>
    <row r="1159" spans="2:12" x14ac:dyDescent="0.35">
      <c r="B1159" s="1953"/>
      <c r="C1159" s="1953"/>
      <c r="D1159" s="1953"/>
      <c r="E1159" s="1953"/>
      <c r="F1159" s="1953"/>
      <c r="G1159" s="1953"/>
      <c r="H1159" s="1953"/>
      <c r="I1159"/>
      <c r="J1159"/>
      <c r="K1159"/>
      <c r="L1159"/>
    </row>
    <row r="1160" spans="2:12" x14ac:dyDescent="0.35">
      <c r="B1160" s="1953"/>
      <c r="C1160" s="1953"/>
      <c r="D1160" s="1953"/>
      <c r="E1160" s="1953"/>
      <c r="F1160" s="1953"/>
      <c r="G1160" s="1953"/>
      <c r="H1160" s="1953"/>
      <c r="I1160"/>
      <c r="J1160"/>
      <c r="K1160"/>
      <c r="L1160"/>
    </row>
    <row r="1161" spans="2:12" x14ac:dyDescent="0.35">
      <c r="B1161" s="1953"/>
      <c r="C1161" s="1953"/>
      <c r="D1161" s="1953"/>
      <c r="E1161" s="1953"/>
      <c r="F1161" s="1953"/>
      <c r="G1161" s="1953"/>
      <c r="H1161" s="1953"/>
      <c r="I1161"/>
      <c r="J1161"/>
      <c r="K1161"/>
      <c r="L1161"/>
    </row>
    <row r="1162" spans="2:12" x14ac:dyDescent="0.35">
      <c r="B1162" s="1953"/>
      <c r="C1162" s="1953"/>
      <c r="D1162" s="1953"/>
      <c r="E1162" s="1953"/>
      <c r="F1162" s="1953"/>
      <c r="G1162" s="1953"/>
      <c r="H1162" s="1953"/>
      <c r="I1162"/>
      <c r="J1162"/>
      <c r="K1162"/>
      <c r="L1162"/>
    </row>
    <row r="1163" spans="2:12" x14ac:dyDescent="0.35">
      <c r="B1163" s="1953"/>
      <c r="C1163" s="1953"/>
      <c r="D1163" s="1953"/>
      <c r="E1163" s="1953"/>
      <c r="F1163" s="1953"/>
      <c r="G1163" s="1953"/>
      <c r="H1163" s="1953"/>
      <c r="I1163"/>
      <c r="J1163"/>
      <c r="K1163"/>
      <c r="L1163"/>
    </row>
    <row r="1164" spans="2:12" x14ac:dyDescent="0.35">
      <c r="B1164" s="1953"/>
      <c r="C1164" s="1953"/>
      <c r="D1164" s="1953"/>
      <c r="E1164" s="1953"/>
      <c r="F1164" s="1953"/>
      <c r="G1164" s="1953"/>
      <c r="H1164" s="1953"/>
      <c r="I1164"/>
      <c r="J1164"/>
      <c r="K1164"/>
      <c r="L1164"/>
    </row>
    <row r="1165" spans="2:12" x14ac:dyDescent="0.35">
      <c r="B1165" s="1953"/>
      <c r="C1165" s="1953"/>
      <c r="D1165" s="1953"/>
      <c r="E1165" s="1953"/>
      <c r="F1165" s="1953"/>
      <c r="G1165" s="1953"/>
      <c r="H1165" s="1953"/>
      <c r="I1165"/>
      <c r="J1165"/>
      <c r="K1165"/>
      <c r="L1165"/>
    </row>
    <row r="1166" spans="2:12" x14ac:dyDescent="0.35">
      <c r="B1166" s="1953"/>
      <c r="C1166" s="1953"/>
      <c r="D1166" s="1953"/>
      <c r="E1166" s="1953"/>
      <c r="F1166" s="1953"/>
      <c r="G1166" s="1953"/>
      <c r="H1166" s="1953"/>
      <c r="I1166"/>
      <c r="J1166"/>
      <c r="K1166"/>
      <c r="L1166"/>
    </row>
    <row r="1167" spans="2:12" x14ac:dyDescent="0.35">
      <c r="B1167" s="1953"/>
      <c r="C1167" s="1953"/>
      <c r="D1167" s="1953"/>
      <c r="E1167" s="1953"/>
      <c r="F1167" s="1953"/>
      <c r="G1167" s="1953"/>
      <c r="H1167" s="1953"/>
      <c r="I1167"/>
      <c r="J1167"/>
      <c r="K1167"/>
      <c r="L1167"/>
    </row>
    <row r="1168" spans="2:12" x14ac:dyDescent="0.35">
      <c r="B1168" s="1953"/>
      <c r="C1168" s="1953"/>
      <c r="D1168" s="1953"/>
      <c r="E1168" s="1953"/>
      <c r="F1168" s="1953"/>
      <c r="G1168" s="1953"/>
      <c r="H1168" s="1953"/>
      <c r="I1168"/>
      <c r="J1168"/>
      <c r="K1168"/>
      <c r="L1168"/>
    </row>
    <row r="1169" spans="2:12" x14ac:dyDescent="0.35">
      <c r="B1169" s="1953"/>
      <c r="C1169" s="1953"/>
      <c r="D1169" s="1953"/>
      <c r="E1169" s="1953"/>
      <c r="F1169" s="1953"/>
      <c r="G1169" s="1953"/>
      <c r="H1169" s="1953"/>
      <c r="I1169"/>
      <c r="J1169"/>
      <c r="K1169"/>
      <c r="L1169"/>
    </row>
    <row r="1170" spans="2:12" x14ac:dyDescent="0.35">
      <c r="B1170" s="1953"/>
      <c r="C1170" s="1953"/>
      <c r="D1170" s="1953"/>
      <c r="E1170" s="1953"/>
      <c r="F1170" s="1953"/>
      <c r="G1170" s="1953"/>
      <c r="H1170" s="1953"/>
      <c r="I1170"/>
      <c r="J1170"/>
      <c r="K1170"/>
      <c r="L1170"/>
    </row>
    <row r="1171" spans="2:12" x14ac:dyDescent="0.35">
      <c r="B1171" s="1953"/>
      <c r="C1171" s="1953"/>
      <c r="D1171" s="1953"/>
      <c r="E1171" s="1953"/>
      <c r="F1171" s="1953"/>
      <c r="G1171" s="1953"/>
      <c r="H1171" s="1953"/>
      <c r="I1171"/>
      <c r="J1171"/>
      <c r="K1171"/>
      <c r="L1171"/>
    </row>
    <row r="1172" spans="2:12" x14ac:dyDescent="0.35">
      <c r="B1172" s="1953"/>
      <c r="C1172" s="1953"/>
      <c r="D1172" s="1953"/>
      <c r="E1172" s="1953"/>
      <c r="F1172" s="1953"/>
      <c r="G1172" s="1953"/>
      <c r="H1172" s="1953"/>
      <c r="I1172"/>
      <c r="J1172"/>
      <c r="K1172"/>
      <c r="L1172"/>
    </row>
    <row r="1173" spans="2:12" x14ac:dyDescent="0.35">
      <c r="B1173" s="1953"/>
      <c r="C1173" s="1953"/>
      <c r="D1173" s="1953"/>
      <c r="E1173" s="1953"/>
      <c r="F1173" s="1953"/>
      <c r="G1173" s="1953"/>
      <c r="H1173" s="1953"/>
      <c r="I1173"/>
      <c r="J1173"/>
      <c r="K1173"/>
      <c r="L1173"/>
    </row>
    <row r="1174" spans="2:12" x14ac:dyDescent="0.35">
      <c r="B1174" s="1953"/>
      <c r="C1174" s="1953"/>
      <c r="D1174" s="1953"/>
      <c r="E1174" s="1953"/>
      <c r="F1174" s="1953"/>
      <c r="G1174" s="1953"/>
      <c r="H1174" s="1953"/>
      <c r="I1174"/>
      <c r="J1174"/>
      <c r="K1174"/>
      <c r="L1174"/>
    </row>
    <row r="1175" spans="2:12" x14ac:dyDescent="0.35">
      <c r="B1175" s="1953"/>
      <c r="C1175" s="1953"/>
      <c r="D1175" s="1953"/>
      <c r="E1175" s="1953"/>
      <c r="F1175" s="1953"/>
      <c r="G1175" s="1953"/>
      <c r="H1175" s="1953"/>
      <c r="I1175"/>
      <c r="J1175"/>
      <c r="K1175"/>
      <c r="L1175"/>
    </row>
    <row r="1176" spans="2:12" x14ac:dyDescent="0.35">
      <c r="B1176" s="1953"/>
      <c r="C1176" s="1953"/>
      <c r="D1176" s="1953"/>
      <c r="E1176" s="1953"/>
      <c r="F1176" s="1953"/>
      <c r="G1176" s="1953"/>
      <c r="H1176" s="1953"/>
      <c r="I1176"/>
      <c r="J1176"/>
      <c r="K1176"/>
      <c r="L1176"/>
    </row>
    <row r="1177" spans="2:12" x14ac:dyDescent="0.35">
      <c r="B1177" s="1953"/>
      <c r="C1177" s="1953"/>
      <c r="D1177" s="1953"/>
      <c r="E1177" s="1953"/>
      <c r="F1177" s="1953"/>
      <c r="G1177" s="1953"/>
      <c r="H1177" s="1953"/>
      <c r="I1177"/>
      <c r="J1177"/>
      <c r="K1177"/>
      <c r="L1177"/>
    </row>
    <row r="1178" spans="2:12" x14ac:dyDescent="0.35">
      <c r="B1178" s="1953"/>
      <c r="C1178" s="1953"/>
      <c r="D1178" s="1953"/>
      <c r="E1178" s="1953"/>
      <c r="F1178" s="1953"/>
      <c r="G1178" s="1953"/>
      <c r="H1178" s="1953"/>
      <c r="I1178"/>
      <c r="J1178"/>
      <c r="K1178"/>
      <c r="L1178"/>
    </row>
    <row r="1179" spans="2:12" x14ac:dyDescent="0.35">
      <c r="B1179" s="1953"/>
      <c r="C1179" s="1953"/>
      <c r="D1179" s="1953"/>
      <c r="E1179" s="1953"/>
      <c r="F1179" s="1953"/>
      <c r="G1179" s="1953"/>
      <c r="H1179" s="1953"/>
      <c r="I1179"/>
      <c r="J1179"/>
      <c r="K1179"/>
      <c r="L1179"/>
    </row>
    <row r="1180" spans="2:12" x14ac:dyDescent="0.35">
      <c r="B1180" s="1953"/>
      <c r="C1180" s="1953"/>
      <c r="D1180" s="1953"/>
      <c r="E1180" s="1953"/>
      <c r="F1180" s="1953"/>
      <c r="G1180" s="1953"/>
      <c r="H1180" s="1953"/>
      <c r="I1180"/>
      <c r="J1180"/>
      <c r="K1180"/>
      <c r="L1180"/>
    </row>
    <row r="1181" spans="2:12" x14ac:dyDescent="0.35">
      <c r="B1181" s="1953"/>
      <c r="C1181" s="1953"/>
      <c r="D1181" s="1953"/>
      <c r="E1181" s="1953"/>
      <c r="F1181" s="1953"/>
      <c r="G1181" s="1953"/>
      <c r="H1181" s="1953"/>
      <c r="I1181"/>
      <c r="J1181"/>
      <c r="K1181"/>
      <c r="L1181"/>
    </row>
    <row r="1182" spans="2:12" x14ac:dyDescent="0.35">
      <c r="B1182" s="1953"/>
      <c r="C1182" s="1953"/>
      <c r="D1182" s="1953"/>
      <c r="E1182" s="1953"/>
      <c r="F1182" s="1953"/>
      <c r="G1182" s="1953"/>
      <c r="H1182" s="1953"/>
      <c r="I1182"/>
      <c r="J1182"/>
      <c r="K1182"/>
      <c r="L1182"/>
    </row>
    <row r="1183" spans="2:12" x14ac:dyDescent="0.35">
      <c r="B1183" s="1953"/>
      <c r="C1183" s="1953"/>
      <c r="D1183" s="1953"/>
      <c r="E1183" s="1953"/>
      <c r="F1183" s="1953"/>
      <c r="G1183" s="1953"/>
      <c r="H1183" s="1953"/>
      <c r="I1183"/>
      <c r="J1183"/>
      <c r="K1183"/>
      <c r="L1183"/>
    </row>
    <row r="1184" spans="2:12" x14ac:dyDescent="0.35">
      <c r="B1184" s="1953"/>
      <c r="C1184" s="1953"/>
      <c r="D1184" s="1953"/>
      <c r="E1184" s="1953"/>
      <c r="F1184" s="1953"/>
      <c r="G1184" s="1953"/>
      <c r="H1184" s="1953"/>
      <c r="I1184"/>
      <c r="J1184"/>
      <c r="K1184"/>
      <c r="L1184"/>
    </row>
    <row r="1185" spans="2:12" x14ac:dyDescent="0.35">
      <c r="B1185" s="1953"/>
      <c r="C1185" s="1953"/>
      <c r="D1185" s="1953"/>
      <c r="E1185" s="1953"/>
      <c r="F1185" s="1953"/>
      <c r="G1185" s="1953"/>
      <c r="H1185" s="1953"/>
      <c r="I1185"/>
      <c r="J1185"/>
      <c r="K1185"/>
      <c r="L1185"/>
    </row>
    <row r="1186" spans="2:12" x14ac:dyDescent="0.35">
      <c r="B1186" s="1953"/>
      <c r="C1186" s="1953"/>
      <c r="D1186" s="1953"/>
      <c r="E1186" s="1953"/>
      <c r="F1186" s="1953"/>
      <c r="G1186" s="1953"/>
      <c r="H1186" s="1953"/>
      <c r="I1186"/>
      <c r="J1186"/>
      <c r="K1186"/>
      <c r="L1186"/>
    </row>
    <row r="1187" spans="2:12" x14ac:dyDescent="0.35">
      <c r="B1187" s="1953"/>
      <c r="C1187" s="1953"/>
      <c r="D1187" s="1953"/>
      <c r="E1187" s="1953"/>
      <c r="F1187" s="1953"/>
      <c r="G1187" s="1953"/>
      <c r="H1187" s="1953"/>
      <c r="I1187"/>
      <c r="J1187"/>
      <c r="K1187"/>
      <c r="L1187"/>
    </row>
    <row r="1188" spans="2:12" x14ac:dyDescent="0.35">
      <c r="B1188" s="1953"/>
      <c r="C1188" s="1953"/>
      <c r="D1188" s="1953"/>
      <c r="E1188" s="1953"/>
      <c r="F1188" s="1953"/>
      <c r="G1188" s="1953"/>
      <c r="H1188" s="1953"/>
      <c r="I1188"/>
      <c r="J1188"/>
      <c r="K1188"/>
      <c r="L1188"/>
    </row>
    <row r="1189" spans="2:12" x14ac:dyDescent="0.35">
      <c r="B1189" s="1953"/>
      <c r="C1189" s="1953"/>
      <c r="D1189" s="1953"/>
      <c r="E1189" s="1953"/>
      <c r="F1189" s="1953"/>
      <c r="G1189" s="1953"/>
      <c r="H1189" s="1953"/>
      <c r="I1189"/>
      <c r="J1189"/>
      <c r="K1189"/>
      <c r="L1189"/>
    </row>
    <row r="1190" spans="2:12" x14ac:dyDescent="0.35">
      <c r="B1190" s="1953"/>
      <c r="C1190" s="1953"/>
      <c r="D1190" s="1953"/>
      <c r="E1190" s="1953"/>
      <c r="F1190" s="1953"/>
      <c r="G1190" s="1953"/>
      <c r="H1190" s="1953"/>
      <c r="I1190"/>
      <c r="J1190"/>
      <c r="K1190"/>
      <c r="L1190"/>
    </row>
    <row r="1191" spans="2:12" x14ac:dyDescent="0.35">
      <c r="B1191" s="1953"/>
      <c r="C1191" s="1953"/>
      <c r="D1191" s="1953"/>
      <c r="E1191" s="1953"/>
      <c r="F1191" s="1953"/>
      <c r="G1191" s="1953"/>
      <c r="H1191" s="1953"/>
      <c r="I1191"/>
      <c r="J1191"/>
      <c r="K1191"/>
      <c r="L1191"/>
    </row>
    <row r="1192" spans="2:12" x14ac:dyDescent="0.35">
      <c r="B1192" s="1953"/>
      <c r="C1192" s="1953"/>
      <c r="D1192" s="1953"/>
      <c r="E1192" s="1953"/>
      <c r="F1192" s="1953"/>
      <c r="G1192" s="1953"/>
      <c r="H1192" s="1953"/>
      <c r="I1192"/>
      <c r="J1192"/>
      <c r="K1192"/>
      <c r="L1192"/>
    </row>
    <row r="1193" spans="2:12" x14ac:dyDescent="0.35">
      <c r="B1193" s="1953"/>
      <c r="C1193" s="1953"/>
      <c r="D1193" s="1953"/>
      <c r="E1193" s="1953"/>
      <c r="F1193" s="1953"/>
      <c r="G1193" s="1953"/>
      <c r="H1193" s="1953"/>
      <c r="I1193"/>
      <c r="J1193"/>
      <c r="K1193"/>
      <c r="L1193"/>
    </row>
    <row r="1194" spans="2:12" x14ac:dyDescent="0.35">
      <c r="B1194" s="1953"/>
      <c r="C1194" s="1953"/>
      <c r="D1194" s="1953"/>
      <c r="E1194" s="1953"/>
      <c r="F1194" s="1953"/>
      <c r="G1194" s="1953"/>
      <c r="H1194" s="1953"/>
      <c r="I1194"/>
      <c r="J1194"/>
      <c r="K1194"/>
      <c r="L1194"/>
    </row>
    <row r="1195" spans="2:12" x14ac:dyDescent="0.35">
      <c r="B1195" s="1953"/>
      <c r="C1195" s="1953"/>
      <c r="D1195" s="1953"/>
      <c r="E1195" s="1953"/>
      <c r="F1195" s="1953"/>
      <c r="G1195" s="1953"/>
      <c r="H1195" s="1953"/>
      <c r="I1195"/>
      <c r="J1195"/>
      <c r="K1195"/>
      <c r="L1195"/>
    </row>
    <row r="1196" spans="2:12" x14ac:dyDescent="0.35">
      <c r="B1196" s="1953"/>
      <c r="C1196" s="1953"/>
      <c r="D1196" s="1953"/>
      <c r="E1196" s="1953"/>
      <c r="F1196" s="1953"/>
      <c r="G1196" s="1953"/>
      <c r="H1196" s="1953"/>
      <c r="I1196"/>
      <c r="J1196"/>
      <c r="K1196"/>
      <c r="L1196"/>
    </row>
    <row r="1197" spans="2:12" x14ac:dyDescent="0.35">
      <c r="B1197" s="1953"/>
      <c r="C1197" s="1953"/>
      <c r="D1197" s="1953"/>
      <c r="E1197" s="1953"/>
      <c r="F1197" s="1953"/>
      <c r="G1197" s="1953"/>
      <c r="H1197" s="1953"/>
      <c r="I1197"/>
      <c r="J1197"/>
      <c r="K1197"/>
      <c r="L1197"/>
    </row>
    <row r="1198" spans="2:12" x14ac:dyDescent="0.35">
      <c r="B1198" s="1953"/>
      <c r="C1198" s="1953"/>
      <c r="D1198" s="1953"/>
      <c r="E1198" s="1953"/>
      <c r="F1198" s="1953"/>
      <c r="G1198" s="1953"/>
      <c r="H1198" s="1953"/>
      <c r="I1198"/>
      <c r="J1198"/>
      <c r="K1198"/>
      <c r="L1198"/>
    </row>
    <row r="1199" spans="2:12" x14ac:dyDescent="0.35">
      <c r="B1199" s="1953"/>
      <c r="C1199" s="1953"/>
      <c r="D1199" s="1953"/>
      <c r="E1199" s="1953"/>
      <c r="F1199" s="1953"/>
      <c r="G1199" s="1953"/>
      <c r="H1199" s="1953"/>
      <c r="I1199"/>
      <c r="J1199"/>
      <c r="K1199"/>
      <c r="L1199"/>
    </row>
    <row r="1200" spans="2:12" x14ac:dyDescent="0.35">
      <c r="B1200" s="1953"/>
      <c r="C1200" s="1953"/>
      <c r="D1200" s="1953"/>
      <c r="E1200" s="1953"/>
      <c r="F1200" s="1953"/>
      <c r="G1200" s="1953"/>
      <c r="H1200" s="1953"/>
      <c r="I1200"/>
      <c r="J1200"/>
      <c r="K1200"/>
      <c r="L1200"/>
    </row>
    <row r="1201" spans="2:12" x14ac:dyDescent="0.35">
      <c r="B1201" s="1953"/>
      <c r="C1201" s="1953"/>
      <c r="D1201" s="1953"/>
      <c r="E1201" s="1953"/>
      <c r="F1201" s="1953"/>
      <c r="G1201" s="1953"/>
      <c r="H1201" s="1953"/>
      <c r="I1201"/>
      <c r="J1201"/>
      <c r="K1201"/>
      <c r="L1201"/>
    </row>
    <row r="1202" spans="2:12" x14ac:dyDescent="0.35">
      <c r="B1202" s="1953"/>
      <c r="C1202" s="1953"/>
      <c r="D1202" s="1953"/>
      <c r="E1202" s="1953"/>
      <c r="F1202" s="1953"/>
      <c r="G1202" s="1953"/>
      <c r="H1202" s="1953"/>
      <c r="I1202"/>
      <c r="J1202"/>
      <c r="K1202"/>
      <c r="L1202"/>
    </row>
    <row r="1203" spans="2:12" x14ac:dyDescent="0.35">
      <c r="B1203" s="1953"/>
      <c r="C1203" s="1953"/>
      <c r="D1203" s="1953"/>
      <c r="E1203" s="1953"/>
      <c r="F1203" s="1953"/>
      <c r="G1203" s="1953"/>
      <c r="H1203" s="1953"/>
      <c r="I1203"/>
      <c r="J1203"/>
      <c r="K1203"/>
      <c r="L1203"/>
    </row>
    <row r="1204" spans="2:12" x14ac:dyDescent="0.35">
      <c r="B1204" s="1953"/>
      <c r="C1204" s="1953"/>
      <c r="D1204" s="1953"/>
      <c r="E1204" s="1953"/>
      <c r="F1204" s="1953"/>
      <c r="G1204" s="1953"/>
      <c r="H1204" s="1953"/>
      <c r="I1204"/>
      <c r="J1204"/>
      <c r="K1204"/>
      <c r="L1204"/>
    </row>
    <row r="1205" spans="2:12" x14ac:dyDescent="0.35">
      <c r="B1205" s="1953"/>
      <c r="C1205" s="1953"/>
      <c r="D1205" s="1953"/>
      <c r="E1205" s="1953"/>
      <c r="F1205" s="1953"/>
      <c r="G1205" s="1953"/>
      <c r="H1205" s="1953"/>
      <c r="I1205"/>
      <c r="J1205"/>
      <c r="K1205"/>
      <c r="L1205"/>
    </row>
    <row r="1206" spans="2:12" x14ac:dyDescent="0.35">
      <c r="B1206" s="1953"/>
      <c r="C1206" s="1953"/>
      <c r="D1206" s="1953"/>
      <c r="E1206" s="1953"/>
      <c r="F1206" s="1953"/>
      <c r="G1206" s="1953"/>
      <c r="H1206" s="1953"/>
      <c r="I1206"/>
      <c r="J1206"/>
      <c r="K1206"/>
      <c r="L1206"/>
    </row>
    <row r="1207" spans="2:12" x14ac:dyDescent="0.35">
      <c r="B1207" s="1953"/>
      <c r="C1207" s="1953"/>
      <c r="D1207" s="1953"/>
      <c r="E1207" s="1953"/>
      <c r="F1207" s="1953"/>
      <c r="G1207" s="1953"/>
      <c r="H1207" s="1953"/>
      <c r="I1207"/>
      <c r="J1207"/>
      <c r="K1207"/>
      <c r="L1207"/>
    </row>
    <row r="1208" spans="2:12" x14ac:dyDescent="0.35">
      <c r="B1208" s="1953"/>
      <c r="C1208" s="1953"/>
      <c r="D1208" s="1953"/>
      <c r="E1208" s="1953"/>
      <c r="F1208" s="1953"/>
      <c r="G1208" s="1953"/>
      <c r="H1208" s="1953"/>
      <c r="I1208"/>
      <c r="J1208"/>
      <c r="K1208"/>
      <c r="L1208"/>
    </row>
    <row r="1209" spans="2:12" x14ac:dyDescent="0.35">
      <c r="B1209" s="1953"/>
      <c r="C1209" s="1953"/>
      <c r="D1209" s="1953"/>
      <c r="E1209" s="1953"/>
      <c r="F1209" s="1953"/>
      <c r="G1209" s="1953"/>
      <c r="H1209" s="1953"/>
      <c r="I1209"/>
      <c r="J1209"/>
      <c r="K1209"/>
      <c r="L1209"/>
    </row>
    <row r="1210" spans="2:12" x14ac:dyDescent="0.35">
      <c r="B1210" s="1953"/>
      <c r="C1210" s="1953"/>
      <c r="D1210" s="1953"/>
      <c r="E1210" s="1953"/>
      <c r="F1210" s="1953"/>
      <c r="G1210" s="1953"/>
      <c r="H1210" s="1953"/>
      <c r="I1210"/>
      <c r="J1210"/>
      <c r="K1210"/>
      <c r="L1210"/>
    </row>
    <row r="1211" spans="2:12" x14ac:dyDescent="0.35">
      <c r="B1211" s="1953"/>
      <c r="C1211" s="1953"/>
      <c r="D1211" s="1953"/>
      <c r="E1211" s="1953"/>
      <c r="F1211" s="1953"/>
      <c r="G1211" s="1953"/>
      <c r="H1211" s="1953"/>
      <c r="I1211"/>
      <c r="J1211"/>
      <c r="K1211"/>
      <c r="L1211"/>
    </row>
    <row r="1212" spans="2:12" x14ac:dyDescent="0.35">
      <c r="B1212" s="1953"/>
      <c r="C1212" s="1953"/>
      <c r="D1212" s="1953"/>
      <c r="E1212" s="1953"/>
      <c r="F1212" s="1953"/>
      <c r="G1212" s="1953"/>
      <c r="H1212" s="1953"/>
      <c r="I1212"/>
      <c r="J1212"/>
      <c r="K1212"/>
      <c r="L1212"/>
    </row>
    <row r="1213" spans="2:12" x14ac:dyDescent="0.35">
      <c r="B1213" s="1953"/>
      <c r="C1213" s="1953"/>
      <c r="D1213" s="1953"/>
      <c r="E1213" s="1953"/>
      <c r="F1213" s="1953"/>
      <c r="G1213" s="1953"/>
      <c r="H1213" s="1953"/>
      <c r="I1213"/>
      <c r="J1213"/>
      <c r="K1213"/>
      <c r="L1213"/>
    </row>
    <row r="1214" spans="2:12" x14ac:dyDescent="0.35">
      <c r="B1214" s="1953"/>
      <c r="C1214" s="1953"/>
      <c r="D1214" s="1953"/>
      <c r="E1214" s="1953"/>
      <c r="F1214" s="1953"/>
      <c r="G1214" s="1953"/>
      <c r="H1214" s="1953"/>
      <c r="I1214"/>
      <c r="J1214"/>
      <c r="K1214"/>
      <c r="L1214"/>
    </row>
    <row r="1215" spans="2:12" x14ac:dyDescent="0.35">
      <c r="B1215" s="1953"/>
      <c r="C1215" s="1953"/>
      <c r="D1215" s="1953"/>
      <c r="E1215" s="1953"/>
      <c r="F1215" s="1953"/>
      <c r="G1215" s="1953"/>
      <c r="H1215" s="1953"/>
      <c r="I1215"/>
      <c r="J1215"/>
      <c r="K1215"/>
      <c r="L1215"/>
    </row>
    <row r="1216" spans="2:12" x14ac:dyDescent="0.35">
      <c r="B1216" s="1953"/>
      <c r="C1216" s="1953"/>
      <c r="D1216" s="1953"/>
      <c r="E1216" s="1953"/>
      <c r="F1216" s="1953"/>
      <c r="G1216" s="1953"/>
      <c r="H1216" s="1953"/>
      <c r="I1216"/>
      <c r="J1216"/>
      <c r="K1216"/>
      <c r="L1216"/>
    </row>
    <row r="1217" spans="2:12" x14ac:dyDescent="0.35">
      <c r="B1217" s="1953"/>
      <c r="C1217" s="1953"/>
      <c r="D1217" s="1953"/>
      <c r="E1217" s="1953"/>
      <c r="F1217" s="1953"/>
      <c r="G1217" s="1953"/>
      <c r="H1217" s="1953"/>
      <c r="I1217"/>
      <c r="J1217"/>
      <c r="K1217"/>
      <c r="L1217"/>
    </row>
    <row r="1218" spans="2:12" x14ac:dyDescent="0.35">
      <c r="B1218" s="1953"/>
      <c r="C1218" s="1953"/>
      <c r="D1218" s="1953"/>
      <c r="E1218" s="1953"/>
      <c r="F1218" s="1953"/>
      <c r="G1218" s="1953"/>
      <c r="H1218" s="1953"/>
      <c r="I1218"/>
      <c r="J1218"/>
      <c r="K1218"/>
      <c r="L1218"/>
    </row>
    <row r="1219" spans="2:12" x14ac:dyDescent="0.35">
      <c r="B1219" s="1953"/>
      <c r="C1219" s="1953"/>
      <c r="D1219" s="1953"/>
      <c r="E1219" s="1953"/>
      <c r="F1219" s="1953"/>
      <c r="G1219" s="1953"/>
      <c r="H1219" s="1953"/>
      <c r="I1219"/>
      <c r="J1219"/>
      <c r="K1219"/>
      <c r="L1219"/>
    </row>
    <row r="1220" spans="2:12" x14ac:dyDescent="0.35">
      <c r="B1220" s="1953"/>
      <c r="C1220" s="1953"/>
      <c r="D1220" s="1953"/>
      <c r="E1220" s="1953"/>
      <c r="F1220" s="1953"/>
      <c r="G1220" s="1953"/>
      <c r="H1220" s="1953"/>
      <c r="I1220"/>
      <c r="J1220"/>
      <c r="K1220"/>
      <c r="L1220"/>
    </row>
    <row r="1221" spans="2:12" x14ac:dyDescent="0.35">
      <c r="B1221" s="1953"/>
      <c r="C1221" s="1953"/>
      <c r="D1221" s="1953"/>
      <c r="E1221" s="1953"/>
      <c r="F1221" s="1953"/>
      <c r="G1221" s="1953"/>
      <c r="H1221" s="1953"/>
      <c r="I1221"/>
      <c r="J1221"/>
      <c r="K1221"/>
      <c r="L1221"/>
    </row>
    <row r="1222" spans="2:12" x14ac:dyDescent="0.35">
      <c r="B1222" s="1953"/>
      <c r="C1222" s="1953"/>
      <c r="D1222" s="1953"/>
      <c r="E1222" s="1953"/>
      <c r="F1222" s="1953"/>
      <c r="G1222" s="1953"/>
      <c r="H1222" s="1953"/>
      <c r="I1222"/>
      <c r="J1222"/>
      <c r="K1222"/>
      <c r="L1222"/>
    </row>
    <row r="1223" spans="2:12" x14ac:dyDescent="0.35">
      <c r="B1223" s="1953"/>
      <c r="C1223" s="1953"/>
      <c r="D1223" s="1953"/>
      <c r="E1223" s="1953"/>
      <c r="F1223" s="1953"/>
      <c r="G1223" s="1953"/>
      <c r="H1223" s="1953"/>
      <c r="I1223"/>
      <c r="J1223"/>
      <c r="K1223"/>
      <c r="L1223"/>
    </row>
    <row r="1224" spans="2:12" x14ac:dyDescent="0.35">
      <c r="B1224" s="1953"/>
      <c r="C1224" s="1953"/>
      <c r="D1224" s="1953"/>
      <c r="E1224" s="1953"/>
      <c r="F1224" s="1953"/>
      <c r="G1224" s="1953"/>
      <c r="H1224" s="1953"/>
      <c r="I1224"/>
      <c r="J1224"/>
      <c r="K1224"/>
      <c r="L1224"/>
    </row>
    <row r="1225" spans="2:12" x14ac:dyDescent="0.35">
      <c r="B1225" s="1953"/>
      <c r="C1225" s="1953"/>
      <c r="D1225" s="1953"/>
      <c r="E1225" s="1953"/>
      <c r="F1225" s="1953"/>
      <c r="G1225" s="1953"/>
      <c r="H1225" s="1953"/>
      <c r="I1225"/>
      <c r="J1225"/>
      <c r="K1225"/>
      <c r="L1225"/>
    </row>
    <row r="1226" spans="2:12" x14ac:dyDescent="0.35">
      <c r="B1226" s="1953"/>
      <c r="C1226" s="1953"/>
      <c r="D1226" s="1953"/>
      <c r="E1226" s="1953"/>
      <c r="F1226" s="1953"/>
      <c r="G1226" s="1953"/>
      <c r="H1226" s="1953"/>
      <c r="I1226"/>
      <c r="J1226"/>
      <c r="K1226"/>
      <c r="L1226"/>
    </row>
    <row r="1227" spans="2:12" x14ac:dyDescent="0.35">
      <c r="B1227" s="1953"/>
      <c r="C1227" s="1953"/>
      <c r="D1227" s="1953"/>
      <c r="E1227" s="1953"/>
      <c r="F1227" s="1953"/>
      <c r="G1227" s="1953"/>
      <c r="H1227" s="1953"/>
      <c r="I1227"/>
      <c r="J1227"/>
      <c r="K1227"/>
      <c r="L1227"/>
    </row>
    <row r="1228" spans="2:12" x14ac:dyDescent="0.35">
      <c r="B1228" s="1953"/>
      <c r="C1228" s="1953"/>
      <c r="D1228" s="1953"/>
      <c r="E1228" s="1953"/>
      <c r="F1228" s="1953"/>
      <c r="G1228" s="1953"/>
      <c r="H1228" s="1953"/>
      <c r="I1228"/>
      <c r="J1228"/>
      <c r="K1228"/>
      <c r="L1228"/>
    </row>
    <row r="1229" spans="2:12" x14ac:dyDescent="0.35">
      <c r="B1229" s="1953"/>
      <c r="C1229" s="1953"/>
      <c r="D1229" s="1953"/>
      <c r="E1229" s="1953"/>
      <c r="F1229" s="1953"/>
      <c r="G1229" s="1953"/>
      <c r="H1229" s="1953"/>
      <c r="I1229"/>
      <c r="J1229"/>
      <c r="K1229"/>
      <c r="L1229"/>
    </row>
    <row r="1230" spans="2:12" x14ac:dyDescent="0.35">
      <c r="B1230" s="1953"/>
      <c r="C1230" s="1953"/>
      <c r="D1230" s="1953"/>
      <c r="E1230" s="1953"/>
      <c r="F1230" s="1953"/>
      <c r="G1230" s="1953"/>
      <c r="H1230" s="1953"/>
      <c r="I1230"/>
      <c r="J1230"/>
      <c r="K1230"/>
      <c r="L1230"/>
    </row>
    <row r="1231" spans="2:12" x14ac:dyDescent="0.35">
      <c r="B1231" s="1953"/>
      <c r="C1231" s="1953"/>
      <c r="D1231" s="1953"/>
      <c r="E1231" s="1953"/>
      <c r="F1231" s="1953"/>
      <c r="G1231" s="1953"/>
      <c r="H1231" s="1953"/>
      <c r="I1231"/>
      <c r="J1231"/>
      <c r="K1231"/>
      <c r="L1231"/>
    </row>
    <row r="1232" spans="2:12" x14ac:dyDescent="0.35">
      <c r="B1232" s="1953"/>
      <c r="C1232" s="1953"/>
      <c r="D1232" s="1953"/>
      <c r="E1232" s="1953"/>
      <c r="F1232" s="1953"/>
      <c r="G1232" s="1953"/>
      <c r="H1232" s="1953"/>
      <c r="I1232"/>
      <c r="J1232"/>
      <c r="K1232"/>
      <c r="L1232"/>
    </row>
    <row r="1233" spans="2:12" x14ac:dyDescent="0.35">
      <c r="B1233" s="1953"/>
      <c r="C1233" s="1953"/>
      <c r="D1233" s="1953"/>
      <c r="E1233" s="1953"/>
      <c r="F1233" s="1953"/>
      <c r="G1233" s="1953"/>
      <c r="H1233" s="1953"/>
      <c r="I1233"/>
      <c r="J1233"/>
      <c r="K1233"/>
      <c r="L1233"/>
    </row>
    <row r="1234" spans="2:12" x14ac:dyDescent="0.35">
      <c r="B1234" s="1953"/>
      <c r="C1234" s="1953"/>
      <c r="D1234" s="1953"/>
      <c r="E1234" s="1953"/>
      <c r="F1234" s="1953"/>
      <c r="G1234" s="1953"/>
      <c r="H1234" s="1953"/>
      <c r="I1234"/>
      <c r="J1234"/>
      <c r="K1234"/>
      <c r="L1234"/>
    </row>
    <row r="1235" spans="2:12" x14ac:dyDescent="0.35">
      <c r="B1235" s="1953"/>
      <c r="C1235" s="1953"/>
      <c r="D1235" s="1953"/>
      <c r="E1235" s="1953"/>
      <c r="F1235" s="1953"/>
      <c r="G1235" s="1953"/>
      <c r="H1235" s="1953"/>
      <c r="I1235"/>
      <c r="J1235"/>
      <c r="K1235"/>
      <c r="L1235"/>
    </row>
    <row r="1236" spans="2:12" x14ac:dyDescent="0.35">
      <c r="B1236" s="1953"/>
      <c r="C1236" s="1953"/>
      <c r="D1236" s="1953"/>
      <c r="E1236" s="1953"/>
      <c r="F1236" s="1953"/>
      <c r="G1236" s="1953"/>
      <c r="H1236" s="1953"/>
      <c r="I1236"/>
      <c r="J1236"/>
      <c r="K1236"/>
      <c r="L1236"/>
    </row>
    <row r="1237" spans="2:12" x14ac:dyDescent="0.35">
      <c r="B1237" s="1953"/>
      <c r="C1237" s="1953"/>
      <c r="D1237" s="1953"/>
      <c r="E1237" s="1953"/>
      <c r="F1237" s="1953"/>
      <c r="G1237" s="1953"/>
      <c r="H1237" s="1953"/>
      <c r="I1237"/>
      <c r="J1237"/>
      <c r="K1237"/>
      <c r="L1237"/>
    </row>
    <row r="1238" spans="2:12" x14ac:dyDescent="0.35">
      <c r="B1238" s="1953"/>
      <c r="C1238" s="1953"/>
      <c r="D1238" s="1953"/>
      <c r="E1238" s="1953"/>
      <c r="F1238" s="1953"/>
      <c r="G1238" s="1953"/>
      <c r="H1238" s="1953"/>
      <c r="I1238"/>
      <c r="J1238"/>
      <c r="K1238"/>
      <c r="L1238"/>
    </row>
    <row r="1239" spans="2:12" x14ac:dyDescent="0.35">
      <c r="B1239" s="1953"/>
      <c r="C1239" s="1953"/>
      <c r="D1239" s="1953"/>
      <c r="E1239" s="1953"/>
      <c r="F1239" s="1953"/>
      <c r="G1239" s="1953"/>
      <c r="H1239" s="1953"/>
      <c r="I1239"/>
      <c r="J1239"/>
      <c r="K1239"/>
      <c r="L1239"/>
    </row>
    <row r="1240" spans="2:12" x14ac:dyDescent="0.35">
      <c r="B1240" s="1953"/>
      <c r="C1240" s="1953"/>
      <c r="D1240" s="1953"/>
      <c r="E1240" s="1953"/>
      <c r="F1240" s="1953"/>
      <c r="G1240" s="1953"/>
      <c r="H1240" s="1953"/>
      <c r="I1240"/>
      <c r="J1240"/>
      <c r="K1240"/>
      <c r="L1240"/>
    </row>
    <row r="1241" spans="2:12" x14ac:dyDescent="0.35">
      <c r="B1241" s="1953"/>
      <c r="C1241" s="1953"/>
      <c r="D1241" s="1953"/>
      <c r="E1241" s="1953"/>
      <c r="F1241" s="1953"/>
      <c r="G1241" s="1953"/>
      <c r="H1241" s="1953"/>
      <c r="I1241"/>
      <c r="J1241"/>
      <c r="K1241"/>
      <c r="L1241"/>
    </row>
    <row r="1242" spans="2:12" x14ac:dyDescent="0.35">
      <c r="B1242" s="1953"/>
      <c r="C1242" s="1953"/>
      <c r="D1242" s="1953"/>
      <c r="E1242" s="1953"/>
      <c r="F1242" s="1953"/>
      <c r="G1242" s="1953"/>
      <c r="H1242" s="1953"/>
      <c r="I1242"/>
      <c r="J1242"/>
      <c r="K1242"/>
      <c r="L1242"/>
    </row>
    <row r="1243" spans="2:12" x14ac:dyDescent="0.35">
      <c r="B1243" s="1953"/>
      <c r="C1243" s="1953"/>
      <c r="D1243" s="1953"/>
      <c r="E1243" s="1953"/>
      <c r="F1243" s="1953"/>
      <c r="G1243" s="1953"/>
      <c r="H1243" s="1953"/>
      <c r="I1243"/>
      <c r="J1243"/>
      <c r="K1243"/>
      <c r="L1243"/>
    </row>
    <row r="1244" spans="2:12" x14ac:dyDescent="0.35">
      <c r="B1244" s="1953"/>
      <c r="C1244" s="1953"/>
      <c r="D1244" s="1953"/>
      <c r="E1244" s="1953"/>
      <c r="F1244" s="1953"/>
      <c r="G1244" s="1953"/>
      <c r="H1244" s="1953"/>
      <c r="I1244"/>
      <c r="J1244"/>
      <c r="K1244"/>
      <c r="L1244"/>
    </row>
    <row r="1245" spans="2:12" x14ac:dyDescent="0.35">
      <c r="B1245" s="1953"/>
      <c r="C1245" s="1953"/>
      <c r="D1245" s="1953"/>
      <c r="E1245" s="1953"/>
      <c r="F1245" s="1953"/>
      <c r="G1245" s="1953"/>
      <c r="H1245" s="1953"/>
      <c r="I1245"/>
      <c r="J1245"/>
      <c r="K1245"/>
      <c r="L1245"/>
    </row>
    <row r="1246" spans="2:12" x14ac:dyDescent="0.35">
      <c r="B1246" s="1953"/>
      <c r="C1246" s="1953"/>
      <c r="D1246" s="1953"/>
      <c r="E1246" s="1953"/>
      <c r="F1246" s="1953"/>
      <c r="G1246" s="1953"/>
      <c r="H1246" s="1953"/>
      <c r="I1246"/>
      <c r="J1246"/>
      <c r="K1246"/>
      <c r="L1246"/>
    </row>
    <row r="1247" spans="2:12" x14ac:dyDescent="0.35">
      <c r="B1247" s="1953"/>
      <c r="C1247" s="1953"/>
      <c r="D1247" s="1953"/>
      <c r="E1247" s="1953"/>
      <c r="F1247" s="1953"/>
      <c r="G1247" s="1953"/>
      <c r="H1247" s="1953"/>
      <c r="I1247"/>
      <c r="J1247"/>
      <c r="K1247"/>
      <c r="L1247"/>
    </row>
    <row r="1248" spans="2:12" x14ac:dyDescent="0.35">
      <c r="B1248" s="1953"/>
      <c r="C1248" s="1953"/>
      <c r="D1248" s="1953"/>
      <c r="E1248" s="1953"/>
      <c r="F1248" s="1953"/>
      <c r="G1248" s="1953"/>
      <c r="H1248" s="1953"/>
      <c r="I1248"/>
      <c r="J1248"/>
      <c r="K1248"/>
      <c r="L1248"/>
    </row>
    <row r="1249" spans="2:12" x14ac:dyDescent="0.35">
      <c r="B1249" s="1953"/>
      <c r="C1249" s="1953"/>
      <c r="D1249" s="1953"/>
      <c r="E1249" s="1953"/>
      <c r="F1249" s="1953"/>
      <c r="G1249" s="1953"/>
      <c r="H1249" s="1953"/>
      <c r="I1249"/>
      <c r="J1249"/>
      <c r="K1249"/>
      <c r="L1249"/>
    </row>
    <row r="1250" spans="2:12" x14ac:dyDescent="0.35">
      <c r="B1250" s="1953"/>
      <c r="C1250" s="1953"/>
      <c r="D1250" s="1953"/>
      <c r="E1250" s="1953"/>
      <c r="F1250" s="1953"/>
      <c r="G1250" s="1953"/>
      <c r="H1250" s="1953"/>
      <c r="I1250"/>
      <c r="J1250"/>
      <c r="K1250"/>
      <c r="L1250"/>
    </row>
    <row r="1251" spans="2:12" x14ac:dyDescent="0.35">
      <c r="B1251" s="1953"/>
      <c r="C1251" s="1953"/>
      <c r="D1251" s="1953"/>
      <c r="E1251" s="1953"/>
      <c r="F1251" s="1953"/>
      <c r="G1251" s="1953"/>
      <c r="H1251" s="1953"/>
      <c r="I1251"/>
      <c r="J1251"/>
      <c r="K1251"/>
      <c r="L1251"/>
    </row>
    <row r="1252" spans="2:12" x14ac:dyDescent="0.35">
      <c r="B1252" s="1953"/>
      <c r="C1252" s="1953"/>
      <c r="D1252" s="1953"/>
      <c r="E1252" s="1953"/>
      <c r="F1252" s="1953"/>
      <c r="G1252" s="1953"/>
      <c r="H1252" s="1953"/>
      <c r="I1252"/>
      <c r="J1252"/>
      <c r="K1252"/>
      <c r="L1252"/>
    </row>
    <row r="1253" spans="2:12" x14ac:dyDescent="0.35">
      <c r="B1253" s="1953"/>
      <c r="C1253" s="1953"/>
      <c r="D1253" s="1953"/>
      <c r="E1253" s="1953"/>
      <c r="F1253" s="1953"/>
      <c r="G1253" s="1953"/>
      <c r="H1253" s="1953"/>
      <c r="I1253"/>
      <c r="J1253"/>
      <c r="K1253"/>
      <c r="L1253"/>
    </row>
    <row r="1254" spans="2:12" x14ac:dyDescent="0.35">
      <c r="B1254" s="1953"/>
      <c r="C1254" s="1953"/>
      <c r="D1254" s="1953"/>
      <c r="E1254" s="1953"/>
      <c r="F1254" s="1953"/>
      <c r="G1254" s="1953"/>
      <c r="H1254" s="1953"/>
      <c r="I1254"/>
      <c r="J1254"/>
      <c r="K1254"/>
      <c r="L1254"/>
    </row>
    <row r="1255" spans="2:12" x14ac:dyDescent="0.35">
      <c r="B1255" s="1953"/>
      <c r="C1255" s="1953"/>
      <c r="D1255" s="1953"/>
      <c r="E1255" s="1953"/>
      <c r="F1255" s="1953"/>
      <c r="G1255" s="1953"/>
      <c r="H1255" s="1953"/>
      <c r="I1255"/>
      <c r="J1255"/>
      <c r="K1255"/>
      <c r="L1255"/>
    </row>
    <row r="1256" spans="2:12" x14ac:dyDescent="0.35">
      <c r="B1256" s="1953"/>
      <c r="C1256" s="1953"/>
      <c r="D1256" s="1953"/>
      <c r="E1256" s="1953"/>
      <c r="F1256" s="1953"/>
      <c r="G1256" s="1953"/>
      <c r="H1256" s="1953"/>
      <c r="I1256"/>
      <c r="J1256"/>
      <c r="K1256"/>
      <c r="L1256"/>
    </row>
    <row r="1257" spans="2:12" x14ac:dyDescent="0.35">
      <c r="B1257" s="1953"/>
      <c r="C1257" s="1953"/>
      <c r="D1257" s="1953"/>
      <c r="E1257" s="1953"/>
      <c r="F1257" s="1953"/>
      <c r="G1257" s="1953"/>
      <c r="H1257" s="1953"/>
      <c r="I1257"/>
      <c r="J1257"/>
      <c r="K1257"/>
      <c r="L1257"/>
    </row>
    <row r="1258" spans="2:12" x14ac:dyDescent="0.35">
      <c r="B1258" s="1953"/>
      <c r="C1258" s="1953"/>
      <c r="D1258" s="1953"/>
      <c r="E1258" s="1953"/>
      <c r="F1258" s="1953"/>
      <c r="G1258" s="1953"/>
      <c r="H1258" s="1953"/>
      <c r="I1258"/>
      <c r="J1258"/>
      <c r="K1258"/>
      <c r="L1258"/>
    </row>
    <row r="1259" spans="2:12" x14ac:dyDescent="0.35">
      <c r="B1259" s="1953"/>
      <c r="C1259" s="1953"/>
      <c r="D1259" s="1953"/>
      <c r="E1259" s="1953"/>
      <c r="F1259" s="1953"/>
      <c r="G1259" s="1953"/>
      <c r="H1259" s="1953"/>
      <c r="I1259"/>
      <c r="J1259"/>
      <c r="K1259"/>
      <c r="L1259"/>
    </row>
    <row r="1260" spans="2:12" x14ac:dyDescent="0.35">
      <c r="B1260" s="1953"/>
      <c r="C1260" s="1953"/>
      <c r="D1260" s="1953"/>
      <c r="E1260" s="1953"/>
      <c r="F1260" s="1953"/>
      <c r="G1260" s="1953"/>
      <c r="H1260" s="1953"/>
      <c r="I1260"/>
      <c r="J1260"/>
      <c r="K1260"/>
      <c r="L1260"/>
    </row>
    <row r="1261" spans="2:12" x14ac:dyDescent="0.35">
      <c r="B1261" s="1953"/>
      <c r="C1261" s="1953"/>
      <c r="D1261" s="1953"/>
      <c r="E1261" s="1953"/>
      <c r="F1261" s="1953"/>
      <c r="G1261" s="1953"/>
      <c r="H1261" s="1953"/>
      <c r="I1261"/>
      <c r="J1261"/>
      <c r="K1261"/>
      <c r="L1261"/>
    </row>
    <row r="1262" spans="2:12" x14ac:dyDescent="0.35">
      <c r="B1262" s="1953"/>
      <c r="C1262" s="1953"/>
      <c r="D1262" s="1953"/>
      <c r="E1262" s="1953"/>
      <c r="F1262" s="1953"/>
      <c r="G1262" s="1953"/>
      <c r="H1262" s="1953"/>
      <c r="I1262"/>
      <c r="J1262"/>
      <c r="K1262"/>
      <c r="L1262"/>
    </row>
    <row r="1263" spans="2:12" x14ac:dyDescent="0.35">
      <c r="B1263" s="1953"/>
      <c r="C1263" s="1953"/>
      <c r="D1263" s="1953"/>
      <c r="E1263" s="1953"/>
      <c r="F1263" s="1953"/>
      <c r="G1263" s="1953"/>
      <c r="H1263" s="1953"/>
      <c r="I1263"/>
      <c r="J1263"/>
      <c r="K1263"/>
      <c r="L1263"/>
    </row>
    <row r="1264" spans="2:12" x14ac:dyDescent="0.35">
      <c r="B1264" s="1953"/>
      <c r="C1264" s="1953"/>
      <c r="D1264" s="1953"/>
      <c r="E1264" s="1953"/>
      <c r="F1264" s="1953"/>
      <c r="G1264" s="1953"/>
      <c r="H1264" s="1953"/>
      <c r="I1264"/>
      <c r="J1264"/>
      <c r="K1264"/>
      <c r="L1264"/>
    </row>
    <row r="1265" spans="2:12" x14ac:dyDescent="0.35">
      <c r="B1265" s="1953"/>
      <c r="C1265" s="1953"/>
      <c r="D1265" s="1953"/>
      <c r="E1265" s="1953"/>
      <c r="F1265" s="1953"/>
      <c r="G1265" s="1953"/>
      <c r="H1265" s="1953"/>
      <c r="I1265"/>
      <c r="J1265"/>
      <c r="K1265"/>
      <c r="L1265"/>
    </row>
    <row r="1266" spans="2:12" x14ac:dyDescent="0.35">
      <c r="B1266" s="1953"/>
      <c r="C1266" s="1953"/>
      <c r="D1266" s="1953"/>
      <c r="E1266" s="1953"/>
      <c r="F1266" s="1953"/>
      <c r="G1266" s="1953"/>
      <c r="H1266" s="1953"/>
      <c r="I1266"/>
      <c r="J1266"/>
      <c r="K1266"/>
      <c r="L1266"/>
    </row>
    <row r="1267" spans="2:12" x14ac:dyDescent="0.35">
      <c r="B1267" s="1953"/>
      <c r="C1267" s="1953"/>
      <c r="D1267" s="1953"/>
      <c r="E1267" s="1953"/>
      <c r="F1267" s="1953"/>
      <c r="G1267" s="1953"/>
      <c r="H1267" s="1953"/>
      <c r="I1267"/>
      <c r="J1267"/>
      <c r="K1267"/>
      <c r="L1267"/>
    </row>
    <row r="1268" spans="2:12" x14ac:dyDescent="0.35">
      <c r="B1268" s="1953"/>
      <c r="C1268" s="1953"/>
      <c r="D1268" s="1953"/>
      <c r="E1268" s="1953"/>
      <c r="F1268" s="1953"/>
      <c r="G1268" s="1953"/>
      <c r="H1268" s="1953"/>
      <c r="I1268"/>
      <c r="J1268"/>
      <c r="K1268"/>
      <c r="L1268"/>
    </row>
    <row r="1269" spans="2:12" x14ac:dyDescent="0.35">
      <c r="B1269" s="1953"/>
      <c r="C1269" s="1953"/>
      <c r="D1269" s="1953"/>
      <c r="E1269" s="1953"/>
      <c r="F1269" s="1953"/>
      <c r="G1269" s="1953"/>
      <c r="H1269" s="1953"/>
      <c r="I1269"/>
      <c r="J1269"/>
      <c r="K1269"/>
      <c r="L1269"/>
    </row>
    <row r="1270" spans="2:12" x14ac:dyDescent="0.35">
      <c r="B1270" s="1953"/>
      <c r="C1270" s="1953"/>
      <c r="D1270" s="1953"/>
      <c r="E1270" s="1953"/>
      <c r="F1270" s="1953"/>
      <c r="G1270" s="1953"/>
      <c r="H1270" s="1953"/>
      <c r="I1270"/>
      <c r="J1270"/>
      <c r="K1270"/>
      <c r="L1270"/>
    </row>
    <row r="1271" spans="2:12" x14ac:dyDescent="0.35">
      <c r="B1271" s="1953"/>
      <c r="C1271" s="1953"/>
      <c r="D1271" s="1953"/>
      <c r="E1271" s="1953"/>
      <c r="F1271" s="1953"/>
      <c r="G1271" s="1953"/>
      <c r="H1271" s="1953"/>
      <c r="I1271"/>
      <c r="J1271"/>
      <c r="K1271"/>
      <c r="L1271"/>
    </row>
    <row r="1272" spans="2:12" x14ac:dyDescent="0.35">
      <c r="B1272" s="1953"/>
      <c r="C1272" s="1953"/>
      <c r="D1272" s="1953"/>
      <c r="E1272" s="1953"/>
      <c r="F1272" s="1953"/>
      <c r="G1272" s="1953"/>
      <c r="H1272" s="1953"/>
      <c r="I1272"/>
      <c r="J1272"/>
      <c r="K1272"/>
      <c r="L1272"/>
    </row>
    <row r="1273" spans="2:12" x14ac:dyDescent="0.35">
      <c r="B1273" s="1953"/>
      <c r="C1273" s="1953"/>
      <c r="D1273" s="1953"/>
      <c r="E1273" s="1953"/>
      <c r="F1273" s="1953"/>
      <c r="G1273" s="1953"/>
      <c r="H1273" s="1953"/>
      <c r="I1273"/>
      <c r="J1273"/>
      <c r="K1273"/>
      <c r="L1273"/>
    </row>
    <row r="1274" spans="2:12" x14ac:dyDescent="0.35">
      <c r="B1274" s="1953"/>
      <c r="C1274" s="1953"/>
      <c r="D1274" s="1953"/>
      <c r="E1274" s="1953"/>
      <c r="F1274" s="1953"/>
      <c r="G1274" s="1953"/>
      <c r="H1274" s="1953"/>
      <c r="I1274"/>
      <c r="J1274"/>
      <c r="K1274"/>
      <c r="L1274"/>
    </row>
    <row r="1275" spans="2:12" x14ac:dyDescent="0.35">
      <c r="B1275" s="1953"/>
      <c r="C1275" s="1953"/>
      <c r="D1275" s="1953"/>
      <c r="E1275" s="1953"/>
      <c r="F1275" s="1953"/>
      <c r="G1275" s="1953"/>
      <c r="H1275" s="1953"/>
      <c r="I1275"/>
      <c r="J1275"/>
      <c r="K1275"/>
      <c r="L1275"/>
    </row>
    <row r="1276" spans="2:12" x14ac:dyDescent="0.35">
      <c r="B1276" s="1953"/>
      <c r="C1276" s="1953"/>
      <c r="D1276" s="1953"/>
      <c r="E1276" s="1953"/>
      <c r="F1276" s="1953"/>
      <c r="G1276" s="1953"/>
      <c r="H1276" s="1953"/>
      <c r="I1276"/>
      <c r="J1276"/>
      <c r="K1276"/>
      <c r="L1276"/>
    </row>
    <row r="1277" spans="2:12" x14ac:dyDescent="0.35">
      <c r="B1277" s="1953"/>
      <c r="C1277" s="1953"/>
      <c r="D1277" s="1953"/>
      <c r="E1277" s="1953"/>
      <c r="F1277" s="1953"/>
      <c r="G1277" s="1953"/>
      <c r="H1277" s="1953"/>
      <c r="I1277"/>
      <c r="J1277"/>
      <c r="K1277"/>
      <c r="L1277"/>
    </row>
    <row r="1278" spans="2:12" x14ac:dyDescent="0.35">
      <c r="B1278" s="1953"/>
      <c r="C1278" s="1953"/>
      <c r="D1278" s="1953"/>
      <c r="E1278" s="1953"/>
      <c r="F1278" s="1953"/>
      <c r="G1278" s="1953"/>
      <c r="H1278" s="1953"/>
      <c r="I1278"/>
      <c r="J1278"/>
      <c r="K1278"/>
      <c r="L1278"/>
    </row>
    <row r="1279" spans="2:12" x14ac:dyDescent="0.35">
      <c r="B1279" s="1953"/>
      <c r="C1279" s="1953"/>
      <c r="D1279" s="1953"/>
      <c r="E1279" s="1953"/>
      <c r="F1279" s="1953"/>
      <c r="G1279" s="1953"/>
      <c r="H1279" s="1953"/>
      <c r="I1279"/>
      <c r="J1279"/>
      <c r="K1279"/>
      <c r="L1279"/>
    </row>
    <row r="1280" spans="2:12" x14ac:dyDescent="0.35">
      <c r="B1280" s="1953"/>
      <c r="C1280" s="1953"/>
      <c r="D1280" s="1953"/>
      <c r="E1280" s="1953"/>
      <c r="F1280" s="1953"/>
      <c r="G1280" s="1953"/>
      <c r="H1280" s="1953"/>
      <c r="I1280"/>
      <c r="J1280"/>
      <c r="K1280"/>
      <c r="L1280"/>
    </row>
    <row r="1281" spans="2:12" x14ac:dyDescent="0.35">
      <c r="B1281" s="1953"/>
      <c r="C1281" s="1953"/>
      <c r="D1281" s="1953"/>
      <c r="E1281" s="1953"/>
      <c r="F1281" s="1953"/>
      <c r="G1281" s="1953"/>
      <c r="H1281" s="1953"/>
      <c r="I1281"/>
      <c r="J1281"/>
      <c r="K1281"/>
      <c r="L1281"/>
    </row>
    <row r="1282" spans="2:12" x14ac:dyDescent="0.35">
      <c r="B1282" s="1953"/>
      <c r="C1282" s="1953"/>
      <c r="D1282" s="1953"/>
      <c r="E1282" s="1953"/>
      <c r="F1282" s="1953"/>
      <c r="G1282" s="1953"/>
      <c r="H1282" s="1953"/>
      <c r="I1282"/>
      <c r="J1282"/>
      <c r="K1282"/>
      <c r="L1282"/>
    </row>
    <row r="1283" spans="2:12" x14ac:dyDescent="0.35">
      <c r="B1283" s="1953"/>
      <c r="C1283" s="1953"/>
      <c r="D1283" s="1953"/>
      <c r="E1283" s="1953"/>
      <c r="F1283" s="1953"/>
      <c r="G1283" s="1953"/>
      <c r="H1283" s="1953"/>
      <c r="I1283"/>
      <c r="J1283"/>
      <c r="K1283"/>
      <c r="L1283"/>
    </row>
    <row r="1284" spans="2:12" x14ac:dyDescent="0.35">
      <c r="B1284" s="1953"/>
      <c r="C1284" s="1953"/>
      <c r="D1284" s="1953"/>
      <c r="E1284" s="1953"/>
      <c r="F1284" s="1953"/>
      <c r="G1284" s="1953"/>
      <c r="H1284" s="1953"/>
      <c r="I1284"/>
      <c r="J1284"/>
      <c r="K1284"/>
      <c r="L1284"/>
    </row>
    <row r="1285" spans="2:12" x14ac:dyDescent="0.35">
      <c r="B1285" s="1953"/>
      <c r="C1285" s="1953"/>
      <c r="D1285" s="1953"/>
      <c r="E1285" s="1953"/>
      <c r="F1285" s="1953"/>
      <c r="G1285" s="1953"/>
      <c r="H1285" s="1953"/>
      <c r="I1285"/>
      <c r="J1285"/>
      <c r="K1285"/>
      <c r="L1285"/>
    </row>
    <row r="1286" spans="2:12" x14ac:dyDescent="0.35">
      <c r="B1286" s="1953"/>
      <c r="C1286" s="1953"/>
      <c r="D1286" s="1953"/>
      <c r="E1286" s="1953"/>
      <c r="F1286" s="1953"/>
      <c r="G1286" s="1953"/>
      <c r="H1286" s="1953"/>
      <c r="I1286"/>
      <c r="J1286"/>
      <c r="K1286"/>
      <c r="L1286"/>
    </row>
    <row r="1287" spans="2:12" x14ac:dyDescent="0.35">
      <c r="B1287" s="1953"/>
      <c r="C1287" s="1953"/>
      <c r="D1287" s="1953"/>
      <c r="E1287" s="1953"/>
      <c r="F1287" s="1953"/>
      <c r="G1287" s="1953"/>
      <c r="H1287" s="1953"/>
      <c r="I1287"/>
      <c r="J1287"/>
      <c r="K1287"/>
      <c r="L1287"/>
    </row>
    <row r="1288" spans="2:12" x14ac:dyDescent="0.35">
      <c r="B1288" s="1953"/>
      <c r="C1288" s="1953"/>
      <c r="D1288" s="1953"/>
      <c r="E1288" s="1953"/>
      <c r="F1288" s="1953"/>
      <c r="G1288" s="1953"/>
      <c r="H1288" s="1953"/>
      <c r="I1288"/>
      <c r="J1288"/>
      <c r="K1288"/>
      <c r="L1288"/>
    </row>
    <row r="1289" spans="2:12" x14ac:dyDescent="0.35">
      <c r="B1289" s="1953"/>
      <c r="C1289" s="1953"/>
      <c r="D1289" s="1953"/>
      <c r="E1289" s="1953"/>
      <c r="F1289" s="1953"/>
      <c r="G1289" s="1953"/>
      <c r="H1289" s="1953"/>
      <c r="I1289"/>
      <c r="J1289"/>
      <c r="K1289"/>
      <c r="L1289"/>
    </row>
    <row r="1290" spans="2:12" x14ac:dyDescent="0.35">
      <c r="B1290" s="1953"/>
      <c r="C1290" s="1953"/>
      <c r="D1290" s="1953"/>
      <c r="E1290" s="1953"/>
      <c r="F1290" s="1953"/>
      <c r="G1290" s="1953"/>
      <c r="H1290" s="1953"/>
      <c r="I1290"/>
      <c r="J1290"/>
      <c r="K1290"/>
      <c r="L1290"/>
    </row>
    <row r="1291" spans="2:12" x14ac:dyDescent="0.35">
      <c r="B1291" s="1953"/>
      <c r="C1291" s="1953"/>
      <c r="D1291" s="1953"/>
      <c r="E1291" s="1953"/>
      <c r="F1291" s="1953"/>
      <c r="G1291" s="1953"/>
      <c r="H1291" s="1953"/>
      <c r="I1291"/>
      <c r="J1291"/>
      <c r="K1291"/>
      <c r="L1291"/>
    </row>
    <row r="1292" spans="2:12" x14ac:dyDescent="0.35">
      <c r="B1292" s="1953"/>
      <c r="C1292" s="1953"/>
      <c r="D1292" s="1953"/>
      <c r="E1292" s="1953"/>
      <c r="F1292" s="1953"/>
      <c r="G1292" s="1953"/>
      <c r="H1292" s="1953"/>
      <c r="I1292"/>
      <c r="J1292"/>
      <c r="K1292"/>
      <c r="L1292"/>
    </row>
    <row r="1293" spans="2:12" x14ac:dyDescent="0.35">
      <c r="B1293" s="1953"/>
      <c r="C1293" s="1953"/>
      <c r="D1293" s="1953"/>
      <c r="E1293" s="1953"/>
      <c r="F1293" s="1953"/>
      <c r="G1293" s="1953"/>
      <c r="H1293" s="1953"/>
      <c r="I1293"/>
      <c r="J1293"/>
      <c r="K1293"/>
      <c r="L1293"/>
    </row>
    <row r="1294" spans="2:12" x14ac:dyDescent="0.35">
      <c r="B1294" s="1953"/>
      <c r="C1294" s="1953"/>
      <c r="D1294" s="1953"/>
      <c r="E1294" s="1953"/>
      <c r="F1294" s="1953"/>
      <c r="G1294" s="1953"/>
      <c r="H1294" s="1953"/>
      <c r="I1294"/>
      <c r="J1294"/>
      <c r="K1294"/>
      <c r="L1294"/>
    </row>
    <row r="1295" spans="2:12" x14ac:dyDescent="0.35">
      <c r="B1295" s="1953"/>
      <c r="C1295" s="1953"/>
      <c r="D1295" s="1953"/>
      <c r="E1295" s="1953"/>
      <c r="F1295" s="1953"/>
      <c r="G1295" s="1953"/>
      <c r="H1295" s="1953"/>
      <c r="I1295"/>
      <c r="J1295"/>
      <c r="K1295"/>
      <c r="L1295"/>
    </row>
    <row r="1296" spans="2:12" x14ac:dyDescent="0.35">
      <c r="B1296" s="1953"/>
      <c r="C1296" s="1953"/>
      <c r="D1296" s="1953"/>
      <c r="E1296" s="1953"/>
      <c r="F1296" s="1953"/>
      <c r="G1296" s="1953"/>
      <c r="H1296" s="1953"/>
      <c r="I1296"/>
      <c r="J1296"/>
      <c r="K1296"/>
      <c r="L1296"/>
    </row>
    <row r="1297" spans="2:12" x14ac:dyDescent="0.35">
      <c r="B1297" s="1953"/>
      <c r="C1297" s="1953"/>
      <c r="D1297" s="1953"/>
      <c r="E1297" s="1953"/>
      <c r="F1297" s="1953"/>
      <c r="G1297" s="1953"/>
      <c r="H1297" s="1953"/>
      <c r="I1297"/>
      <c r="J1297"/>
      <c r="K1297"/>
      <c r="L1297"/>
    </row>
    <row r="1298" spans="2:12" x14ac:dyDescent="0.35">
      <c r="B1298" s="1953"/>
      <c r="C1298" s="1953"/>
      <c r="D1298" s="1953"/>
      <c r="E1298" s="1953"/>
      <c r="F1298" s="1953"/>
      <c r="G1298" s="1953"/>
      <c r="H1298" s="1953"/>
      <c r="I1298"/>
      <c r="J1298"/>
      <c r="K1298"/>
      <c r="L1298"/>
    </row>
    <row r="1299" spans="2:12" x14ac:dyDescent="0.35">
      <c r="B1299" s="1953"/>
      <c r="C1299" s="1953"/>
      <c r="D1299" s="1953"/>
      <c r="E1299" s="1953"/>
      <c r="F1299" s="1953"/>
      <c r="G1299" s="1953"/>
      <c r="H1299" s="1953"/>
      <c r="I1299"/>
      <c r="J1299"/>
      <c r="K1299"/>
      <c r="L1299"/>
    </row>
    <row r="1300" spans="2:12" x14ac:dyDescent="0.35">
      <c r="B1300" s="1953"/>
      <c r="C1300" s="1953"/>
      <c r="D1300" s="1953"/>
      <c r="E1300" s="1953"/>
      <c r="F1300" s="1953"/>
      <c r="G1300" s="1953"/>
      <c r="H1300" s="1953"/>
      <c r="I1300"/>
      <c r="J1300"/>
      <c r="K1300"/>
      <c r="L1300"/>
    </row>
    <row r="1301" spans="2:12" x14ac:dyDescent="0.35">
      <c r="B1301" s="1953"/>
      <c r="C1301" s="1953"/>
      <c r="D1301" s="1953"/>
      <c r="E1301" s="1953"/>
      <c r="F1301" s="1953"/>
      <c r="G1301" s="1953"/>
      <c r="H1301" s="1953"/>
      <c r="I1301"/>
      <c r="J1301"/>
      <c r="K1301"/>
      <c r="L1301"/>
    </row>
    <row r="1302" spans="2:12" x14ac:dyDescent="0.35">
      <c r="B1302" s="1953"/>
      <c r="C1302" s="1953"/>
      <c r="D1302" s="1953"/>
      <c r="E1302" s="1953"/>
      <c r="F1302" s="1953"/>
      <c r="G1302" s="1953"/>
      <c r="H1302" s="1953"/>
      <c r="I1302"/>
      <c r="J1302"/>
      <c r="K1302"/>
      <c r="L1302"/>
    </row>
    <row r="1303" spans="2:12" x14ac:dyDescent="0.35">
      <c r="B1303" s="1953"/>
      <c r="C1303" s="1953"/>
      <c r="D1303" s="1953"/>
      <c r="E1303" s="1953"/>
      <c r="F1303" s="1953"/>
      <c r="G1303" s="1953"/>
      <c r="H1303" s="1953"/>
      <c r="I1303"/>
      <c r="J1303"/>
      <c r="K1303"/>
      <c r="L1303"/>
    </row>
    <row r="1304" spans="2:12" x14ac:dyDescent="0.35">
      <c r="B1304" s="1953"/>
      <c r="C1304" s="1953"/>
      <c r="D1304" s="1953"/>
      <c r="E1304" s="1953"/>
      <c r="F1304" s="1953"/>
      <c r="G1304" s="1953"/>
      <c r="H1304" s="1953"/>
      <c r="I1304"/>
      <c r="J1304"/>
      <c r="K1304"/>
      <c r="L1304"/>
    </row>
    <row r="1305" spans="2:12" x14ac:dyDescent="0.35">
      <c r="B1305" s="1953"/>
      <c r="C1305" s="1953"/>
      <c r="D1305" s="1953"/>
      <c r="E1305" s="1953"/>
      <c r="F1305" s="1953"/>
      <c r="G1305" s="1953"/>
      <c r="H1305" s="1953"/>
      <c r="I1305"/>
      <c r="J1305"/>
      <c r="K1305"/>
      <c r="L1305"/>
    </row>
    <row r="1306" spans="2:12" x14ac:dyDescent="0.35">
      <c r="B1306" s="1953"/>
      <c r="C1306" s="1953"/>
      <c r="D1306" s="1953"/>
      <c r="E1306" s="1953"/>
      <c r="F1306" s="1953"/>
      <c r="G1306" s="1953"/>
      <c r="H1306" s="1953"/>
      <c r="I1306"/>
      <c r="J1306"/>
      <c r="K1306"/>
      <c r="L1306"/>
    </row>
    <row r="1307" spans="2:12" x14ac:dyDescent="0.35">
      <c r="B1307" s="1953"/>
      <c r="C1307" s="1953"/>
      <c r="D1307" s="1953"/>
      <c r="E1307" s="1953"/>
      <c r="F1307" s="1953"/>
      <c r="G1307" s="1953"/>
      <c r="H1307" s="1953"/>
      <c r="I1307"/>
      <c r="J1307"/>
      <c r="K1307"/>
      <c r="L1307"/>
    </row>
    <row r="1308" spans="2:12" x14ac:dyDescent="0.35">
      <c r="B1308" s="1953"/>
      <c r="C1308" s="1953"/>
      <c r="D1308" s="1953"/>
      <c r="E1308" s="1953"/>
      <c r="F1308" s="1953"/>
      <c r="G1308" s="1953"/>
      <c r="H1308" s="1953"/>
      <c r="I1308"/>
      <c r="J1308"/>
      <c r="K1308"/>
      <c r="L1308"/>
    </row>
    <row r="1309" spans="2:12" x14ac:dyDescent="0.35">
      <c r="B1309" s="1953"/>
      <c r="C1309" s="1953"/>
      <c r="D1309" s="1953"/>
      <c r="E1309" s="1953"/>
      <c r="F1309" s="1953"/>
      <c r="G1309" s="1953"/>
      <c r="H1309" s="1953"/>
      <c r="I1309"/>
      <c r="J1309"/>
      <c r="K1309"/>
      <c r="L1309"/>
    </row>
    <row r="1310" spans="2:12" x14ac:dyDescent="0.35">
      <c r="B1310" s="1953"/>
      <c r="C1310" s="1953"/>
      <c r="D1310" s="1953"/>
      <c r="E1310" s="1953"/>
      <c r="F1310" s="1953"/>
      <c r="G1310" s="1953"/>
      <c r="H1310" s="1953"/>
      <c r="I1310"/>
      <c r="J1310"/>
      <c r="K1310"/>
      <c r="L1310"/>
    </row>
    <row r="1311" spans="2:12" x14ac:dyDescent="0.35">
      <c r="B1311" s="1953"/>
      <c r="C1311" s="1953"/>
      <c r="D1311" s="1953"/>
      <c r="E1311" s="1953"/>
      <c r="F1311" s="1953"/>
      <c r="G1311" s="1953"/>
      <c r="H1311" s="1953"/>
      <c r="I1311"/>
      <c r="J1311"/>
      <c r="K1311"/>
      <c r="L1311"/>
    </row>
    <row r="1312" spans="2:12" x14ac:dyDescent="0.35">
      <c r="B1312" s="1953"/>
      <c r="C1312" s="1953"/>
      <c r="D1312" s="1953"/>
      <c r="E1312" s="1953"/>
      <c r="F1312" s="1953"/>
      <c r="G1312" s="1953"/>
      <c r="H1312" s="1953"/>
      <c r="I1312"/>
      <c r="J1312"/>
      <c r="K1312"/>
      <c r="L1312"/>
    </row>
    <row r="1313" spans="2:12" x14ac:dyDescent="0.35">
      <c r="B1313" s="1953"/>
      <c r="C1313" s="1953"/>
      <c r="D1313" s="1953"/>
      <c r="E1313" s="1953"/>
      <c r="F1313" s="1953"/>
      <c r="G1313" s="1953"/>
      <c r="H1313" s="1953"/>
      <c r="I1313"/>
      <c r="J1313"/>
      <c r="K1313"/>
      <c r="L1313"/>
    </row>
    <row r="1314" spans="2:12" x14ac:dyDescent="0.35">
      <c r="B1314" s="1953"/>
      <c r="C1314" s="1953"/>
      <c r="D1314" s="1953"/>
      <c r="E1314" s="1953"/>
      <c r="F1314" s="1953"/>
      <c r="G1314" s="1953"/>
      <c r="H1314" s="1953"/>
      <c r="I1314"/>
      <c r="J1314"/>
      <c r="K1314"/>
      <c r="L1314"/>
    </row>
    <row r="1315" spans="2:12" x14ac:dyDescent="0.35">
      <c r="B1315" s="1953"/>
      <c r="C1315" s="1953"/>
      <c r="D1315" s="1953"/>
      <c r="E1315" s="1953"/>
      <c r="F1315" s="1953"/>
      <c r="G1315" s="1953"/>
      <c r="H1315" s="1953"/>
      <c r="I1315"/>
      <c r="J1315"/>
      <c r="K1315"/>
      <c r="L1315"/>
    </row>
    <row r="1316" spans="2:12" x14ac:dyDescent="0.35">
      <c r="B1316" s="1953"/>
      <c r="C1316" s="1953"/>
      <c r="D1316" s="1953"/>
      <c r="E1316" s="1953"/>
      <c r="F1316" s="1953"/>
      <c r="G1316" s="1953"/>
      <c r="H1316" s="1953"/>
      <c r="I1316"/>
      <c r="J1316"/>
      <c r="K1316"/>
      <c r="L1316"/>
    </row>
    <row r="1317" spans="2:12" x14ac:dyDescent="0.35">
      <c r="B1317" s="1953"/>
      <c r="C1317" s="1953"/>
      <c r="D1317" s="1953"/>
      <c r="E1317" s="1953"/>
      <c r="F1317" s="1953"/>
      <c r="G1317" s="1953"/>
      <c r="H1317" s="1953"/>
      <c r="I1317"/>
      <c r="J1317"/>
      <c r="K1317"/>
      <c r="L1317"/>
    </row>
    <row r="1318" spans="2:12" x14ac:dyDescent="0.35">
      <c r="B1318" s="1953"/>
      <c r="C1318" s="1953"/>
      <c r="D1318" s="1953"/>
      <c r="E1318" s="1953"/>
      <c r="F1318" s="1953"/>
      <c r="G1318" s="1953"/>
      <c r="H1318" s="1953"/>
      <c r="I1318"/>
      <c r="J1318"/>
      <c r="K1318"/>
      <c r="L1318"/>
    </row>
    <row r="1319" spans="2:12" x14ac:dyDescent="0.35">
      <c r="B1319" s="1953"/>
      <c r="C1319" s="1953"/>
      <c r="D1319" s="1953"/>
      <c r="E1319" s="1953"/>
      <c r="F1319" s="1953"/>
      <c r="G1319" s="1953"/>
      <c r="H1319" s="1953"/>
      <c r="I1319"/>
      <c r="J1319"/>
      <c r="K1319"/>
      <c r="L1319"/>
    </row>
    <row r="1320" spans="2:12" x14ac:dyDescent="0.35">
      <c r="B1320" s="1953"/>
      <c r="C1320" s="1953"/>
      <c r="D1320" s="1953"/>
      <c r="E1320" s="1953"/>
      <c r="F1320" s="1953"/>
      <c r="G1320" s="1953"/>
      <c r="H1320" s="1953"/>
      <c r="I1320"/>
      <c r="J1320"/>
      <c r="K1320"/>
      <c r="L1320"/>
    </row>
    <row r="1321" spans="2:12" x14ac:dyDescent="0.35">
      <c r="B1321" s="1953"/>
      <c r="C1321" s="1953"/>
      <c r="D1321" s="1953"/>
      <c r="E1321" s="1953"/>
      <c r="F1321" s="1953"/>
      <c r="G1321" s="1953"/>
      <c r="H1321" s="1953"/>
      <c r="I1321"/>
      <c r="J1321"/>
      <c r="K1321"/>
      <c r="L1321"/>
    </row>
    <row r="1322" spans="2:12" x14ac:dyDescent="0.35">
      <c r="B1322" s="1953"/>
      <c r="C1322" s="1953"/>
      <c r="D1322" s="1953"/>
      <c r="E1322" s="1953"/>
      <c r="F1322" s="1953"/>
      <c r="G1322" s="1953"/>
      <c r="H1322" s="1953"/>
      <c r="I1322"/>
      <c r="J1322"/>
      <c r="K1322"/>
      <c r="L1322"/>
    </row>
    <row r="1323" spans="2:12" x14ac:dyDescent="0.35">
      <c r="B1323" s="1953"/>
      <c r="C1323" s="1953"/>
      <c r="D1323" s="1953"/>
      <c r="E1323" s="1953"/>
      <c r="F1323" s="1953"/>
      <c r="G1323" s="1953"/>
      <c r="H1323" s="1953"/>
      <c r="I1323"/>
      <c r="J1323"/>
      <c r="K1323"/>
      <c r="L1323"/>
    </row>
    <row r="1324" spans="2:12" x14ac:dyDescent="0.35">
      <c r="B1324" s="1953"/>
      <c r="C1324" s="1953"/>
      <c r="D1324" s="1953"/>
      <c r="E1324" s="1953"/>
      <c r="F1324" s="1953"/>
      <c r="G1324" s="1953"/>
      <c r="H1324" s="1953"/>
      <c r="I1324"/>
      <c r="J1324"/>
      <c r="K1324"/>
      <c r="L1324"/>
    </row>
    <row r="1325" spans="2:12" x14ac:dyDescent="0.35">
      <c r="B1325" s="1953"/>
      <c r="C1325" s="1953"/>
      <c r="D1325" s="1953"/>
      <c r="E1325" s="1953"/>
      <c r="F1325" s="1953"/>
      <c r="G1325" s="1953"/>
      <c r="H1325" s="1953"/>
      <c r="I1325"/>
      <c r="J1325"/>
      <c r="K1325"/>
      <c r="L1325"/>
    </row>
    <row r="1326" spans="2:12" x14ac:dyDescent="0.35">
      <c r="B1326" s="1953"/>
      <c r="C1326" s="1953"/>
      <c r="D1326" s="1953"/>
      <c r="E1326" s="1953"/>
      <c r="F1326" s="1953"/>
      <c r="G1326" s="1953"/>
      <c r="H1326" s="1953"/>
      <c r="I1326"/>
      <c r="J1326"/>
      <c r="K1326"/>
      <c r="L1326"/>
    </row>
    <row r="1327" spans="2:12" x14ac:dyDescent="0.35">
      <c r="B1327" s="1953"/>
      <c r="C1327" s="1953"/>
      <c r="D1327" s="1953"/>
      <c r="E1327" s="1953"/>
      <c r="F1327" s="1953"/>
      <c r="G1327" s="1953"/>
      <c r="H1327" s="1953"/>
      <c r="I1327"/>
      <c r="J1327"/>
      <c r="K1327"/>
      <c r="L1327"/>
    </row>
    <row r="1328" spans="2:12" x14ac:dyDescent="0.35">
      <c r="B1328" s="1953"/>
      <c r="C1328" s="1953"/>
      <c r="D1328" s="1953"/>
      <c r="E1328" s="1953"/>
      <c r="F1328" s="1953"/>
      <c r="G1328" s="1953"/>
      <c r="H1328" s="1953"/>
      <c r="I1328"/>
      <c r="J1328"/>
      <c r="K1328"/>
      <c r="L1328"/>
    </row>
    <row r="1329" spans="2:12" x14ac:dyDescent="0.35">
      <c r="B1329" s="1953"/>
      <c r="C1329" s="1953"/>
      <c r="D1329" s="1953"/>
      <c r="E1329" s="1953"/>
      <c r="F1329" s="1953"/>
      <c r="G1329" s="1953"/>
      <c r="H1329" s="1953"/>
      <c r="I1329"/>
      <c r="J1329"/>
      <c r="K1329"/>
      <c r="L1329"/>
    </row>
    <row r="1330" spans="2:12" x14ac:dyDescent="0.35">
      <c r="B1330" s="1953"/>
      <c r="C1330" s="1953"/>
      <c r="D1330" s="1953"/>
      <c r="E1330" s="1953"/>
      <c r="F1330" s="1953"/>
      <c r="G1330" s="1953"/>
      <c r="H1330" s="1953"/>
      <c r="I1330"/>
      <c r="J1330"/>
      <c r="K1330"/>
      <c r="L1330"/>
    </row>
    <row r="1331" spans="2:12" x14ac:dyDescent="0.35">
      <c r="B1331" s="1953"/>
      <c r="C1331" s="1953"/>
      <c r="D1331" s="1953"/>
      <c r="E1331" s="1953"/>
      <c r="F1331" s="1953"/>
      <c r="G1331" s="1953"/>
      <c r="H1331" s="1953"/>
      <c r="I1331"/>
      <c r="J1331"/>
      <c r="K1331"/>
      <c r="L1331"/>
    </row>
    <row r="1332" spans="2:12" x14ac:dyDescent="0.35">
      <c r="B1332" s="1953"/>
      <c r="C1332" s="1953"/>
      <c r="D1332" s="1953"/>
      <c r="E1332" s="1953"/>
      <c r="F1332" s="1953"/>
      <c r="G1332" s="1953"/>
      <c r="H1332" s="1953"/>
      <c r="I1332"/>
      <c r="J1332"/>
      <c r="K1332"/>
      <c r="L1332"/>
    </row>
    <row r="1333" spans="2:12" x14ac:dyDescent="0.35">
      <c r="B1333" s="1953"/>
      <c r="C1333" s="1953"/>
      <c r="D1333" s="1953"/>
      <c r="E1333" s="1953"/>
      <c r="F1333" s="1953"/>
      <c r="G1333" s="1953"/>
      <c r="H1333" s="1953"/>
      <c r="I1333"/>
      <c r="J1333"/>
      <c r="K1333"/>
      <c r="L1333"/>
    </row>
    <row r="1334" spans="2:12" x14ac:dyDescent="0.35">
      <c r="B1334" s="1953"/>
      <c r="C1334" s="1953"/>
      <c r="D1334" s="1953"/>
      <c r="E1334" s="1953"/>
      <c r="F1334" s="1953"/>
      <c r="G1334" s="1953"/>
      <c r="H1334" s="1953"/>
      <c r="I1334"/>
      <c r="J1334"/>
      <c r="K1334"/>
      <c r="L1334"/>
    </row>
    <row r="1335" spans="2:12" x14ac:dyDescent="0.35">
      <c r="B1335" s="1953"/>
      <c r="C1335" s="1953"/>
      <c r="D1335" s="1953"/>
      <c r="E1335" s="1953"/>
      <c r="F1335" s="1953"/>
      <c r="G1335" s="1953"/>
      <c r="H1335" s="1953"/>
      <c r="I1335"/>
      <c r="J1335"/>
      <c r="K1335"/>
      <c r="L1335"/>
    </row>
    <row r="1336" spans="2:12" x14ac:dyDescent="0.35">
      <c r="B1336" s="1953"/>
      <c r="C1336" s="1953"/>
      <c r="D1336" s="1953"/>
      <c r="E1336" s="1953"/>
      <c r="F1336" s="1953"/>
      <c r="G1336" s="1953"/>
      <c r="H1336" s="1953"/>
      <c r="I1336"/>
      <c r="J1336"/>
      <c r="K1336"/>
      <c r="L1336"/>
    </row>
    <row r="1337" spans="2:12" x14ac:dyDescent="0.35">
      <c r="B1337" s="1953"/>
      <c r="C1337" s="1953"/>
      <c r="D1337" s="1953"/>
      <c r="E1337" s="1953"/>
      <c r="F1337" s="1953"/>
      <c r="G1337" s="1953"/>
      <c r="H1337" s="1953"/>
      <c r="I1337"/>
      <c r="J1337"/>
      <c r="K1337"/>
      <c r="L1337"/>
    </row>
    <row r="1338" spans="2:12" x14ac:dyDescent="0.35">
      <c r="B1338" s="1953"/>
      <c r="C1338" s="1953"/>
      <c r="D1338" s="1953"/>
      <c r="E1338" s="1953"/>
      <c r="F1338" s="1953"/>
      <c r="G1338" s="1953"/>
      <c r="H1338" s="1953"/>
      <c r="I1338"/>
      <c r="J1338"/>
      <c r="K1338"/>
      <c r="L1338"/>
    </row>
    <row r="1339" spans="2:12" x14ac:dyDescent="0.35">
      <c r="B1339" s="1953"/>
      <c r="C1339" s="1953"/>
      <c r="D1339" s="1953"/>
      <c r="E1339" s="1953"/>
      <c r="F1339" s="1953"/>
      <c r="G1339" s="1953"/>
      <c r="H1339" s="1953"/>
      <c r="I1339"/>
      <c r="J1339"/>
      <c r="K1339"/>
      <c r="L1339"/>
    </row>
    <row r="1340" spans="2:12" x14ac:dyDescent="0.35">
      <c r="B1340" s="1953"/>
      <c r="C1340" s="1953"/>
      <c r="D1340" s="1953"/>
      <c r="E1340" s="1953"/>
      <c r="F1340" s="1953"/>
      <c r="G1340" s="1953"/>
      <c r="H1340" s="1953"/>
      <c r="I1340"/>
      <c r="J1340"/>
      <c r="K1340"/>
      <c r="L1340"/>
    </row>
    <row r="1341" spans="2:12" x14ac:dyDescent="0.35">
      <c r="B1341" s="1953"/>
      <c r="C1341" s="1953"/>
      <c r="D1341" s="1953"/>
      <c r="E1341" s="1953"/>
      <c r="F1341" s="1953"/>
      <c r="G1341" s="1953"/>
      <c r="H1341" s="1953"/>
      <c r="I1341"/>
      <c r="J1341"/>
      <c r="K1341"/>
      <c r="L1341"/>
    </row>
    <row r="1342" spans="2:12" x14ac:dyDescent="0.35">
      <c r="B1342" s="1953"/>
      <c r="C1342" s="1953"/>
      <c r="D1342" s="1953"/>
      <c r="E1342" s="1953"/>
      <c r="F1342" s="1953"/>
      <c r="G1342" s="1953"/>
      <c r="H1342" s="1953"/>
      <c r="I1342"/>
      <c r="J1342"/>
      <c r="K1342"/>
      <c r="L1342"/>
    </row>
    <row r="1343" spans="2:12" x14ac:dyDescent="0.35">
      <c r="B1343" s="1953"/>
      <c r="C1343" s="1953"/>
      <c r="D1343" s="1953"/>
      <c r="E1343" s="1953"/>
      <c r="F1343" s="1953"/>
      <c r="G1343" s="1953"/>
      <c r="H1343" s="1953"/>
      <c r="I1343"/>
      <c r="J1343"/>
      <c r="K1343"/>
      <c r="L1343"/>
    </row>
    <row r="1344" spans="2:12" x14ac:dyDescent="0.35">
      <c r="B1344" s="1953"/>
      <c r="C1344" s="1953"/>
      <c r="D1344" s="1953"/>
      <c r="E1344" s="1953"/>
      <c r="F1344" s="1953"/>
      <c r="G1344" s="1953"/>
      <c r="H1344" s="1953"/>
      <c r="I1344"/>
      <c r="J1344"/>
      <c r="K1344"/>
      <c r="L1344"/>
    </row>
    <row r="1345" spans="2:12" x14ac:dyDescent="0.35">
      <c r="B1345" s="1953"/>
      <c r="C1345" s="1953"/>
      <c r="D1345" s="1953"/>
      <c r="E1345" s="1953"/>
      <c r="F1345" s="1953"/>
      <c r="G1345" s="1953"/>
      <c r="H1345" s="1953"/>
      <c r="I1345"/>
      <c r="J1345"/>
      <c r="K1345"/>
      <c r="L1345"/>
    </row>
    <row r="1346" spans="2:12" x14ac:dyDescent="0.35">
      <c r="B1346" s="1953"/>
      <c r="C1346" s="1953"/>
      <c r="D1346" s="1953"/>
      <c r="E1346" s="1953"/>
      <c r="F1346" s="1953"/>
      <c r="G1346" s="1953"/>
      <c r="H1346" s="1953"/>
      <c r="I1346"/>
      <c r="J1346"/>
      <c r="K1346"/>
      <c r="L1346"/>
    </row>
    <row r="1347" spans="2:12" x14ac:dyDescent="0.35">
      <c r="B1347" s="1953"/>
      <c r="C1347" s="1953"/>
      <c r="D1347" s="1953"/>
      <c r="E1347" s="1953"/>
      <c r="F1347" s="1953"/>
      <c r="G1347" s="1953"/>
      <c r="H1347" s="1953"/>
      <c r="I1347"/>
      <c r="J1347"/>
      <c r="K1347"/>
      <c r="L1347"/>
    </row>
    <row r="1348" spans="2:12" x14ac:dyDescent="0.35">
      <c r="B1348" s="1953"/>
      <c r="C1348" s="1953"/>
      <c r="D1348" s="1953"/>
      <c r="E1348" s="1953"/>
      <c r="F1348" s="1953"/>
      <c r="G1348" s="1953"/>
      <c r="H1348" s="1953"/>
      <c r="I1348"/>
      <c r="J1348"/>
      <c r="K1348"/>
      <c r="L1348"/>
    </row>
    <row r="1349" spans="2:12" x14ac:dyDescent="0.35">
      <c r="B1349" s="1953"/>
      <c r="C1349" s="1953"/>
      <c r="D1349" s="1953"/>
      <c r="E1349" s="1953"/>
      <c r="F1349" s="1953"/>
      <c r="G1349" s="1953"/>
      <c r="H1349" s="1953"/>
      <c r="I1349"/>
      <c r="J1349"/>
      <c r="K1349"/>
      <c r="L1349"/>
    </row>
    <row r="1350" spans="2:12" x14ac:dyDescent="0.35">
      <c r="B1350" s="1953"/>
      <c r="C1350" s="1953"/>
      <c r="D1350" s="1953"/>
      <c r="E1350" s="1953"/>
      <c r="F1350" s="1953"/>
      <c r="G1350" s="1953"/>
      <c r="H1350" s="1953"/>
      <c r="I1350"/>
      <c r="J1350"/>
      <c r="K1350"/>
      <c r="L1350"/>
    </row>
    <row r="1351" spans="2:12" x14ac:dyDescent="0.35">
      <c r="B1351" s="1953"/>
      <c r="C1351" s="1953"/>
      <c r="D1351" s="1953"/>
      <c r="E1351" s="1953"/>
      <c r="F1351" s="1953"/>
      <c r="G1351" s="1953"/>
      <c r="H1351" s="1953"/>
      <c r="I1351"/>
      <c r="J1351"/>
      <c r="K1351"/>
      <c r="L1351"/>
    </row>
    <row r="1352" spans="2:12" x14ac:dyDescent="0.35">
      <c r="B1352" s="1953"/>
      <c r="C1352" s="1953"/>
      <c r="D1352" s="1953"/>
      <c r="E1352" s="1953"/>
      <c r="F1352" s="1953"/>
      <c r="G1352" s="1953"/>
      <c r="H1352" s="1953"/>
      <c r="I1352"/>
      <c r="J1352"/>
      <c r="K1352"/>
      <c r="L1352"/>
    </row>
    <row r="1353" spans="2:12" x14ac:dyDescent="0.35">
      <c r="B1353" s="1953"/>
      <c r="C1353" s="1953"/>
      <c r="D1353" s="1953"/>
      <c r="E1353" s="1953"/>
      <c r="F1353" s="1953"/>
      <c r="G1353" s="1953"/>
      <c r="H1353" s="1953"/>
      <c r="I1353"/>
      <c r="J1353"/>
      <c r="K1353"/>
      <c r="L1353"/>
    </row>
    <row r="1354" spans="2:12" x14ac:dyDescent="0.35">
      <c r="B1354" s="1953"/>
      <c r="C1354" s="1953"/>
      <c r="D1354" s="1953"/>
      <c r="E1354" s="1953"/>
      <c r="F1354" s="1953"/>
      <c r="G1354" s="1953"/>
      <c r="H1354" s="1953"/>
      <c r="I1354"/>
      <c r="J1354"/>
      <c r="K1354"/>
      <c r="L1354"/>
    </row>
    <row r="1355" spans="2:12" x14ac:dyDescent="0.35">
      <c r="B1355" s="1953"/>
      <c r="C1355" s="1953"/>
      <c r="D1355" s="1953"/>
      <c r="E1355" s="1953"/>
      <c r="F1355" s="1953"/>
      <c r="G1355" s="1953"/>
      <c r="H1355" s="1953"/>
      <c r="I1355"/>
      <c r="J1355"/>
      <c r="K1355"/>
      <c r="L1355"/>
    </row>
    <row r="1356" spans="2:12" x14ac:dyDescent="0.35">
      <c r="B1356" s="1953"/>
      <c r="C1356" s="1953"/>
      <c r="D1356" s="1953"/>
      <c r="E1356" s="1953"/>
      <c r="F1356" s="1953"/>
      <c r="G1356" s="1953"/>
      <c r="H1356" s="1953"/>
      <c r="I1356"/>
      <c r="J1356"/>
      <c r="K1356"/>
      <c r="L1356"/>
    </row>
    <row r="1357" spans="2:12" x14ac:dyDescent="0.35">
      <c r="B1357" s="1953"/>
      <c r="C1357" s="1953"/>
      <c r="D1357" s="1953"/>
      <c r="E1357" s="1953"/>
      <c r="F1357" s="1953"/>
      <c r="G1357" s="1953"/>
      <c r="H1357" s="1953"/>
      <c r="I1357"/>
      <c r="J1357"/>
      <c r="K1357"/>
      <c r="L1357"/>
    </row>
    <row r="1358" spans="2:12" x14ac:dyDescent="0.35">
      <c r="B1358" s="1953"/>
      <c r="C1358" s="1953"/>
      <c r="D1358" s="1953"/>
      <c r="E1358" s="1953"/>
      <c r="F1358" s="1953"/>
      <c r="G1358" s="1953"/>
      <c r="H1358" s="1953"/>
      <c r="I1358"/>
      <c r="J1358"/>
      <c r="K1358"/>
      <c r="L1358"/>
    </row>
    <row r="1359" spans="2:12" x14ac:dyDescent="0.35">
      <c r="B1359" s="1953"/>
      <c r="C1359" s="1953"/>
      <c r="D1359" s="1953"/>
      <c r="E1359" s="1953"/>
      <c r="F1359" s="1953"/>
      <c r="G1359" s="1953"/>
      <c r="H1359" s="1953"/>
      <c r="I1359"/>
      <c r="J1359"/>
      <c r="K1359"/>
      <c r="L1359"/>
    </row>
    <row r="1360" spans="2:12" x14ac:dyDescent="0.35">
      <c r="B1360" s="1953"/>
      <c r="C1360" s="1953"/>
      <c r="D1360" s="1953"/>
      <c r="E1360" s="1953"/>
      <c r="F1360" s="1953"/>
      <c r="G1360" s="1953"/>
      <c r="H1360" s="1953"/>
      <c r="I1360"/>
      <c r="J1360"/>
      <c r="K1360"/>
      <c r="L1360"/>
    </row>
    <row r="1361" spans="2:12" x14ac:dyDescent="0.35">
      <c r="B1361" s="1953"/>
      <c r="C1361" s="1953"/>
      <c r="D1361" s="1953"/>
      <c r="E1361" s="1953"/>
      <c r="F1361" s="1953"/>
      <c r="G1361" s="1953"/>
      <c r="H1361" s="1953"/>
      <c r="I1361"/>
      <c r="J1361"/>
      <c r="K1361"/>
      <c r="L1361"/>
    </row>
    <row r="1362" spans="2:12" x14ac:dyDescent="0.35">
      <c r="B1362" s="1953"/>
      <c r="C1362" s="1953"/>
      <c r="D1362" s="1953"/>
      <c r="E1362" s="1953"/>
      <c r="F1362" s="1953"/>
      <c r="G1362" s="1953"/>
      <c r="H1362" s="1953"/>
      <c r="I1362"/>
      <c r="J1362"/>
      <c r="K1362"/>
      <c r="L1362"/>
    </row>
    <row r="1363" spans="2:12" x14ac:dyDescent="0.35">
      <c r="B1363" s="1953"/>
      <c r="C1363" s="1953"/>
      <c r="D1363" s="1953"/>
      <c r="E1363" s="1953"/>
      <c r="F1363" s="1953"/>
      <c r="G1363" s="1953"/>
      <c r="H1363" s="1953"/>
      <c r="I1363"/>
      <c r="J1363"/>
      <c r="K1363"/>
      <c r="L1363"/>
    </row>
    <row r="1364" spans="2:12" x14ac:dyDescent="0.35">
      <c r="B1364" s="1953"/>
      <c r="C1364" s="1953"/>
      <c r="D1364" s="1953"/>
      <c r="E1364" s="1953"/>
      <c r="F1364" s="1953"/>
      <c r="G1364" s="1953"/>
      <c r="H1364" s="1953"/>
      <c r="I1364"/>
      <c r="J1364"/>
      <c r="K1364"/>
      <c r="L1364"/>
    </row>
    <row r="1365" spans="2:12" x14ac:dyDescent="0.35">
      <c r="B1365" s="1953"/>
      <c r="C1365" s="1953"/>
      <c r="D1365" s="1953"/>
      <c r="E1365" s="1953"/>
      <c r="F1365" s="1953"/>
      <c r="G1365" s="1953"/>
      <c r="H1365" s="1953"/>
      <c r="I1365"/>
      <c r="J1365"/>
      <c r="K1365"/>
      <c r="L1365"/>
    </row>
    <row r="1366" spans="2:12" x14ac:dyDescent="0.35">
      <c r="B1366" s="1953"/>
      <c r="C1366" s="1953"/>
      <c r="D1366" s="1953"/>
      <c r="E1366" s="1953"/>
      <c r="F1366" s="1953"/>
      <c r="G1366" s="1953"/>
      <c r="H1366" s="1953"/>
      <c r="I1366"/>
      <c r="J1366"/>
      <c r="K1366"/>
      <c r="L1366"/>
    </row>
    <row r="1367" spans="2:12" x14ac:dyDescent="0.35">
      <c r="B1367" s="1953"/>
      <c r="C1367" s="1953"/>
      <c r="D1367" s="1953"/>
      <c r="E1367" s="1953"/>
      <c r="F1367" s="1953"/>
      <c r="G1367" s="1953"/>
      <c r="H1367" s="1953"/>
      <c r="I1367"/>
      <c r="J1367"/>
      <c r="K1367"/>
      <c r="L1367"/>
    </row>
    <row r="1368" spans="2:12" x14ac:dyDescent="0.35">
      <c r="B1368" s="1953"/>
      <c r="C1368" s="1953"/>
      <c r="D1368" s="1953"/>
      <c r="E1368" s="1953"/>
      <c r="F1368" s="1953"/>
      <c r="G1368" s="1953"/>
      <c r="H1368" s="1953"/>
      <c r="I1368"/>
      <c r="J1368"/>
      <c r="K1368"/>
      <c r="L1368"/>
    </row>
    <row r="1369" spans="2:12" x14ac:dyDescent="0.35">
      <c r="B1369" s="1953"/>
      <c r="C1369" s="1953"/>
      <c r="D1369" s="1953"/>
      <c r="E1369" s="1953"/>
      <c r="F1369" s="1953"/>
      <c r="G1369" s="1953"/>
      <c r="H1369" s="1953"/>
      <c r="I1369"/>
      <c r="J1369"/>
      <c r="K1369"/>
      <c r="L1369"/>
    </row>
    <row r="1370" spans="2:12" x14ac:dyDescent="0.35">
      <c r="B1370" s="1953"/>
      <c r="C1370" s="1953"/>
      <c r="D1370" s="1953"/>
      <c r="E1370" s="1953"/>
      <c r="F1370" s="1953"/>
      <c r="G1370" s="1953"/>
      <c r="H1370" s="1953"/>
      <c r="I1370"/>
      <c r="J1370"/>
      <c r="K1370"/>
      <c r="L1370"/>
    </row>
    <row r="1371" spans="2:12" x14ac:dyDescent="0.35">
      <c r="B1371" s="1953"/>
      <c r="C1371" s="1953"/>
      <c r="D1371" s="1953"/>
      <c r="E1371" s="1953"/>
      <c r="F1371" s="1953"/>
      <c r="G1371" s="1953"/>
      <c r="H1371" s="1953"/>
      <c r="I1371"/>
      <c r="J1371"/>
      <c r="K1371"/>
      <c r="L1371"/>
    </row>
    <row r="1372" spans="2:12" x14ac:dyDescent="0.35">
      <c r="B1372" s="1953"/>
      <c r="C1372" s="1953"/>
      <c r="D1372" s="1953"/>
      <c r="E1372" s="1953"/>
      <c r="F1372" s="1953"/>
      <c r="G1372" s="1953"/>
      <c r="H1372" s="1953"/>
      <c r="I1372"/>
      <c r="J1372"/>
      <c r="K1372"/>
      <c r="L1372"/>
    </row>
    <row r="1373" spans="2:12" x14ac:dyDescent="0.35">
      <c r="B1373" s="1953"/>
      <c r="C1373" s="1953"/>
      <c r="D1373" s="1953"/>
      <c r="E1373" s="1953"/>
      <c r="F1373" s="1953"/>
      <c r="G1373" s="1953"/>
      <c r="H1373" s="1953"/>
      <c r="I1373"/>
      <c r="J1373"/>
      <c r="K1373"/>
      <c r="L1373"/>
    </row>
    <row r="1374" spans="2:12" x14ac:dyDescent="0.35">
      <c r="B1374" s="1953"/>
      <c r="C1374" s="1953"/>
      <c r="D1374" s="1953"/>
      <c r="E1374" s="1953"/>
      <c r="F1374" s="1953"/>
      <c r="G1374" s="1953"/>
      <c r="H1374" s="1953"/>
      <c r="I1374"/>
      <c r="J1374"/>
      <c r="K1374"/>
      <c r="L1374"/>
    </row>
    <row r="1375" spans="2:12" x14ac:dyDescent="0.35">
      <c r="B1375" s="1953"/>
      <c r="C1375" s="1953"/>
      <c r="D1375" s="1953"/>
      <c r="E1375" s="1953"/>
      <c r="F1375" s="1953"/>
      <c r="G1375" s="1953"/>
      <c r="H1375" s="1953"/>
      <c r="I1375"/>
      <c r="J1375"/>
      <c r="K1375"/>
      <c r="L1375"/>
    </row>
    <row r="1376" spans="2:12" x14ac:dyDescent="0.35">
      <c r="B1376" s="1953"/>
      <c r="C1376" s="1953"/>
      <c r="D1376" s="1953"/>
      <c r="E1376" s="1953"/>
      <c r="F1376" s="1953"/>
      <c r="G1376" s="1953"/>
      <c r="H1376" s="1953"/>
      <c r="I1376"/>
      <c r="J1376"/>
      <c r="K1376"/>
      <c r="L1376"/>
    </row>
    <row r="1377" spans="2:12" x14ac:dyDescent="0.35">
      <c r="B1377" s="1953"/>
      <c r="C1377" s="1953"/>
      <c r="D1377" s="1953"/>
      <c r="E1377" s="1953"/>
      <c r="F1377" s="1953"/>
      <c r="G1377" s="1953"/>
      <c r="H1377" s="1953"/>
      <c r="I1377"/>
      <c r="J1377"/>
      <c r="K1377"/>
      <c r="L1377"/>
    </row>
    <row r="1378" spans="2:12" x14ac:dyDescent="0.35">
      <c r="B1378" s="1953"/>
      <c r="C1378" s="1953"/>
      <c r="D1378" s="1953"/>
      <c r="E1378" s="1953"/>
      <c r="F1378" s="1953"/>
      <c r="G1378" s="1953"/>
      <c r="H1378" s="1953"/>
      <c r="I1378"/>
      <c r="J1378"/>
      <c r="K1378"/>
      <c r="L1378"/>
    </row>
    <row r="1379" spans="2:12" x14ac:dyDescent="0.35">
      <c r="B1379" s="1953"/>
      <c r="C1379" s="1953"/>
      <c r="D1379" s="1953"/>
      <c r="E1379" s="1953"/>
      <c r="F1379" s="1953"/>
      <c r="G1379" s="1953"/>
      <c r="H1379" s="1953"/>
      <c r="I1379"/>
      <c r="J1379"/>
      <c r="K1379"/>
      <c r="L1379"/>
    </row>
    <row r="1380" spans="2:12" x14ac:dyDescent="0.35">
      <c r="B1380" s="1953"/>
      <c r="C1380" s="1953"/>
      <c r="D1380" s="1953"/>
      <c r="E1380" s="1953"/>
      <c r="F1380" s="1953"/>
      <c r="G1380" s="1953"/>
      <c r="H1380" s="1953"/>
      <c r="I1380"/>
      <c r="J1380"/>
      <c r="K1380"/>
      <c r="L1380"/>
    </row>
    <row r="1381" spans="2:12" x14ac:dyDescent="0.35">
      <c r="B1381" s="1953"/>
      <c r="C1381" s="1953"/>
      <c r="D1381" s="1953"/>
      <c r="E1381" s="1953"/>
      <c r="F1381" s="1953"/>
      <c r="G1381" s="1953"/>
      <c r="H1381" s="1953"/>
      <c r="I1381"/>
      <c r="J1381"/>
      <c r="K1381"/>
      <c r="L1381"/>
    </row>
    <row r="1382" spans="2:12" x14ac:dyDescent="0.35">
      <c r="B1382" s="1953"/>
      <c r="C1382" s="1953"/>
      <c r="D1382" s="1953"/>
      <c r="E1382" s="1953"/>
      <c r="F1382" s="1953"/>
      <c r="G1382" s="1953"/>
      <c r="H1382" s="1953"/>
      <c r="I1382"/>
      <c r="J1382"/>
      <c r="K1382"/>
      <c r="L1382"/>
    </row>
    <row r="1383" spans="2:12" x14ac:dyDescent="0.35">
      <c r="B1383" s="1953"/>
      <c r="C1383" s="1953"/>
      <c r="D1383" s="1953"/>
      <c r="E1383" s="1953"/>
      <c r="F1383" s="1953"/>
      <c r="G1383" s="1953"/>
      <c r="H1383" s="1953"/>
      <c r="I1383"/>
      <c r="J1383"/>
      <c r="K1383"/>
      <c r="L1383"/>
    </row>
    <row r="1384" spans="2:12" x14ac:dyDescent="0.35">
      <c r="B1384" s="1953"/>
      <c r="C1384" s="1953"/>
      <c r="D1384" s="1953"/>
      <c r="E1384" s="1953"/>
      <c r="F1384" s="1953"/>
      <c r="G1384" s="1953"/>
      <c r="H1384" s="1953"/>
      <c r="I1384"/>
      <c r="J1384"/>
      <c r="K1384"/>
      <c r="L1384"/>
    </row>
    <row r="1385" spans="2:12" x14ac:dyDescent="0.35">
      <c r="B1385" s="1953"/>
      <c r="C1385" s="1953"/>
      <c r="D1385" s="1953"/>
      <c r="E1385" s="1953"/>
      <c r="F1385" s="1953"/>
      <c r="G1385" s="1953"/>
      <c r="H1385" s="1953"/>
      <c r="I1385"/>
      <c r="J1385"/>
      <c r="K1385"/>
      <c r="L1385"/>
    </row>
    <row r="1386" spans="2:12" x14ac:dyDescent="0.35">
      <c r="B1386" s="1953"/>
      <c r="C1386" s="1953"/>
      <c r="D1386" s="1953"/>
      <c r="E1386" s="1953"/>
      <c r="F1386" s="1953"/>
      <c r="G1386" s="1953"/>
      <c r="H1386" s="1953"/>
      <c r="I1386"/>
      <c r="J1386"/>
      <c r="K1386"/>
      <c r="L1386"/>
    </row>
    <row r="1387" spans="2:12" x14ac:dyDescent="0.35">
      <c r="B1387" s="1953"/>
      <c r="C1387" s="1953"/>
      <c r="D1387" s="1953"/>
      <c r="E1387" s="1953"/>
      <c r="F1387" s="1953"/>
      <c r="G1387" s="1953"/>
      <c r="H1387" s="1953"/>
      <c r="I1387"/>
      <c r="J1387"/>
      <c r="K1387"/>
      <c r="L1387"/>
    </row>
    <row r="1388" spans="2:12" x14ac:dyDescent="0.35">
      <c r="B1388" s="1953"/>
      <c r="C1388" s="1953"/>
      <c r="D1388" s="1953"/>
      <c r="E1388" s="1953"/>
      <c r="F1388" s="1953"/>
      <c r="G1388" s="1953"/>
      <c r="H1388" s="1953"/>
      <c r="I1388"/>
      <c r="J1388"/>
      <c r="K1388"/>
      <c r="L1388"/>
    </row>
    <row r="1389" spans="2:12" x14ac:dyDescent="0.35">
      <c r="B1389" s="1953"/>
      <c r="C1389" s="1953"/>
      <c r="D1389" s="1953"/>
      <c r="E1389" s="1953"/>
      <c r="F1389" s="1953"/>
      <c r="G1389" s="1953"/>
      <c r="H1389" s="1953"/>
      <c r="I1389"/>
      <c r="J1389"/>
      <c r="K1389"/>
      <c r="L1389"/>
    </row>
    <row r="1390" spans="2:12" x14ac:dyDescent="0.35">
      <c r="B1390" s="1953"/>
      <c r="C1390" s="1953"/>
      <c r="D1390" s="1953"/>
      <c r="E1390" s="1953"/>
      <c r="F1390" s="1953"/>
      <c r="G1390" s="1953"/>
      <c r="H1390" s="1953"/>
      <c r="I1390"/>
      <c r="J1390"/>
      <c r="K1390"/>
      <c r="L1390"/>
    </row>
    <row r="1391" spans="2:12" x14ac:dyDescent="0.35">
      <c r="B1391" s="1953"/>
      <c r="C1391" s="1953"/>
      <c r="D1391" s="1953"/>
      <c r="E1391" s="1953"/>
      <c r="F1391" s="1953"/>
      <c r="G1391" s="1953"/>
      <c r="H1391" s="1953"/>
      <c r="I1391"/>
      <c r="J1391"/>
      <c r="K1391"/>
      <c r="L1391"/>
    </row>
    <row r="1392" spans="2:12" x14ac:dyDescent="0.35">
      <c r="B1392" s="1953"/>
      <c r="C1392" s="1953"/>
      <c r="D1392" s="1953"/>
      <c r="E1392" s="1953"/>
      <c r="F1392" s="1953"/>
      <c r="G1392" s="1953"/>
      <c r="H1392" s="1953"/>
      <c r="I1392"/>
      <c r="J1392"/>
      <c r="K1392"/>
      <c r="L1392"/>
    </row>
    <row r="1393" spans="2:12" x14ac:dyDescent="0.35">
      <c r="B1393" s="1953"/>
      <c r="C1393" s="1953"/>
      <c r="D1393" s="1953"/>
      <c r="E1393" s="1953"/>
      <c r="F1393" s="1953"/>
      <c r="G1393" s="1953"/>
      <c r="H1393" s="1953"/>
      <c r="I1393"/>
      <c r="J1393"/>
      <c r="K1393"/>
      <c r="L1393"/>
    </row>
    <row r="1394" spans="2:12" x14ac:dyDescent="0.35">
      <c r="B1394" s="1953"/>
      <c r="C1394" s="1953"/>
      <c r="D1394" s="1953"/>
      <c r="E1394" s="1953"/>
      <c r="F1394" s="1953"/>
      <c r="G1394" s="1953"/>
      <c r="H1394" s="1953"/>
      <c r="I1394"/>
      <c r="J1394"/>
      <c r="K1394"/>
      <c r="L1394"/>
    </row>
    <row r="1395" spans="2:12" x14ac:dyDescent="0.35">
      <c r="B1395" s="1953"/>
      <c r="C1395" s="1953"/>
      <c r="D1395" s="1953"/>
      <c r="E1395" s="1953"/>
      <c r="F1395" s="1953"/>
      <c r="G1395" s="1953"/>
      <c r="H1395" s="1953"/>
      <c r="I1395"/>
      <c r="J1395"/>
      <c r="K1395"/>
      <c r="L1395"/>
    </row>
    <row r="1396" spans="2:12" x14ac:dyDescent="0.35">
      <c r="B1396" s="1953"/>
      <c r="C1396" s="1953"/>
      <c r="D1396" s="1953"/>
      <c r="E1396" s="1953"/>
      <c r="F1396" s="1953"/>
      <c r="G1396" s="1953"/>
      <c r="H1396" s="1953"/>
      <c r="I1396"/>
      <c r="J1396"/>
      <c r="K1396"/>
      <c r="L1396"/>
    </row>
    <row r="1397" spans="2:12" x14ac:dyDescent="0.35">
      <c r="B1397" s="1953"/>
      <c r="C1397" s="1953"/>
      <c r="D1397" s="1953"/>
      <c r="E1397" s="1953"/>
      <c r="F1397" s="1953"/>
      <c r="G1397" s="1953"/>
      <c r="H1397" s="1953"/>
      <c r="I1397"/>
      <c r="J1397"/>
      <c r="K1397"/>
      <c r="L1397"/>
    </row>
    <row r="1398" spans="2:12" x14ac:dyDescent="0.35">
      <c r="B1398" s="1953"/>
      <c r="C1398" s="1953"/>
      <c r="D1398" s="1953"/>
      <c r="E1398" s="1953"/>
      <c r="F1398" s="1953"/>
      <c r="G1398" s="1953"/>
      <c r="H1398" s="1953"/>
      <c r="I1398"/>
      <c r="J1398"/>
      <c r="K1398"/>
      <c r="L1398"/>
    </row>
    <row r="1399" spans="2:12" x14ac:dyDescent="0.35">
      <c r="B1399" s="1953"/>
      <c r="C1399" s="1953"/>
      <c r="D1399" s="1953"/>
      <c r="E1399" s="1953"/>
      <c r="F1399" s="1953"/>
      <c r="G1399" s="1953"/>
      <c r="H1399" s="1953"/>
      <c r="I1399"/>
      <c r="J1399"/>
      <c r="K1399"/>
      <c r="L1399"/>
    </row>
    <row r="1400" spans="2:12" x14ac:dyDescent="0.35">
      <c r="B1400" s="1953"/>
      <c r="C1400" s="1953"/>
      <c r="D1400" s="1953"/>
      <c r="E1400" s="1953"/>
      <c r="F1400" s="1953"/>
      <c r="G1400" s="1953"/>
      <c r="H1400" s="1953"/>
      <c r="I1400"/>
      <c r="J1400"/>
      <c r="K1400"/>
      <c r="L1400"/>
    </row>
    <row r="1401" spans="2:12" x14ac:dyDescent="0.35">
      <c r="B1401" s="1953"/>
      <c r="C1401" s="1953"/>
      <c r="D1401" s="1953"/>
      <c r="E1401" s="1953"/>
      <c r="F1401" s="1953"/>
      <c r="G1401" s="1953"/>
      <c r="H1401" s="1953"/>
      <c r="I1401"/>
      <c r="J1401"/>
      <c r="K1401"/>
      <c r="L1401"/>
    </row>
    <row r="1402" spans="2:12" x14ac:dyDescent="0.35">
      <c r="B1402" s="1953"/>
      <c r="C1402" s="1953"/>
      <c r="D1402" s="1953"/>
      <c r="E1402" s="1953"/>
      <c r="F1402" s="1953"/>
      <c r="G1402" s="1953"/>
      <c r="H1402" s="1953"/>
      <c r="I1402"/>
      <c r="J1402"/>
      <c r="K1402"/>
      <c r="L1402"/>
    </row>
    <row r="1403" spans="2:12" x14ac:dyDescent="0.35">
      <c r="B1403" s="1953"/>
      <c r="C1403" s="1953"/>
      <c r="D1403" s="1953"/>
      <c r="E1403" s="1953"/>
      <c r="F1403" s="1953"/>
      <c r="G1403" s="1953"/>
      <c r="H1403" s="1953"/>
      <c r="I1403"/>
      <c r="J1403"/>
      <c r="K1403"/>
      <c r="L1403"/>
    </row>
    <row r="1404" spans="2:12" x14ac:dyDescent="0.35">
      <c r="B1404" s="1953"/>
      <c r="C1404" s="1953"/>
      <c r="D1404" s="1953"/>
      <c r="E1404" s="1953"/>
      <c r="F1404" s="1953"/>
      <c r="G1404" s="1953"/>
      <c r="H1404" s="1953"/>
      <c r="I1404"/>
      <c r="J1404"/>
      <c r="K1404"/>
      <c r="L1404"/>
    </row>
    <row r="1405" spans="2:12" x14ac:dyDescent="0.35">
      <c r="B1405" s="1953"/>
      <c r="C1405" s="1953"/>
      <c r="D1405" s="1953"/>
      <c r="E1405" s="1953"/>
      <c r="F1405" s="1953"/>
      <c r="G1405" s="1953"/>
      <c r="H1405" s="1953"/>
      <c r="I1405"/>
      <c r="J1405"/>
      <c r="K1405"/>
      <c r="L1405"/>
    </row>
    <row r="1406" spans="2:12" x14ac:dyDescent="0.35">
      <c r="B1406" s="1953"/>
      <c r="C1406" s="1953"/>
      <c r="D1406" s="1953"/>
      <c r="E1406" s="1953"/>
      <c r="F1406" s="1953"/>
      <c r="G1406" s="1953"/>
      <c r="H1406" s="1953"/>
      <c r="I1406"/>
      <c r="J1406"/>
      <c r="K1406"/>
      <c r="L1406"/>
    </row>
    <row r="1407" spans="2:12" x14ac:dyDescent="0.35">
      <c r="B1407" s="1953"/>
      <c r="C1407" s="1953"/>
      <c r="D1407" s="1953"/>
      <c r="E1407" s="1953"/>
      <c r="F1407" s="1953"/>
      <c r="G1407" s="1953"/>
      <c r="H1407" s="1953"/>
      <c r="I1407"/>
      <c r="J1407"/>
      <c r="K1407"/>
      <c r="L1407"/>
    </row>
    <row r="1408" spans="2:12" x14ac:dyDescent="0.35">
      <c r="B1408" s="1953"/>
      <c r="C1408" s="1953"/>
      <c r="D1408" s="1953"/>
      <c r="E1408" s="1953"/>
      <c r="F1408" s="1953"/>
      <c r="G1408" s="1953"/>
      <c r="H1408" s="1953"/>
      <c r="I1408"/>
      <c r="J1408"/>
      <c r="K1408"/>
      <c r="L1408"/>
    </row>
    <row r="1409" spans="2:12" x14ac:dyDescent="0.35">
      <c r="B1409" s="1953"/>
      <c r="C1409" s="1953"/>
      <c r="D1409" s="1953"/>
      <c r="E1409" s="1953"/>
      <c r="F1409" s="1953"/>
      <c r="G1409" s="1953"/>
      <c r="H1409" s="1953"/>
      <c r="I1409"/>
      <c r="J1409"/>
      <c r="K1409"/>
      <c r="L1409"/>
    </row>
    <row r="1410" spans="2:12" x14ac:dyDescent="0.35">
      <c r="B1410" s="1953"/>
      <c r="C1410" s="1953"/>
      <c r="D1410" s="1953"/>
      <c r="E1410" s="1953"/>
      <c r="F1410" s="1953"/>
      <c r="G1410" s="1953"/>
      <c r="H1410" s="1953"/>
      <c r="I1410"/>
      <c r="J1410"/>
      <c r="K1410"/>
      <c r="L1410"/>
    </row>
    <row r="1411" spans="2:12" x14ac:dyDescent="0.35">
      <c r="B1411" s="1953"/>
      <c r="C1411" s="1953"/>
      <c r="D1411" s="1953"/>
      <c r="E1411" s="1953"/>
      <c r="F1411" s="1953"/>
      <c r="G1411" s="1953"/>
      <c r="H1411" s="1953"/>
      <c r="I1411"/>
      <c r="J1411"/>
      <c r="K1411"/>
      <c r="L1411"/>
    </row>
    <row r="1412" spans="2:12" x14ac:dyDescent="0.35">
      <c r="B1412" s="1953"/>
      <c r="C1412" s="1953"/>
      <c r="D1412" s="1953"/>
      <c r="E1412" s="1953"/>
      <c r="F1412" s="1953"/>
      <c r="G1412" s="1953"/>
      <c r="H1412" s="1953"/>
      <c r="I1412"/>
      <c r="J1412"/>
      <c r="K1412"/>
      <c r="L1412"/>
    </row>
    <row r="1413" spans="2:12" x14ac:dyDescent="0.35">
      <c r="B1413" s="1953"/>
      <c r="C1413" s="1953"/>
      <c r="D1413" s="1953"/>
      <c r="E1413" s="1953"/>
      <c r="F1413" s="1953"/>
      <c r="G1413" s="1953"/>
      <c r="H1413" s="1953"/>
      <c r="I1413"/>
      <c r="J1413"/>
      <c r="K1413"/>
      <c r="L1413"/>
    </row>
    <row r="1414" spans="2:12" x14ac:dyDescent="0.35">
      <c r="B1414" s="1953"/>
      <c r="C1414" s="1953"/>
      <c r="D1414" s="1953"/>
      <c r="E1414" s="1953"/>
      <c r="F1414" s="1953"/>
      <c r="G1414" s="1953"/>
      <c r="H1414" s="1953"/>
      <c r="I1414"/>
      <c r="J1414"/>
      <c r="K1414"/>
      <c r="L1414"/>
    </row>
    <row r="1415" spans="2:12" x14ac:dyDescent="0.35">
      <c r="B1415" s="1953"/>
      <c r="C1415" s="1953"/>
      <c r="D1415" s="1953"/>
      <c r="E1415" s="1953"/>
      <c r="F1415" s="1953"/>
      <c r="G1415" s="1953"/>
      <c r="H1415" s="1953"/>
      <c r="I1415"/>
      <c r="J1415"/>
      <c r="K1415"/>
      <c r="L1415"/>
    </row>
    <row r="1416" spans="2:12" x14ac:dyDescent="0.35">
      <c r="B1416" s="1953"/>
      <c r="C1416" s="1953"/>
      <c r="D1416" s="1953"/>
      <c r="E1416" s="1953"/>
      <c r="F1416" s="1953"/>
      <c r="G1416" s="1953"/>
      <c r="H1416" s="1953"/>
      <c r="I1416"/>
      <c r="J1416"/>
      <c r="K1416"/>
      <c r="L1416"/>
    </row>
    <row r="1417" spans="2:12" x14ac:dyDescent="0.35">
      <c r="B1417" s="1953"/>
      <c r="C1417" s="1953"/>
      <c r="D1417" s="1953"/>
      <c r="E1417" s="1953"/>
      <c r="F1417" s="1953"/>
      <c r="G1417" s="1953"/>
      <c r="H1417" s="1953"/>
      <c r="I1417"/>
      <c r="J1417"/>
      <c r="K1417"/>
      <c r="L1417"/>
    </row>
    <row r="1418" spans="2:12" x14ac:dyDescent="0.35">
      <c r="B1418" s="1953"/>
      <c r="C1418" s="1953"/>
      <c r="D1418" s="1953"/>
      <c r="E1418" s="1953"/>
      <c r="F1418" s="1953"/>
      <c r="G1418" s="1953"/>
      <c r="H1418" s="1953"/>
      <c r="I1418"/>
      <c r="J1418"/>
      <c r="K1418"/>
      <c r="L1418"/>
    </row>
    <row r="1419" spans="2:12" x14ac:dyDescent="0.35">
      <c r="B1419" s="1953"/>
      <c r="C1419" s="1953"/>
      <c r="D1419" s="1953"/>
      <c r="E1419" s="1953"/>
      <c r="F1419" s="1953"/>
      <c r="G1419" s="1953"/>
      <c r="H1419" s="1953"/>
      <c r="I1419"/>
      <c r="J1419"/>
      <c r="K1419"/>
      <c r="L1419"/>
    </row>
    <row r="1420" spans="2:12" x14ac:dyDescent="0.35">
      <c r="B1420" s="1953"/>
      <c r="C1420" s="1953"/>
      <c r="D1420" s="1953"/>
      <c r="E1420" s="1953"/>
      <c r="F1420" s="1953"/>
      <c r="G1420" s="1953"/>
      <c r="H1420" s="1953"/>
      <c r="I1420"/>
      <c r="J1420"/>
      <c r="K1420"/>
      <c r="L1420"/>
    </row>
    <row r="1421" spans="2:12" x14ac:dyDescent="0.35">
      <c r="B1421" s="1953"/>
      <c r="C1421" s="1953"/>
      <c r="D1421" s="1953"/>
      <c r="E1421" s="1953"/>
      <c r="F1421" s="1953"/>
      <c r="G1421" s="1953"/>
      <c r="H1421" s="1953"/>
      <c r="I1421"/>
      <c r="J1421"/>
      <c r="K1421"/>
      <c r="L1421"/>
    </row>
    <row r="1422" spans="2:12" x14ac:dyDescent="0.35">
      <c r="B1422" s="1953"/>
      <c r="C1422" s="1953"/>
      <c r="D1422" s="1953"/>
      <c r="E1422" s="1953"/>
      <c r="F1422" s="1953"/>
      <c r="G1422" s="1953"/>
      <c r="H1422" s="1953"/>
      <c r="I1422"/>
      <c r="J1422"/>
      <c r="K1422"/>
      <c r="L1422"/>
    </row>
    <row r="1423" spans="2:12" x14ac:dyDescent="0.35">
      <c r="B1423" s="1953"/>
      <c r="C1423" s="1953"/>
      <c r="D1423" s="1953"/>
      <c r="E1423" s="1953"/>
      <c r="F1423" s="1953"/>
      <c r="G1423" s="1953"/>
      <c r="H1423" s="1953"/>
      <c r="I1423"/>
      <c r="J1423"/>
      <c r="K1423"/>
      <c r="L1423"/>
    </row>
    <row r="1424" spans="2:12" x14ac:dyDescent="0.35">
      <c r="B1424" s="1953"/>
      <c r="C1424" s="1953"/>
      <c r="D1424" s="1953"/>
      <c r="E1424" s="1953"/>
      <c r="F1424" s="1953"/>
      <c r="G1424" s="1953"/>
      <c r="H1424" s="1953"/>
      <c r="I1424"/>
      <c r="J1424"/>
      <c r="K1424"/>
      <c r="L1424"/>
    </row>
    <row r="1425" spans="2:12" x14ac:dyDescent="0.35">
      <c r="B1425" s="1953"/>
      <c r="C1425" s="1953"/>
      <c r="D1425" s="1953"/>
      <c r="E1425" s="1953"/>
      <c r="F1425" s="1953"/>
      <c r="G1425" s="1953"/>
      <c r="H1425" s="1953"/>
      <c r="I1425"/>
      <c r="J1425"/>
      <c r="K1425"/>
      <c r="L1425"/>
    </row>
    <row r="1426" spans="2:12" x14ac:dyDescent="0.35">
      <c r="B1426" s="1953"/>
      <c r="C1426" s="1953"/>
      <c r="D1426" s="1953"/>
      <c r="E1426" s="1953"/>
      <c r="F1426" s="1953"/>
      <c r="G1426" s="1953"/>
      <c r="H1426" s="1953"/>
      <c r="I1426"/>
      <c r="J1426"/>
      <c r="K1426"/>
      <c r="L1426"/>
    </row>
    <row r="1427" spans="2:12" x14ac:dyDescent="0.35">
      <c r="B1427" s="1953"/>
      <c r="C1427" s="1953"/>
      <c r="D1427" s="1953"/>
      <c r="E1427" s="1953"/>
      <c r="F1427" s="1953"/>
      <c r="G1427" s="1953"/>
      <c r="H1427" s="1953"/>
      <c r="I1427"/>
      <c r="J1427"/>
      <c r="K1427"/>
      <c r="L1427"/>
    </row>
    <row r="1428" spans="2:12" x14ac:dyDescent="0.35">
      <c r="B1428" s="1953"/>
      <c r="C1428" s="1953"/>
      <c r="D1428" s="1953"/>
      <c r="E1428" s="1953"/>
      <c r="F1428" s="1953"/>
      <c r="G1428" s="1953"/>
      <c r="H1428" s="1953"/>
      <c r="I1428"/>
      <c r="J1428"/>
      <c r="K1428"/>
      <c r="L1428"/>
    </row>
    <row r="1429" spans="2:12" x14ac:dyDescent="0.35">
      <c r="B1429" s="1953"/>
      <c r="C1429" s="1953"/>
      <c r="D1429" s="1953"/>
      <c r="E1429" s="1953"/>
      <c r="F1429" s="1953"/>
      <c r="G1429" s="1953"/>
      <c r="H1429" s="1953"/>
      <c r="I1429"/>
      <c r="J1429"/>
      <c r="K1429"/>
      <c r="L1429"/>
    </row>
    <row r="1430" spans="2:12" x14ac:dyDescent="0.35">
      <c r="B1430" s="1953"/>
      <c r="C1430" s="1953"/>
      <c r="D1430" s="1953"/>
      <c r="E1430" s="1953"/>
      <c r="F1430" s="1953"/>
      <c r="G1430" s="1953"/>
      <c r="H1430" s="1953"/>
      <c r="I1430"/>
      <c r="J1430"/>
      <c r="K1430"/>
      <c r="L1430"/>
    </row>
    <row r="1431" spans="2:12" x14ac:dyDescent="0.35">
      <c r="B1431" s="1953"/>
      <c r="C1431" s="1953"/>
      <c r="D1431" s="1953"/>
      <c r="E1431" s="1953"/>
      <c r="F1431" s="1953"/>
      <c r="G1431" s="1953"/>
      <c r="H1431" s="1953"/>
      <c r="I1431"/>
      <c r="J1431"/>
      <c r="K1431"/>
      <c r="L1431"/>
    </row>
    <row r="1432" spans="2:12" x14ac:dyDescent="0.35">
      <c r="B1432" s="1953"/>
      <c r="C1432" s="1953"/>
      <c r="D1432" s="1953"/>
      <c r="E1432" s="1953"/>
      <c r="F1432" s="1953"/>
      <c r="G1432" s="1953"/>
      <c r="H1432" s="1953"/>
      <c r="I1432"/>
      <c r="J1432"/>
      <c r="K1432"/>
      <c r="L1432"/>
    </row>
    <row r="1433" spans="2:12" x14ac:dyDescent="0.35">
      <c r="B1433" s="1953"/>
      <c r="C1433" s="1953"/>
      <c r="D1433" s="1953"/>
      <c r="E1433" s="1953"/>
      <c r="F1433" s="1953"/>
      <c r="G1433" s="1953"/>
      <c r="H1433" s="1953"/>
      <c r="I1433"/>
      <c r="J1433"/>
      <c r="K1433"/>
      <c r="L1433"/>
    </row>
    <row r="1434" spans="2:12" x14ac:dyDescent="0.35">
      <c r="B1434" s="1953"/>
      <c r="C1434" s="1953"/>
      <c r="D1434" s="1953"/>
      <c r="E1434" s="1953"/>
      <c r="F1434" s="1953"/>
      <c r="G1434" s="1953"/>
      <c r="H1434" s="1953"/>
      <c r="I1434"/>
      <c r="J1434"/>
      <c r="K1434"/>
      <c r="L1434"/>
    </row>
    <row r="1435" spans="2:12" x14ac:dyDescent="0.35">
      <c r="B1435" s="1953"/>
      <c r="C1435" s="1953"/>
      <c r="D1435" s="1953"/>
      <c r="E1435" s="1953"/>
      <c r="F1435" s="1953"/>
      <c r="G1435" s="1953"/>
      <c r="H1435" s="1953"/>
      <c r="I1435"/>
      <c r="J1435"/>
      <c r="K1435"/>
      <c r="L1435"/>
    </row>
    <row r="1436" spans="2:12" x14ac:dyDescent="0.35">
      <c r="B1436" s="1953"/>
      <c r="C1436" s="1953"/>
      <c r="D1436" s="1953"/>
      <c r="E1436" s="1953"/>
      <c r="F1436" s="1953"/>
      <c r="G1436" s="1953"/>
      <c r="H1436" s="1953"/>
      <c r="I1436"/>
      <c r="J1436"/>
      <c r="K1436"/>
      <c r="L1436"/>
    </row>
    <row r="1437" spans="2:12" x14ac:dyDescent="0.35">
      <c r="B1437" s="1953"/>
      <c r="C1437" s="1953"/>
      <c r="D1437" s="1953"/>
      <c r="E1437" s="1953"/>
      <c r="F1437" s="1953"/>
      <c r="G1437" s="1953"/>
      <c r="H1437" s="1953"/>
      <c r="I1437"/>
      <c r="J1437"/>
      <c r="K1437"/>
      <c r="L1437"/>
    </row>
    <row r="1438" spans="2:12" x14ac:dyDescent="0.35">
      <c r="B1438" s="1953"/>
      <c r="C1438" s="1953"/>
      <c r="D1438" s="1953"/>
      <c r="E1438" s="1953"/>
      <c r="F1438" s="1953"/>
      <c r="G1438" s="1953"/>
      <c r="H1438" s="1953"/>
      <c r="I1438"/>
      <c r="J1438"/>
      <c r="K1438"/>
      <c r="L1438"/>
    </row>
    <row r="1439" spans="2:12" x14ac:dyDescent="0.35">
      <c r="B1439" s="1953"/>
      <c r="C1439" s="1953"/>
      <c r="D1439" s="1953"/>
      <c r="E1439" s="1953"/>
      <c r="F1439" s="1953"/>
      <c r="G1439" s="1953"/>
      <c r="H1439" s="1953"/>
      <c r="I1439"/>
      <c r="J1439"/>
      <c r="K1439"/>
      <c r="L1439"/>
    </row>
    <row r="1440" spans="2:12" x14ac:dyDescent="0.35">
      <c r="B1440" s="1953"/>
      <c r="C1440" s="1953"/>
      <c r="D1440" s="1953"/>
      <c r="E1440" s="1953"/>
      <c r="F1440" s="1953"/>
      <c r="G1440" s="1953"/>
      <c r="H1440" s="1953"/>
      <c r="I1440"/>
      <c r="J1440"/>
      <c r="K1440"/>
      <c r="L1440"/>
    </row>
    <row r="1441" spans="2:12" x14ac:dyDescent="0.35">
      <c r="B1441" s="1953"/>
      <c r="C1441" s="1953"/>
      <c r="D1441" s="1953"/>
      <c r="E1441" s="1953"/>
      <c r="F1441" s="1953"/>
      <c r="G1441" s="1953"/>
      <c r="H1441" s="1953"/>
      <c r="I1441"/>
      <c r="J1441"/>
      <c r="K1441"/>
      <c r="L1441"/>
    </row>
    <row r="1442" spans="2:12" x14ac:dyDescent="0.35">
      <c r="B1442" s="1953"/>
      <c r="C1442" s="1953"/>
      <c r="D1442" s="1953"/>
      <c r="E1442" s="1953"/>
      <c r="F1442" s="1953"/>
      <c r="G1442" s="1953"/>
      <c r="H1442" s="1953"/>
      <c r="I1442"/>
      <c r="J1442"/>
      <c r="K1442"/>
      <c r="L1442"/>
    </row>
    <row r="1443" spans="2:12" x14ac:dyDescent="0.35">
      <c r="B1443" s="1953"/>
      <c r="C1443" s="1953"/>
      <c r="D1443" s="1953"/>
      <c r="E1443" s="1953"/>
      <c r="F1443" s="1953"/>
      <c r="G1443" s="1953"/>
      <c r="H1443" s="1953"/>
      <c r="I1443"/>
      <c r="J1443"/>
      <c r="K1443"/>
      <c r="L1443"/>
    </row>
    <row r="1444" spans="2:12" x14ac:dyDescent="0.35">
      <c r="B1444" s="1953"/>
      <c r="C1444" s="1953"/>
      <c r="D1444" s="1953"/>
      <c r="E1444" s="1953"/>
      <c r="F1444" s="1953"/>
      <c r="G1444" s="1953"/>
      <c r="H1444" s="1953"/>
      <c r="I1444"/>
      <c r="J1444"/>
      <c r="K1444"/>
      <c r="L1444"/>
    </row>
    <row r="1445" spans="2:12" x14ac:dyDescent="0.35">
      <c r="B1445" s="1953"/>
      <c r="C1445" s="1953"/>
      <c r="D1445" s="1953"/>
      <c r="E1445" s="1953"/>
      <c r="F1445" s="1953"/>
      <c r="G1445" s="1953"/>
      <c r="H1445" s="1953"/>
      <c r="I1445"/>
      <c r="J1445"/>
      <c r="K1445"/>
      <c r="L1445"/>
    </row>
    <row r="1446" spans="2:12" x14ac:dyDescent="0.35">
      <c r="B1446" s="1953"/>
      <c r="C1446" s="1953"/>
      <c r="D1446" s="1953"/>
      <c r="E1446" s="1953"/>
      <c r="F1446" s="1953"/>
      <c r="G1446" s="1953"/>
      <c r="H1446" s="1953"/>
      <c r="I1446"/>
      <c r="J1446"/>
      <c r="K1446"/>
      <c r="L1446"/>
    </row>
    <row r="1447" spans="2:12" x14ac:dyDescent="0.35">
      <c r="B1447" s="1953"/>
      <c r="C1447" s="1953"/>
      <c r="D1447" s="1953"/>
      <c r="E1447" s="1953"/>
      <c r="F1447" s="1953"/>
      <c r="G1447" s="1953"/>
      <c r="H1447" s="1953"/>
      <c r="I1447"/>
      <c r="J1447"/>
      <c r="K1447"/>
      <c r="L1447"/>
    </row>
    <row r="1448" spans="2:12" x14ac:dyDescent="0.35">
      <c r="B1448" s="1953"/>
      <c r="C1448" s="1953"/>
      <c r="D1448" s="1953"/>
      <c r="E1448" s="1953"/>
      <c r="F1448" s="1953"/>
      <c r="G1448" s="1953"/>
      <c r="H1448" s="1953"/>
      <c r="I1448"/>
      <c r="J1448"/>
      <c r="K1448"/>
      <c r="L1448"/>
    </row>
    <row r="1449" spans="2:12" x14ac:dyDescent="0.35">
      <c r="B1449" s="1953"/>
      <c r="C1449" s="1953"/>
      <c r="D1449" s="1953"/>
      <c r="E1449" s="1953"/>
      <c r="F1449" s="1953"/>
      <c r="G1449" s="1953"/>
      <c r="H1449" s="1953"/>
      <c r="I1449"/>
      <c r="J1449"/>
      <c r="K1449"/>
      <c r="L1449"/>
    </row>
    <row r="1450" spans="2:12" x14ac:dyDescent="0.35">
      <c r="B1450" s="1953"/>
      <c r="C1450" s="1953"/>
      <c r="D1450" s="1953"/>
      <c r="E1450" s="1953"/>
      <c r="F1450" s="1953"/>
      <c r="G1450" s="1953"/>
      <c r="H1450" s="1953"/>
      <c r="I1450"/>
      <c r="J1450"/>
      <c r="K1450"/>
      <c r="L1450"/>
    </row>
    <row r="1451" spans="2:12" x14ac:dyDescent="0.35">
      <c r="B1451" s="1953"/>
      <c r="C1451" s="1953"/>
      <c r="D1451" s="1953"/>
      <c r="E1451" s="1953"/>
      <c r="F1451" s="1953"/>
      <c r="G1451" s="1953"/>
      <c r="H1451" s="1953"/>
      <c r="I1451"/>
      <c r="J1451"/>
      <c r="K1451"/>
      <c r="L1451"/>
    </row>
    <row r="1452" spans="2:12" x14ac:dyDescent="0.35">
      <c r="B1452" s="1953"/>
      <c r="C1452" s="1953"/>
      <c r="D1452" s="1953"/>
      <c r="E1452" s="1953"/>
      <c r="F1452" s="1953"/>
      <c r="G1452" s="1953"/>
      <c r="H1452" s="1953"/>
      <c r="I1452"/>
      <c r="J1452"/>
      <c r="K1452"/>
      <c r="L1452"/>
    </row>
    <row r="1453" spans="2:12" x14ac:dyDescent="0.35">
      <c r="B1453" s="1953"/>
      <c r="C1453" s="1953"/>
      <c r="D1453" s="1953"/>
      <c r="E1453" s="1953"/>
      <c r="F1453" s="1953"/>
      <c r="G1453" s="1953"/>
      <c r="H1453" s="1953"/>
      <c r="I1453"/>
      <c r="J1453"/>
      <c r="K1453"/>
      <c r="L1453"/>
    </row>
    <row r="1454" spans="2:12" x14ac:dyDescent="0.35">
      <c r="B1454" s="1953"/>
      <c r="C1454" s="1953"/>
      <c r="D1454" s="1953"/>
      <c r="E1454" s="1953"/>
      <c r="F1454" s="1953"/>
      <c r="G1454" s="1953"/>
      <c r="H1454" s="1953"/>
      <c r="I1454"/>
      <c r="J1454"/>
      <c r="K1454"/>
      <c r="L1454"/>
    </row>
    <row r="1455" spans="2:12" x14ac:dyDescent="0.35">
      <c r="B1455" s="1953"/>
      <c r="C1455" s="1953"/>
      <c r="D1455" s="1953"/>
      <c r="E1455" s="1953"/>
      <c r="F1455" s="1953"/>
      <c r="G1455" s="1953"/>
      <c r="H1455" s="1953"/>
      <c r="I1455"/>
      <c r="J1455"/>
      <c r="K1455"/>
      <c r="L1455"/>
    </row>
    <row r="1456" spans="2:12" x14ac:dyDescent="0.35">
      <c r="B1456" s="1953"/>
      <c r="C1456" s="1953"/>
      <c r="D1456" s="1953"/>
      <c r="E1456" s="1953"/>
      <c r="F1456" s="1953"/>
      <c r="G1456" s="1953"/>
      <c r="H1456" s="1953"/>
      <c r="I1456"/>
      <c r="J1456"/>
      <c r="K1456"/>
      <c r="L1456"/>
    </row>
    <row r="1457" spans="2:12" x14ac:dyDescent="0.35">
      <c r="B1457" s="1953"/>
      <c r="C1457" s="1953"/>
      <c r="D1457" s="1953"/>
      <c r="E1457" s="1953"/>
      <c r="F1457" s="1953"/>
      <c r="G1457" s="1953"/>
      <c r="H1457" s="1953"/>
      <c r="I1457"/>
      <c r="J1457"/>
      <c r="K1457"/>
      <c r="L1457"/>
    </row>
    <row r="1458" spans="2:12" x14ac:dyDescent="0.35">
      <c r="B1458" s="1953"/>
      <c r="C1458" s="1953"/>
      <c r="D1458" s="1953"/>
      <c r="E1458" s="1953"/>
      <c r="F1458" s="1953"/>
      <c r="G1458" s="1953"/>
      <c r="H1458" s="1953"/>
      <c r="I1458"/>
      <c r="J1458"/>
      <c r="K1458"/>
      <c r="L1458"/>
    </row>
    <row r="1459" spans="2:12" x14ac:dyDescent="0.35">
      <c r="B1459" s="1953"/>
      <c r="C1459" s="1953"/>
      <c r="D1459" s="1953"/>
      <c r="E1459" s="1953"/>
      <c r="F1459" s="1953"/>
      <c r="G1459" s="1953"/>
      <c r="H1459" s="1953"/>
      <c r="I1459"/>
      <c r="J1459"/>
      <c r="K1459"/>
      <c r="L1459"/>
    </row>
    <row r="1460" spans="2:12" x14ac:dyDescent="0.35">
      <c r="B1460" s="1953"/>
      <c r="C1460" s="1953"/>
      <c r="D1460" s="1953"/>
      <c r="E1460" s="1953"/>
      <c r="F1460" s="1953"/>
      <c r="G1460" s="1953"/>
      <c r="H1460" s="1953"/>
      <c r="I1460"/>
      <c r="J1460"/>
      <c r="K1460"/>
      <c r="L1460"/>
    </row>
    <row r="1461" spans="2:12" x14ac:dyDescent="0.35">
      <c r="B1461" s="1953"/>
      <c r="C1461" s="1953"/>
      <c r="D1461" s="1953"/>
      <c r="E1461" s="1953"/>
      <c r="F1461" s="1953"/>
      <c r="G1461" s="1953"/>
      <c r="H1461" s="1953"/>
      <c r="I1461"/>
      <c r="J1461"/>
      <c r="K1461"/>
      <c r="L1461"/>
    </row>
    <row r="1462" spans="2:12" x14ac:dyDescent="0.35">
      <c r="B1462" s="1953"/>
      <c r="C1462" s="1953"/>
      <c r="D1462" s="1953"/>
      <c r="E1462" s="1953"/>
      <c r="F1462" s="1953"/>
      <c r="G1462" s="1953"/>
      <c r="H1462" s="1953"/>
      <c r="I1462"/>
      <c r="J1462"/>
      <c r="K1462"/>
      <c r="L1462"/>
    </row>
    <row r="1463" spans="2:12" x14ac:dyDescent="0.35">
      <c r="B1463" s="1953"/>
      <c r="C1463" s="1953"/>
      <c r="D1463" s="1953"/>
      <c r="E1463" s="1953"/>
      <c r="F1463" s="1953"/>
      <c r="G1463" s="1953"/>
      <c r="H1463" s="1953"/>
      <c r="I1463"/>
      <c r="J1463"/>
      <c r="K1463"/>
      <c r="L1463"/>
    </row>
    <row r="1464" spans="2:12" x14ac:dyDescent="0.35">
      <c r="B1464" s="1953"/>
      <c r="C1464" s="1953"/>
      <c r="D1464" s="1953"/>
      <c r="E1464" s="1953"/>
      <c r="F1464" s="1953"/>
      <c r="G1464" s="1953"/>
      <c r="H1464" s="1953"/>
      <c r="I1464"/>
      <c r="J1464"/>
      <c r="K1464"/>
      <c r="L1464"/>
    </row>
    <row r="1465" spans="2:12" x14ac:dyDescent="0.35">
      <c r="B1465" s="1953"/>
      <c r="C1465" s="1953"/>
      <c r="D1465" s="1953"/>
      <c r="E1465" s="1953"/>
      <c r="F1465" s="1953"/>
      <c r="G1465" s="1953"/>
      <c r="H1465" s="1953"/>
      <c r="I1465"/>
      <c r="J1465"/>
      <c r="K1465"/>
      <c r="L1465"/>
    </row>
    <row r="1466" spans="2:12" x14ac:dyDescent="0.35">
      <c r="B1466" s="1953"/>
      <c r="C1466" s="1953"/>
      <c r="D1466" s="1953"/>
      <c r="E1466" s="1953"/>
      <c r="F1466" s="1953"/>
      <c r="G1466" s="1953"/>
      <c r="H1466" s="1953"/>
      <c r="I1466"/>
      <c r="J1466"/>
      <c r="K1466"/>
      <c r="L1466"/>
    </row>
    <row r="1467" spans="2:12" x14ac:dyDescent="0.35">
      <c r="B1467" s="1953"/>
      <c r="C1467" s="1953"/>
      <c r="D1467" s="1953"/>
      <c r="E1467" s="1953"/>
      <c r="F1467" s="1953"/>
      <c r="G1467" s="1953"/>
      <c r="H1467" s="1953"/>
      <c r="I1467"/>
      <c r="J1467"/>
      <c r="K1467"/>
      <c r="L1467"/>
    </row>
    <row r="1468" spans="2:12" x14ac:dyDescent="0.35">
      <c r="B1468" s="1953"/>
      <c r="C1468" s="1953"/>
      <c r="D1468" s="1953"/>
      <c r="E1468" s="1953"/>
      <c r="F1468" s="1953"/>
      <c r="G1468" s="1953"/>
      <c r="H1468" s="1953"/>
      <c r="I1468"/>
      <c r="J1468"/>
      <c r="K1468"/>
      <c r="L1468"/>
    </row>
    <row r="1469" spans="2:12" x14ac:dyDescent="0.35">
      <c r="B1469" s="1953"/>
      <c r="C1469" s="1953"/>
      <c r="D1469" s="1953"/>
      <c r="E1469" s="1953"/>
      <c r="F1469" s="1953"/>
      <c r="G1469" s="1953"/>
      <c r="H1469" s="1953"/>
      <c r="I1469"/>
      <c r="J1469"/>
      <c r="K1469"/>
      <c r="L1469"/>
    </row>
    <row r="1470" spans="2:12" x14ac:dyDescent="0.35">
      <c r="B1470" s="1953"/>
      <c r="C1470" s="1953"/>
      <c r="D1470" s="1953"/>
      <c r="E1470" s="1953"/>
      <c r="F1470" s="1953"/>
      <c r="G1470" s="1953"/>
      <c r="H1470" s="1953"/>
      <c r="I1470"/>
      <c r="J1470"/>
      <c r="K1470"/>
      <c r="L1470"/>
    </row>
    <row r="1471" spans="2:12" x14ac:dyDescent="0.35">
      <c r="B1471" s="1953"/>
      <c r="C1471" s="1953"/>
      <c r="D1471" s="1953"/>
      <c r="E1471" s="1953"/>
      <c r="F1471" s="1953"/>
      <c r="G1471" s="1953"/>
      <c r="H1471" s="1953"/>
      <c r="I1471"/>
      <c r="J1471"/>
      <c r="K1471"/>
      <c r="L1471"/>
    </row>
    <row r="1472" spans="2:12" x14ac:dyDescent="0.35">
      <c r="B1472" s="1953"/>
      <c r="C1472" s="1953"/>
      <c r="D1472" s="1953"/>
      <c r="E1472" s="1953"/>
      <c r="F1472" s="1953"/>
      <c r="G1472" s="1953"/>
      <c r="H1472" s="1953"/>
      <c r="I1472"/>
      <c r="J1472"/>
      <c r="K1472"/>
      <c r="L1472"/>
    </row>
    <row r="1473" spans="2:12" x14ac:dyDescent="0.35">
      <c r="B1473" s="1953"/>
      <c r="C1473" s="1953"/>
      <c r="D1473" s="1953"/>
      <c r="E1473" s="1953"/>
      <c r="F1473" s="1953"/>
      <c r="G1473" s="1953"/>
      <c r="H1473" s="1953"/>
      <c r="I1473"/>
      <c r="J1473"/>
      <c r="K1473"/>
      <c r="L1473"/>
    </row>
    <row r="1474" spans="2:12" x14ac:dyDescent="0.35">
      <c r="B1474" s="1953"/>
      <c r="C1474" s="1953"/>
      <c r="D1474" s="1953"/>
      <c r="E1474" s="1953"/>
      <c r="F1474" s="1953"/>
      <c r="G1474" s="1953"/>
      <c r="H1474" s="1953"/>
      <c r="I1474"/>
      <c r="J1474"/>
      <c r="K1474"/>
      <c r="L1474"/>
    </row>
    <row r="1475" spans="2:12" x14ac:dyDescent="0.35">
      <c r="B1475" s="1953"/>
      <c r="C1475" s="1953"/>
      <c r="D1475" s="1953"/>
      <c r="E1475" s="1953"/>
      <c r="F1475" s="1953"/>
      <c r="G1475" s="1953"/>
      <c r="H1475" s="1953"/>
      <c r="I1475"/>
      <c r="J1475"/>
      <c r="K1475"/>
      <c r="L1475"/>
    </row>
    <row r="1476" spans="2:12" x14ac:dyDescent="0.35">
      <c r="B1476" s="1953"/>
      <c r="C1476" s="1953"/>
      <c r="D1476" s="1953"/>
      <c r="E1476" s="1953"/>
      <c r="F1476" s="1953"/>
      <c r="G1476" s="1953"/>
      <c r="H1476" s="1953"/>
      <c r="I1476"/>
      <c r="J1476"/>
      <c r="K1476"/>
      <c r="L1476"/>
    </row>
    <row r="1477" spans="2:12" x14ac:dyDescent="0.35">
      <c r="B1477" s="1953"/>
      <c r="C1477" s="1953"/>
      <c r="D1477" s="1953"/>
      <c r="E1477" s="1953"/>
      <c r="F1477" s="1953"/>
      <c r="G1477" s="1953"/>
      <c r="H1477" s="1953"/>
      <c r="I1477"/>
      <c r="J1477"/>
      <c r="K1477"/>
      <c r="L1477"/>
    </row>
    <row r="1478" spans="2:12" x14ac:dyDescent="0.35">
      <c r="B1478" s="1953"/>
      <c r="C1478" s="1953"/>
      <c r="D1478" s="1953"/>
      <c r="E1478" s="1953"/>
      <c r="F1478" s="1953"/>
      <c r="G1478" s="1953"/>
      <c r="H1478" s="1953"/>
      <c r="I1478"/>
      <c r="J1478"/>
      <c r="K1478"/>
      <c r="L1478"/>
    </row>
    <row r="1479" spans="2:12" x14ac:dyDescent="0.35">
      <c r="B1479" s="1953"/>
      <c r="C1479" s="1953"/>
      <c r="D1479" s="1953"/>
      <c r="E1479" s="1953"/>
      <c r="F1479" s="1953"/>
      <c r="G1479" s="1953"/>
      <c r="H1479" s="1953"/>
      <c r="I1479"/>
      <c r="J1479"/>
      <c r="K1479"/>
      <c r="L1479"/>
    </row>
    <row r="1480" spans="2:12" x14ac:dyDescent="0.35">
      <c r="B1480" s="1953"/>
      <c r="C1480" s="1953"/>
      <c r="D1480" s="1953"/>
      <c r="E1480" s="1953"/>
      <c r="F1480" s="1953"/>
      <c r="G1480" s="1953"/>
      <c r="H1480" s="1953"/>
      <c r="I1480"/>
      <c r="J1480"/>
      <c r="K1480"/>
      <c r="L1480"/>
    </row>
    <row r="1481" spans="2:12" x14ac:dyDescent="0.35">
      <c r="B1481" s="1953"/>
      <c r="C1481" s="1953"/>
      <c r="D1481" s="1953"/>
      <c r="E1481" s="1953"/>
      <c r="F1481" s="1953"/>
      <c r="G1481" s="1953"/>
      <c r="H1481" s="1953"/>
      <c r="I1481"/>
      <c r="J1481"/>
      <c r="K1481"/>
      <c r="L1481"/>
    </row>
    <row r="1482" spans="2:12" x14ac:dyDescent="0.35">
      <c r="B1482" s="1953"/>
      <c r="C1482" s="1953"/>
      <c r="D1482" s="1953"/>
      <c r="E1482" s="1953"/>
      <c r="F1482" s="1953"/>
      <c r="G1482" s="1953"/>
      <c r="H1482" s="1953"/>
      <c r="I1482"/>
      <c r="J1482"/>
      <c r="K1482"/>
      <c r="L1482"/>
    </row>
    <row r="1483" spans="2:12" x14ac:dyDescent="0.35">
      <c r="B1483" s="1953"/>
      <c r="C1483" s="1953"/>
      <c r="D1483" s="1953"/>
      <c r="E1483" s="1953"/>
      <c r="F1483" s="1953"/>
      <c r="G1483" s="1953"/>
      <c r="H1483" s="1953"/>
      <c r="I1483"/>
      <c r="J1483"/>
      <c r="K1483"/>
      <c r="L1483"/>
    </row>
    <row r="1484" spans="2:12" x14ac:dyDescent="0.35">
      <c r="B1484" s="1953"/>
      <c r="C1484" s="1953"/>
      <c r="D1484" s="1953"/>
      <c r="E1484" s="1953"/>
      <c r="F1484" s="1953"/>
      <c r="G1484" s="1953"/>
      <c r="H1484" s="1953"/>
      <c r="I1484"/>
      <c r="J1484"/>
      <c r="K1484"/>
      <c r="L1484"/>
    </row>
    <row r="1485" spans="2:12" x14ac:dyDescent="0.35">
      <c r="B1485" s="1953"/>
      <c r="C1485" s="1953"/>
      <c r="D1485" s="1953"/>
      <c r="E1485" s="1953"/>
      <c r="F1485" s="1953"/>
      <c r="G1485" s="1953"/>
      <c r="H1485" s="1953"/>
      <c r="I1485"/>
      <c r="J1485"/>
      <c r="K1485"/>
      <c r="L1485"/>
    </row>
    <row r="1486" spans="2:12" x14ac:dyDescent="0.35">
      <c r="B1486" s="1953"/>
      <c r="C1486" s="1953"/>
      <c r="D1486" s="1953"/>
      <c r="E1486" s="1953"/>
      <c r="F1486" s="1953"/>
      <c r="G1486" s="1953"/>
      <c r="H1486" s="1953"/>
      <c r="I1486"/>
      <c r="J1486"/>
      <c r="K1486"/>
      <c r="L1486"/>
    </row>
    <row r="1487" spans="2:12" x14ac:dyDescent="0.35">
      <c r="B1487" s="1953"/>
      <c r="C1487" s="1953"/>
      <c r="D1487" s="1953"/>
      <c r="E1487" s="1953"/>
      <c r="F1487" s="1953"/>
      <c r="G1487" s="1953"/>
      <c r="H1487" s="1953"/>
      <c r="I1487"/>
      <c r="J1487"/>
      <c r="K1487"/>
      <c r="L1487"/>
    </row>
    <row r="1488" spans="2:12" x14ac:dyDescent="0.35">
      <c r="B1488" s="1953"/>
      <c r="C1488" s="1953"/>
      <c r="D1488" s="1953"/>
      <c r="E1488" s="1953"/>
      <c r="F1488" s="1953"/>
      <c r="G1488" s="1953"/>
      <c r="H1488" s="1953"/>
      <c r="I1488"/>
      <c r="J1488"/>
      <c r="K1488"/>
      <c r="L1488"/>
    </row>
    <row r="1489" spans="2:12" x14ac:dyDescent="0.35">
      <c r="B1489" s="1953"/>
      <c r="C1489" s="1953"/>
      <c r="D1489" s="1953"/>
      <c r="E1489" s="1953"/>
      <c r="F1489" s="1953"/>
      <c r="G1489" s="1953"/>
      <c r="H1489" s="1953"/>
      <c r="I1489"/>
      <c r="J1489"/>
      <c r="K1489"/>
      <c r="L1489"/>
    </row>
    <row r="1490" spans="2:12" x14ac:dyDescent="0.35">
      <c r="B1490" s="1953"/>
      <c r="C1490" s="1953"/>
      <c r="D1490" s="1953"/>
      <c r="E1490" s="1953"/>
      <c r="F1490" s="1953"/>
      <c r="G1490" s="1953"/>
      <c r="H1490" s="1953"/>
      <c r="I1490"/>
      <c r="J1490"/>
      <c r="K1490"/>
      <c r="L1490"/>
    </row>
    <row r="1491" spans="2:12" x14ac:dyDescent="0.35">
      <c r="B1491" s="1953"/>
      <c r="C1491" s="1953"/>
      <c r="D1491" s="1953"/>
      <c r="E1491" s="1953"/>
      <c r="F1491" s="1953"/>
      <c r="G1491" s="1953"/>
      <c r="H1491" s="1953"/>
      <c r="I1491"/>
      <c r="J1491"/>
      <c r="K1491"/>
      <c r="L1491"/>
    </row>
    <row r="1492" spans="2:12" x14ac:dyDescent="0.35">
      <c r="B1492" s="1953"/>
      <c r="C1492" s="1953"/>
      <c r="D1492" s="1953"/>
      <c r="E1492" s="1953"/>
      <c r="F1492" s="1953"/>
      <c r="G1492" s="1953"/>
      <c r="H1492" s="1953"/>
      <c r="I1492"/>
      <c r="J1492"/>
      <c r="K1492"/>
      <c r="L1492"/>
    </row>
    <row r="1493" spans="2:12" x14ac:dyDescent="0.35">
      <c r="B1493" s="1953"/>
      <c r="C1493" s="1953"/>
      <c r="D1493" s="1953"/>
      <c r="E1493" s="1953"/>
      <c r="F1493" s="1953"/>
      <c r="G1493" s="1953"/>
      <c r="H1493" s="1953"/>
      <c r="I1493"/>
      <c r="J1493"/>
      <c r="K1493"/>
      <c r="L1493"/>
    </row>
    <row r="1494" spans="2:12" x14ac:dyDescent="0.35">
      <c r="B1494" s="1953"/>
      <c r="C1494" s="1953"/>
      <c r="D1494" s="1953"/>
      <c r="E1494" s="1953"/>
      <c r="F1494" s="1953"/>
      <c r="G1494" s="1953"/>
      <c r="H1494" s="1953"/>
      <c r="I1494"/>
      <c r="J1494"/>
      <c r="K1494"/>
      <c r="L1494"/>
    </row>
    <row r="1495" spans="2:12" x14ac:dyDescent="0.35">
      <c r="B1495" s="1953"/>
      <c r="C1495" s="1953"/>
      <c r="D1495" s="1953"/>
      <c r="E1495" s="1953"/>
      <c r="F1495" s="1953"/>
      <c r="G1495" s="1953"/>
      <c r="H1495" s="1953"/>
      <c r="I1495"/>
      <c r="J1495"/>
      <c r="K1495"/>
      <c r="L1495"/>
    </row>
    <row r="1496" spans="2:12" x14ac:dyDescent="0.35">
      <c r="B1496" s="1953"/>
      <c r="C1496" s="1953"/>
      <c r="D1496" s="1953"/>
      <c r="E1496" s="1953"/>
      <c r="F1496" s="1953"/>
      <c r="G1496" s="1953"/>
      <c r="H1496" s="1953"/>
      <c r="I1496"/>
      <c r="J1496"/>
      <c r="K1496"/>
      <c r="L1496"/>
    </row>
    <row r="1497" spans="2:12" x14ac:dyDescent="0.35">
      <c r="B1497" s="1953"/>
      <c r="C1497" s="1953"/>
      <c r="D1497" s="1953"/>
      <c r="E1497" s="1953"/>
      <c r="F1497" s="1953"/>
      <c r="G1497" s="1953"/>
      <c r="H1497" s="1953"/>
      <c r="I1497"/>
      <c r="J1497"/>
      <c r="K1497"/>
      <c r="L1497"/>
    </row>
    <row r="1498" spans="2:12" x14ac:dyDescent="0.35">
      <c r="B1498" s="1953"/>
      <c r="C1498" s="1953"/>
      <c r="D1498" s="1953"/>
      <c r="E1498" s="1953"/>
      <c r="F1498" s="1953"/>
      <c r="G1498" s="1953"/>
      <c r="H1498" s="1953"/>
      <c r="I1498"/>
      <c r="J1498"/>
      <c r="K1498"/>
      <c r="L1498"/>
    </row>
    <row r="1499" spans="2:12" x14ac:dyDescent="0.35">
      <c r="B1499" s="1953"/>
      <c r="C1499" s="1953"/>
      <c r="D1499" s="1953"/>
      <c r="E1499" s="1953"/>
      <c r="F1499" s="1953"/>
      <c r="G1499" s="1953"/>
      <c r="H1499" s="1953"/>
      <c r="I1499"/>
      <c r="J1499"/>
      <c r="K1499"/>
      <c r="L1499"/>
    </row>
    <row r="1500" spans="2:12" x14ac:dyDescent="0.35">
      <c r="B1500" s="1953"/>
      <c r="C1500" s="1953"/>
      <c r="D1500" s="1953"/>
      <c r="E1500" s="1953"/>
      <c r="F1500" s="1953"/>
      <c r="G1500" s="1953"/>
      <c r="H1500" s="1953"/>
      <c r="I1500"/>
      <c r="J1500"/>
      <c r="K1500"/>
      <c r="L1500"/>
    </row>
    <row r="1501" spans="2:12" x14ac:dyDescent="0.35">
      <c r="B1501" s="1953"/>
      <c r="C1501" s="1953"/>
      <c r="D1501" s="1953"/>
      <c r="E1501" s="1953"/>
      <c r="F1501" s="1953"/>
      <c r="G1501" s="1953"/>
      <c r="H1501" s="1953"/>
      <c r="I1501"/>
      <c r="J1501"/>
      <c r="K1501"/>
      <c r="L1501"/>
    </row>
    <row r="1502" spans="2:12" x14ac:dyDescent="0.35">
      <c r="B1502" s="1953"/>
      <c r="C1502" s="1953"/>
      <c r="D1502" s="1953"/>
      <c r="E1502" s="1953"/>
      <c r="F1502" s="1953"/>
      <c r="G1502" s="1953"/>
      <c r="H1502" s="1953"/>
      <c r="I1502"/>
      <c r="J1502"/>
      <c r="K1502"/>
      <c r="L1502"/>
    </row>
    <row r="1503" spans="2:12" x14ac:dyDescent="0.35">
      <c r="B1503" s="1953"/>
      <c r="C1503" s="1953"/>
      <c r="D1503" s="1953"/>
      <c r="E1503" s="1953"/>
      <c r="F1503" s="1953"/>
      <c r="G1503" s="1953"/>
      <c r="H1503" s="1953"/>
      <c r="I1503"/>
      <c r="J1503"/>
      <c r="K1503"/>
      <c r="L1503"/>
    </row>
    <row r="1504" spans="2:12" x14ac:dyDescent="0.35">
      <c r="B1504" s="1953"/>
      <c r="C1504" s="1953"/>
      <c r="D1504" s="1953"/>
      <c r="E1504" s="1953"/>
      <c r="F1504" s="1953"/>
      <c r="G1504" s="1953"/>
      <c r="H1504" s="1953"/>
      <c r="I1504"/>
      <c r="J1504"/>
      <c r="K1504"/>
      <c r="L1504"/>
    </row>
    <row r="1505" spans="2:12" x14ac:dyDescent="0.35">
      <c r="B1505" s="1953"/>
      <c r="C1505" s="1953"/>
      <c r="D1505" s="1953"/>
      <c r="E1505" s="1953"/>
      <c r="F1505" s="1953"/>
      <c r="G1505" s="1953"/>
      <c r="H1505" s="1953"/>
      <c r="I1505"/>
      <c r="J1505"/>
      <c r="K1505"/>
      <c r="L1505"/>
    </row>
    <row r="1506" spans="2:12" x14ac:dyDescent="0.35">
      <c r="B1506" s="1953"/>
      <c r="C1506" s="1953"/>
      <c r="D1506" s="1953"/>
      <c r="E1506" s="1953"/>
      <c r="F1506" s="1953"/>
      <c r="G1506" s="1953"/>
      <c r="H1506" s="1953"/>
      <c r="I1506"/>
      <c r="J1506"/>
      <c r="K1506"/>
      <c r="L1506"/>
    </row>
    <row r="1507" spans="2:12" x14ac:dyDescent="0.35">
      <c r="B1507" s="1953"/>
      <c r="C1507" s="1953"/>
      <c r="D1507" s="1953"/>
      <c r="E1507" s="1953"/>
      <c r="F1507" s="1953"/>
      <c r="G1507" s="1953"/>
      <c r="H1507" s="1953"/>
      <c r="I1507"/>
      <c r="J1507"/>
      <c r="K1507"/>
      <c r="L1507"/>
    </row>
    <row r="1508" spans="2:12" x14ac:dyDescent="0.35">
      <c r="B1508" s="1953"/>
      <c r="C1508" s="1953"/>
      <c r="D1508" s="1953"/>
      <c r="E1508" s="1953"/>
      <c r="F1508" s="1953"/>
      <c r="G1508" s="1953"/>
      <c r="H1508" s="1953"/>
      <c r="I1508"/>
      <c r="J1508"/>
      <c r="K1508"/>
      <c r="L1508"/>
    </row>
    <row r="1509" spans="2:12" x14ac:dyDescent="0.35">
      <c r="B1509" s="1953"/>
      <c r="C1509" s="1953"/>
      <c r="D1509" s="1953"/>
      <c r="E1509" s="1953"/>
      <c r="F1509" s="1953"/>
      <c r="G1509" s="1953"/>
      <c r="H1509" s="1953"/>
      <c r="I1509"/>
      <c r="J1509"/>
      <c r="K1509"/>
      <c r="L1509"/>
    </row>
    <row r="1510" spans="2:12" x14ac:dyDescent="0.35">
      <c r="B1510" s="1953"/>
      <c r="C1510" s="1953"/>
      <c r="D1510" s="1953"/>
      <c r="E1510" s="1953"/>
      <c r="F1510" s="1953"/>
      <c r="G1510" s="1953"/>
      <c r="H1510" s="1953"/>
      <c r="I1510"/>
      <c r="J1510"/>
      <c r="K1510"/>
      <c r="L1510"/>
    </row>
    <row r="1511" spans="2:12" x14ac:dyDescent="0.35">
      <c r="B1511" s="1953"/>
      <c r="C1511" s="1953"/>
      <c r="D1511" s="1953"/>
      <c r="E1511" s="1953"/>
      <c r="F1511" s="1953"/>
      <c r="G1511" s="1953"/>
      <c r="H1511" s="1953"/>
      <c r="I1511"/>
      <c r="J1511"/>
      <c r="K1511"/>
      <c r="L1511"/>
    </row>
    <row r="1512" spans="2:12" x14ac:dyDescent="0.35">
      <c r="B1512" s="1953"/>
      <c r="C1512" s="1953"/>
      <c r="D1512" s="1953"/>
      <c r="E1512" s="1953"/>
      <c r="F1512" s="1953"/>
      <c r="G1512" s="1953"/>
      <c r="H1512" s="1953"/>
      <c r="I1512"/>
      <c r="J1512"/>
      <c r="K1512"/>
      <c r="L1512"/>
    </row>
    <row r="1513" spans="2:12" x14ac:dyDescent="0.35">
      <c r="B1513" s="1953"/>
      <c r="C1513" s="1953"/>
      <c r="D1513" s="1953"/>
      <c r="E1513" s="1953"/>
      <c r="F1513" s="1953"/>
      <c r="G1513" s="1953"/>
      <c r="H1513" s="1953"/>
      <c r="I1513"/>
      <c r="J1513"/>
      <c r="K1513"/>
      <c r="L1513"/>
    </row>
    <row r="1514" spans="2:12" x14ac:dyDescent="0.35">
      <c r="B1514" s="1953"/>
      <c r="C1514" s="1953"/>
      <c r="D1514" s="1953"/>
      <c r="E1514" s="1953"/>
      <c r="F1514" s="1953"/>
      <c r="G1514" s="1953"/>
      <c r="H1514" s="1953"/>
      <c r="I1514"/>
      <c r="J1514"/>
      <c r="K1514"/>
      <c r="L1514"/>
    </row>
    <row r="1515" spans="2:12" x14ac:dyDescent="0.35">
      <c r="B1515" s="1953"/>
      <c r="C1515" s="1953"/>
      <c r="D1515" s="1953"/>
      <c r="E1515" s="1953"/>
      <c r="F1515" s="1953"/>
      <c r="G1515" s="1953"/>
      <c r="H1515" s="1953"/>
      <c r="I1515"/>
      <c r="J1515"/>
      <c r="K1515"/>
      <c r="L1515"/>
    </row>
    <row r="1516" spans="2:12" x14ac:dyDescent="0.35">
      <c r="B1516" s="1953"/>
      <c r="C1516" s="1953"/>
      <c r="D1516" s="1953"/>
      <c r="E1516" s="1953"/>
      <c r="F1516" s="1953"/>
      <c r="G1516" s="1953"/>
      <c r="H1516" s="1953"/>
      <c r="I1516"/>
      <c r="J1516"/>
      <c r="K1516"/>
      <c r="L1516"/>
    </row>
    <row r="1517" spans="2:12" x14ac:dyDescent="0.35">
      <c r="B1517" s="1953"/>
      <c r="C1517" s="1953"/>
      <c r="D1517" s="1953"/>
      <c r="E1517" s="1953"/>
      <c r="F1517" s="1953"/>
      <c r="G1517" s="1953"/>
      <c r="H1517" s="1953"/>
      <c r="I1517"/>
      <c r="J1517"/>
      <c r="K1517"/>
      <c r="L1517"/>
    </row>
    <row r="1518" spans="2:12" x14ac:dyDescent="0.35">
      <c r="B1518" s="1953"/>
      <c r="C1518" s="1953"/>
      <c r="D1518" s="1953"/>
      <c r="E1518" s="1953"/>
      <c r="F1518" s="1953"/>
      <c r="G1518" s="1953"/>
      <c r="H1518" s="1953"/>
      <c r="I1518"/>
      <c r="J1518"/>
      <c r="K1518"/>
      <c r="L1518"/>
    </row>
    <row r="1519" spans="2:12" x14ac:dyDescent="0.35">
      <c r="B1519" s="1953"/>
      <c r="C1519" s="1953"/>
      <c r="D1519" s="1953"/>
      <c r="E1519" s="1953"/>
      <c r="F1519" s="1953"/>
      <c r="G1519" s="1953"/>
      <c r="H1519" s="1953"/>
      <c r="I1519"/>
      <c r="J1519"/>
      <c r="K1519"/>
      <c r="L1519"/>
    </row>
    <row r="1520" spans="2:12" x14ac:dyDescent="0.35">
      <c r="B1520" s="1953"/>
      <c r="C1520" s="1953"/>
      <c r="D1520" s="1953"/>
      <c r="E1520" s="1953"/>
      <c r="F1520" s="1953"/>
      <c r="G1520" s="1953"/>
      <c r="H1520" s="1953"/>
      <c r="I1520"/>
      <c r="J1520"/>
      <c r="K1520"/>
      <c r="L1520"/>
    </row>
    <row r="1521" spans="2:12" x14ac:dyDescent="0.35">
      <c r="B1521" s="1953"/>
      <c r="C1521" s="1953"/>
      <c r="D1521" s="1953"/>
      <c r="E1521" s="1953"/>
      <c r="F1521" s="1953"/>
      <c r="G1521" s="1953"/>
      <c r="H1521" s="1953"/>
      <c r="I1521"/>
      <c r="J1521"/>
      <c r="K1521"/>
      <c r="L1521"/>
    </row>
    <row r="1522" spans="2:12" x14ac:dyDescent="0.35">
      <c r="B1522" s="1953"/>
      <c r="C1522" s="1953"/>
      <c r="D1522" s="1953"/>
      <c r="E1522" s="1953"/>
      <c r="F1522" s="1953"/>
      <c r="G1522" s="1953"/>
      <c r="H1522" s="1953"/>
      <c r="I1522"/>
      <c r="J1522"/>
      <c r="K1522"/>
      <c r="L1522"/>
    </row>
    <row r="1523" spans="2:12" x14ac:dyDescent="0.35">
      <c r="B1523" s="1953"/>
      <c r="C1523" s="1953"/>
      <c r="D1523" s="1953"/>
      <c r="E1523" s="1953"/>
      <c r="F1523" s="1953"/>
      <c r="G1523" s="1953"/>
      <c r="H1523" s="1953"/>
      <c r="I1523"/>
      <c r="J1523"/>
      <c r="K1523"/>
      <c r="L1523"/>
    </row>
    <row r="1524" spans="2:12" x14ac:dyDescent="0.35">
      <c r="B1524" s="1953"/>
      <c r="C1524" s="1953"/>
      <c r="D1524" s="1953"/>
      <c r="E1524" s="1953"/>
      <c r="F1524" s="1953"/>
      <c r="G1524" s="1953"/>
      <c r="H1524" s="1953"/>
      <c r="I1524"/>
      <c r="J1524"/>
      <c r="K1524"/>
      <c r="L1524"/>
    </row>
    <row r="1525" spans="2:12" x14ac:dyDescent="0.35">
      <c r="B1525" s="1953"/>
      <c r="C1525" s="1953"/>
      <c r="D1525" s="1953"/>
      <c r="E1525" s="1953"/>
      <c r="F1525" s="1953"/>
      <c r="G1525" s="1953"/>
      <c r="H1525" s="1953"/>
      <c r="I1525"/>
      <c r="J1525"/>
      <c r="K1525"/>
      <c r="L1525"/>
    </row>
    <row r="1526" spans="2:12" x14ac:dyDescent="0.35">
      <c r="B1526" s="1953"/>
      <c r="C1526" s="1953"/>
      <c r="D1526" s="1953"/>
      <c r="E1526" s="1953"/>
      <c r="F1526" s="1953"/>
      <c r="G1526" s="1953"/>
      <c r="H1526" s="1953"/>
      <c r="I1526"/>
      <c r="J1526"/>
      <c r="K1526"/>
      <c r="L1526"/>
    </row>
    <row r="1527" spans="2:12" x14ac:dyDescent="0.35">
      <c r="B1527" s="1953"/>
      <c r="C1527" s="1953"/>
      <c r="D1527" s="1953"/>
      <c r="E1527" s="1953"/>
      <c r="F1527" s="1953"/>
      <c r="G1527" s="1953"/>
      <c r="H1527" s="1953"/>
      <c r="I1527"/>
      <c r="J1527"/>
      <c r="K1527"/>
      <c r="L1527"/>
    </row>
    <row r="1528" spans="2:12" x14ac:dyDescent="0.35">
      <c r="B1528" s="1953"/>
      <c r="C1528" s="1953"/>
      <c r="D1528" s="1953"/>
      <c r="E1528" s="1953"/>
      <c r="F1528" s="1953"/>
      <c r="G1528" s="1953"/>
      <c r="H1528" s="1953"/>
      <c r="I1528"/>
      <c r="J1528"/>
      <c r="K1528"/>
      <c r="L1528"/>
    </row>
    <row r="1529" spans="2:12" x14ac:dyDescent="0.35">
      <c r="B1529" s="1953"/>
      <c r="C1529" s="1953"/>
      <c r="D1529" s="1953"/>
      <c r="E1529" s="1953"/>
      <c r="F1529" s="1953"/>
      <c r="G1529" s="1953"/>
      <c r="H1529" s="1953"/>
      <c r="I1529"/>
      <c r="J1529"/>
      <c r="K1529"/>
      <c r="L1529"/>
    </row>
    <row r="1530" spans="2:12" x14ac:dyDescent="0.35">
      <c r="B1530" s="1953"/>
      <c r="C1530" s="1953"/>
      <c r="D1530" s="1953"/>
      <c r="E1530" s="1953"/>
      <c r="F1530" s="1953"/>
      <c r="G1530" s="1953"/>
      <c r="H1530" s="1953"/>
      <c r="I1530"/>
      <c r="J1530"/>
      <c r="K1530"/>
      <c r="L1530"/>
    </row>
    <row r="1531" spans="2:12" x14ac:dyDescent="0.35">
      <c r="B1531" s="1953"/>
      <c r="C1531" s="1953"/>
      <c r="D1531" s="1953"/>
      <c r="E1531" s="1953"/>
      <c r="F1531" s="1953"/>
      <c r="G1531" s="1953"/>
      <c r="H1531" s="1953"/>
      <c r="I1531"/>
      <c r="J1531"/>
      <c r="K1531"/>
      <c r="L1531"/>
    </row>
    <row r="1532" spans="2:12" x14ac:dyDescent="0.35">
      <c r="B1532" s="1953"/>
      <c r="C1532" s="1953"/>
      <c r="D1532" s="1953"/>
      <c r="E1532" s="1953"/>
      <c r="F1532" s="1953"/>
      <c r="G1532" s="1953"/>
      <c r="H1532" s="1953"/>
      <c r="I1532"/>
      <c r="J1532"/>
      <c r="K1532"/>
      <c r="L1532"/>
    </row>
    <row r="1533" spans="2:12" x14ac:dyDescent="0.35">
      <c r="B1533" s="1953"/>
      <c r="C1533" s="1953"/>
      <c r="D1533" s="1953"/>
      <c r="E1533" s="1953"/>
      <c r="F1533" s="1953"/>
      <c r="G1533" s="1953"/>
      <c r="H1533" s="1953"/>
      <c r="I1533"/>
      <c r="J1533"/>
      <c r="K1533"/>
      <c r="L1533"/>
    </row>
    <row r="1534" spans="2:12" x14ac:dyDescent="0.35">
      <c r="B1534" s="1953"/>
      <c r="C1534" s="1953"/>
      <c r="D1534" s="1953"/>
      <c r="E1534" s="1953"/>
      <c r="F1534" s="1953"/>
      <c r="G1534" s="1953"/>
      <c r="H1534" s="1953"/>
      <c r="I1534"/>
      <c r="J1534"/>
      <c r="K1534"/>
      <c r="L1534"/>
    </row>
    <row r="1535" spans="2:12" x14ac:dyDescent="0.35">
      <c r="B1535" s="1953"/>
      <c r="C1535" s="1953"/>
      <c r="D1535" s="1953"/>
      <c r="E1535" s="1953"/>
      <c r="F1535" s="1953"/>
      <c r="G1535" s="1953"/>
      <c r="H1535" s="1953"/>
      <c r="I1535"/>
      <c r="J1535"/>
      <c r="K1535"/>
      <c r="L1535"/>
    </row>
    <row r="1536" spans="2:12" x14ac:dyDescent="0.35">
      <c r="B1536" s="1953"/>
      <c r="C1536" s="1953"/>
      <c r="D1536" s="1953"/>
      <c r="E1536" s="1953"/>
      <c r="F1536" s="1953"/>
      <c r="G1536" s="1953"/>
      <c r="H1536" s="1953"/>
      <c r="I1536"/>
      <c r="J1536"/>
      <c r="K1536"/>
      <c r="L1536"/>
    </row>
    <row r="1537" spans="2:12" x14ac:dyDescent="0.35">
      <c r="B1537" s="1953"/>
      <c r="C1537" s="1953"/>
      <c r="D1537" s="1953"/>
      <c r="E1537" s="1953"/>
      <c r="F1537" s="1953"/>
      <c r="G1537" s="1953"/>
      <c r="H1537" s="1953"/>
      <c r="I1537"/>
      <c r="J1537"/>
      <c r="K1537"/>
      <c r="L1537"/>
    </row>
    <row r="1538" spans="2:12" x14ac:dyDescent="0.35">
      <c r="B1538" s="1953"/>
      <c r="C1538" s="1953"/>
      <c r="D1538" s="1953"/>
      <c r="E1538" s="1953"/>
      <c r="F1538" s="1953"/>
      <c r="G1538" s="1953"/>
      <c r="H1538" s="1953"/>
      <c r="I1538"/>
      <c r="J1538"/>
      <c r="K1538"/>
      <c r="L1538"/>
    </row>
    <row r="1539" spans="2:12" x14ac:dyDescent="0.35">
      <c r="B1539" s="1953"/>
      <c r="C1539" s="1953"/>
      <c r="D1539" s="1953"/>
      <c r="E1539" s="1953"/>
      <c r="F1539" s="1953"/>
      <c r="G1539" s="1953"/>
      <c r="H1539" s="1953"/>
      <c r="I1539"/>
      <c r="J1539"/>
      <c r="K1539"/>
      <c r="L1539"/>
    </row>
    <row r="1540" spans="2:12" x14ac:dyDescent="0.35">
      <c r="B1540" s="1953"/>
      <c r="C1540" s="1953"/>
      <c r="D1540" s="1953"/>
      <c r="E1540" s="1953"/>
      <c r="F1540" s="1953"/>
      <c r="G1540" s="1953"/>
      <c r="H1540" s="1953"/>
      <c r="I1540"/>
      <c r="J1540"/>
      <c r="K1540"/>
      <c r="L1540"/>
    </row>
    <row r="1541" spans="2:12" x14ac:dyDescent="0.35">
      <c r="B1541" s="1953"/>
      <c r="C1541" s="1953"/>
      <c r="D1541" s="1953"/>
      <c r="E1541" s="1953"/>
      <c r="F1541" s="1953"/>
      <c r="G1541" s="1953"/>
      <c r="H1541" s="1953"/>
      <c r="I1541"/>
      <c r="J1541"/>
      <c r="K1541"/>
      <c r="L1541"/>
    </row>
    <row r="1542" spans="2:12" x14ac:dyDescent="0.35">
      <c r="B1542" s="1953"/>
      <c r="C1542" s="1953"/>
      <c r="D1542" s="1953"/>
      <c r="E1542" s="1953"/>
      <c r="F1542" s="1953"/>
      <c r="G1542" s="1953"/>
      <c r="H1542" s="1953"/>
      <c r="I1542"/>
      <c r="J1542"/>
      <c r="K1542"/>
      <c r="L1542"/>
    </row>
    <row r="1543" spans="2:12" x14ac:dyDescent="0.35">
      <c r="B1543" s="1953"/>
      <c r="C1543" s="1953"/>
      <c r="D1543" s="1953"/>
      <c r="E1543" s="1953"/>
      <c r="F1543" s="1953"/>
      <c r="G1543" s="1953"/>
      <c r="H1543" s="1953"/>
      <c r="I1543"/>
      <c r="J1543"/>
      <c r="K1543"/>
      <c r="L1543"/>
    </row>
    <row r="1544" spans="2:12" x14ac:dyDescent="0.35">
      <c r="B1544" s="1953"/>
      <c r="C1544" s="1953"/>
      <c r="D1544" s="1953"/>
      <c r="E1544" s="1953"/>
      <c r="F1544" s="1953"/>
      <c r="G1544" s="1953"/>
      <c r="H1544" s="1953"/>
      <c r="I1544"/>
      <c r="J1544"/>
      <c r="K1544"/>
      <c r="L1544"/>
    </row>
    <row r="1545" spans="2:12" x14ac:dyDescent="0.35">
      <c r="B1545" s="1953"/>
      <c r="C1545" s="1953"/>
      <c r="D1545" s="1953"/>
      <c r="E1545" s="1953"/>
      <c r="F1545" s="1953"/>
      <c r="G1545" s="1953"/>
      <c r="H1545" s="1953"/>
      <c r="I1545"/>
      <c r="J1545"/>
      <c r="K1545"/>
      <c r="L1545"/>
    </row>
    <row r="1546" spans="2:12" x14ac:dyDescent="0.35">
      <c r="B1546" s="1953"/>
      <c r="C1546" s="1953"/>
      <c r="D1546" s="1953"/>
      <c r="E1546" s="1953"/>
      <c r="F1546" s="1953"/>
      <c r="G1546" s="1953"/>
      <c r="H1546" s="1953"/>
      <c r="I1546"/>
      <c r="J1546"/>
      <c r="K1546"/>
      <c r="L1546"/>
    </row>
    <row r="1547" spans="2:12" x14ac:dyDescent="0.35">
      <c r="B1547" s="1953"/>
      <c r="C1547" s="1953"/>
      <c r="D1547" s="1953"/>
      <c r="E1547" s="1953"/>
      <c r="F1547" s="1953"/>
      <c r="G1547" s="1953"/>
      <c r="H1547" s="1953"/>
      <c r="I1547"/>
      <c r="J1547"/>
      <c r="K1547"/>
      <c r="L1547"/>
    </row>
    <row r="1548" spans="2:12" x14ac:dyDescent="0.35">
      <c r="B1548" s="1953"/>
      <c r="C1548" s="1953"/>
      <c r="D1548" s="1953"/>
      <c r="E1548" s="1953"/>
      <c r="F1548" s="1953"/>
      <c r="G1548" s="1953"/>
      <c r="H1548" s="1953"/>
      <c r="I1548"/>
      <c r="J1548"/>
      <c r="K1548"/>
      <c r="L1548"/>
    </row>
    <row r="1549" spans="2:12" x14ac:dyDescent="0.35">
      <c r="B1549" s="1953"/>
      <c r="C1549" s="1953"/>
      <c r="D1549" s="1953"/>
      <c r="E1549" s="1953"/>
      <c r="F1549" s="1953"/>
      <c r="G1549" s="1953"/>
      <c r="H1549" s="1953"/>
      <c r="I1549"/>
      <c r="J1549"/>
      <c r="K1549"/>
      <c r="L1549"/>
    </row>
    <row r="1550" spans="2:12" x14ac:dyDescent="0.35">
      <c r="B1550" s="1953"/>
      <c r="C1550" s="1953"/>
      <c r="D1550" s="1953"/>
      <c r="E1550" s="1953"/>
      <c r="F1550" s="1953"/>
      <c r="G1550" s="1953"/>
      <c r="H1550" s="1953"/>
      <c r="I1550"/>
      <c r="J1550"/>
      <c r="K1550"/>
      <c r="L1550"/>
    </row>
    <row r="1551" spans="2:12" x14ac:dyDescent="0.35">
      <c r="B1551" s="1953"/>
      <c r="C1551" s="1953"/>
      <c r="D1551" s="1953"/>
      <c r="E1551" s="1953"/>
      <c r="F1551" s="1953"/>
      <c r="G1551" s="1953"/>
      <c r="H1551" s="1953"/>
      <c r="I1551"/>
      <c r="J1551"/>
      <c r="K1551"/>
      <c r="L1551"/>
    </row>
    <row r="1552" spans="2:12" x14ac:dyDescent="0.35">
      <c r="B1552" s="1953"/>
      <c r="C1552" s="1953"/>
      <c r="D1552" s="1953"/>
      <c r="E1552" s="1953"/>
      <c r="F1552" s="1953"/>
      <c r="G1552" s="1953"/>
      <c r="H1552" s="1953"/>
      <c r="I1552"/>
      <c r="J1552"/>
      <c r="K1552"/>
      <c r="L1552"/>
    </row>
    <row r="1553" spans="2:12" x14ac:dyDescent="0.35">
      <c r="B1553" s="1953"/>
      <c r="C1553" s="1953"/>
      <c r="D1553" s="1953"/>
      <c r="E1553" s="1953"/>
      <c r="F1553" s="1953"/>
      <c r="G1553" s="1953"/>
      <c r="H1553" s="1953"/>
      <c r="I1553"/>
      <c r="J1553"/>
      <c r="K1553"/>
      <c r="L1553"/>
    </row>
    <row r="1554" spans="2:12" x14ac:dyDescent="0.35">
      <c r="B1554" s="1953"/>
      <c r="C1554" s="1953"/>
      <c r="D1554" s="1953"/>
      <c r="E1554" s="1953"/>
      <c r="F1554" s="1953"/>
      <c r="G1554" s="1953"/>
      <c r="H1554" s="1953"/>
      <c r="I1554"/>
      <c r="J1554"/>
      <c r="K1554"/>
      <c r="L1554"/>
    </row>
    <row r="1555" spans="2:12" x14ac:dyDescent="0.35">
      <c r="B1555" s="1953"/>
      <c r="C1555" s="1953"/>
      <c r="D1555" s="1953"/>
      <c r="E1555" s="1953"/>
      <c r="F1555" s="1953"/>
      <c r="G1555" s="1953"/>
      <c r="H1555" s="1953"/>
      <c r="I1555"/>
      <c r="J1555"/>
      <c r="K1555"/>
      <c r="L1555"/>
    </row>
    <row r="1556" spans="2:12" x14ac:dyDescent="0.35">
      <c r="B1556" s="1953"/>
      <c r="C1556" s="1953"/>
      <c r="D1556" s="1953"/>
      <c r="E1556" s="1953"/>
      <c r="F1556" s="1953"/>
      <c r="G1556" s="1953"/>
      <c r="H1556" s="1953"/>
      <c r="I1556"/>
      <c r="J1556"/>
      <c r="K1556"/>
      <c r="L1556"/>
    </row>
    <row r="1557" spans="2:12" x14ac:dyDescent="0.35">
      <c r="B1557" s="1953"/>
      <c r="C1557" s="1953"/>
      <c r="D1557" s="1953"/>
      <c r="E1557" s="1953"/>
      <c r="F1557" s="1953"/>
      <c r="G1557" s="1953"/>
      <c r="H1557" s="1953"/>
      <c r="I1557"/>
      <c r="J1557"/>
      <c r="K1557"/>
      <c r="L1557"/>
    </row>
    <row r="1558" spans="2:12" x14ac:dyDescent="0.35">
      <c r="B1558" s="1953"/>
      <c r="C1558" s="1953"/>
      <c r="D1558" s="1953"/>
      <c r="E1558" s="1953"/>
      <c r="F1558" s="1953"/>
      <c r="G1558" s="1953"/>
      <c r="H1558" s="1953"/>
      <c r="I1558"/>
      <c r="J1558"/>
      <c r="K1558"/>
      <c r="L1558"/>
    </row>
    <row r="1559" spans="2:12" x14ac:dyDescent="0.35">
      <c r="B1559" s="1953"/>
      <c r="C1559" s="1953"/>
      <c r="D1559" s="1953"/>
      <c r="E1559" s="1953"/>
      <c r="F1559" s="1953"/>
      <c r="G1559" s="1953"/>
      <c r="H1559" s="1953"/>
      <c r="I1559"/>
      <c r="J1559"/>
      <c r="K1559"/>
      <c r="L1559"/>
    </row>
    <row r="1560" spans="2:12" x14ac:dyDescent="0.35">
      <c r="B1560" s="1953"/>
      <c r="C1560" s="1953"/>
      <c r="D1560" s="1953"/>
      <c r="E1560" s="1953"/>
      <c r="F1560" s="1953"/>
      <c r="G1560" s="1953"/>
      <c r="H1560" s="1953"/>
      <c r="I1560"/>
      <c r="J1560"/>
      <c r="K1560"/>
      <c r="L1560"/>
    </row>
    <row r="1561" spans="2:12" x14ac:dyDescent="0.35">
      <c r="B1561" s="1953"/>
      <c r="C1561" s="1953"/>
      <c r="D1561" s="1953"/>
      <c r="E1561" s="1953"/>
      <c r="F1561" s="1953"/>
      <c r="G1561" s="1953"/>
      <c r="H1561" s="1953"/>
      <c r="I1561"/>
      <c r="J1561"/>
      <c r="K1561"/>
      <c r="L1561"/>
    </row>
    <row r="1562" spans="2:12" x14ac:dyDescent="0.35">
      <c r="B1562" s="1953"/>
      <c r="C1562" s="1953"/>
      <c r="D1562" s="1953"/>
      <c r="E1562" s="1953"/>
      <c r="F1562" s="1953"/>
      <c r="G1562" s="1953"/>
      <c r="H1562" s="1953"/>
      <c r="I1562"/>
      <c r="J1562"/>
      <c r="K1562"/>
      <c r="L1562"/>
    </row>
    <row r="1563" spans="2:12" x14ac:dyDescent="0.35">
      <c r="B1563" s="1953"/>
      <c r="C1563" s="1953"/>
      <c r="D1563" s="1953"/>
      <c r="E1563" s="1953"/>
      <c r="F1563" s="1953"/>
      <c r="G1563" s="1953"/>
      <c r="H1563" s="1953"/>
      <c r="I1563"/>
      <c r="J1563"/>
      <c r="K1563"/>
      <c r="L1563"/>
    </row>
    <row r="1564" spans="2:12" x14ac:dyDescent="0.35">
      <c r="B1564" s="1953"/>
      <c r="C1564" s="1953"/>
      <c r="D1564" s="1953"/>
      <c r="E1564" s="1953"/>
      <c r="F1564" s="1953"/>
      <c r="G1564" s="1953"/>
      <c r="H1564" s="1953"/>
      <c r="I1564"/>
      <c r="J1564"/>
      <c r="K1564"/>
      <c r="L1564"/>
    </row>
    <row r="1565" spans="2:12" x14ac:dyDescent="0.35">
      <c r="B1565" s="1953"/>
      <c r="C1565" s="1953"/>
      <c r="D1565" s="1953"/>
      <c r="E1565" s="1953"/>
      <c r="F1565" s="1953"/>
      <c r="G1565" s="1953"/>
      <c r="H1565" s="1953"/>
      <c r="I1565"/>
      <c r="J1565"/>
      <c r="K1565"/>
      <c r="L1565"/>
    </row>
    <row r="1566" spans="2:12" x14ac:dyDescent="0.35">
      <c r="B1566" s="1953"/>
      <c r="C1566" s="1953"/>
      <c r="D1566" s="1953"/>
      <c r="E1566" s="1953"/>
      <c r="F1566" s="1953"/>
      <c r="G1566" s="1953"/>
      <c r="H1566" s="1953"/>
      <c r="I1566"/>
      <c r="J1566"/>
      <c r="K1566"/>
      <c r="L1566"/>
    </row>
    <row r="1567" spans="2:12" x14ac:dyDescent="0.35">
      <c r="B1567" s="1953"/>
      <c r="C1567" s="1953"/>
      <c r="D1567" s="1953"/>
      <c r="E1567" s="1953"/>
      <c r="F1567" s="1953"/>
      <c r="G1567" s="1953"/>
      <c r="H1567" s="1953"/>
      <c r="I1567"/>
      <c r="J1567"/>
      <c r="K1567"/>
      <c r="L1567"/>
    </row>
    <row r="1568" spans="2:12" x14ac:dyDescent="0.35">
      <c r="B1568" s="1953"/>
      <c r="C1568" s="1953"/>
      <c r="D1568" s="1953"/>
      <c r="E1568" s="1953"/>
      <c r="F1568" s="1953"/>
      <c r="G1568" s="1953"/>
      <c r="H1568" s="1953"/>
      <c r="I1568"/>
      <c r="J1568"/>
      <c r="K1568"/>
      <c r="L1568"/>
    </row>
    <row r="1569" spans="2:12" x14ac:dyDescent="0.35">
      <c r="B1569" s="1953"/>
      <c r="C1569" s="1953"/>
      <c r="D1569" s="1953"/>
      <c r="E1569" s="1953"/>
      <c r="F1569" s="1953"/>
      <c r="G1569" s="1953"/>
      <c r="H1569" s="1953"/>
      <c r="I1569"/>
      <c r="J1569"/>
      <c r="K1569"/>
      <c r="L1569"/>
    </row>
    <row r="1570" spans="2:12" x14ac:dyDescent="0.35">
      <c r="B1570" s="1953"/>
      <c r="C1570" s="1953"/>
      <c r="D1570" s="1953"/>
      <c r="E1570" s="1953"/>
      <c r="F1570" s="1953"/>
      <c r="G1570" s="1953"/>
      <c r="H1570" s="1953"/>
      <c r="I1570"/>
      <c r="J1570"/>
      <c r="K1570"/>
      <c r="L1570"/>
    </row>
    <row r="1571" spans="2:12" x14ac:dyDescent="0.35">
      <c r="B1571" s="1953"/>
      <c r="C1571" s="1953"/>
      <c r="D1571" s="1953"/>
      <c r="E1571" s="1953"/>
      <c r="F1571" s="1953"/>
      <c r="G1571" s="1953"/>
      <c r="H1571" s="1953"/>
      <c r="I1571"/>
      <c r="J1571"/>
      <c r="K1571"/>
      <c r="L1571"/>
    </row>
    <row r="1572" spans="2:12" x14ac:dyDescent="0.35">
      <c r="B1572" s="1953"/>
      <c r="C1572" s="1953"/>
      <c r="D1572" s="1953"/>
      <c r="E1572" s="1953"/>
      <c r="F1572" s="1953"/>
      <c r="G1572" s="1953"/>
      <c r="H1572" s="1953"/>
      <c r="I1572"/>
      <c r="J1572"/>
      <c r="K1572"/>
      <c r="L1572"/>
    </row>
    <row r="1573" spans="2:12" x14ac:dyDescent="0.35">
      <c r="B1573" s="1953"/>
      <c r="C1573" s="1953"/>
      <c r="D1573" s="1953"/>
      <c r="E1573" s="1953"/>
      <c r="F1573" s="1953"/>
      <c r="G1573" s="1953"/>
      <c r="H1573" s="1953"/>
      <c r="I1573"/>
      <c r="J1573"/>
      <c r="K1573"/>
      <c r="L1573"/>
    </row>
    <row r="1574" spans="2:12" x14ac:dyDescent="0.35">
      <c r="B1574" s="1953"/>
      <c r="C1574" s="1953"/>
      <c r="D1574" s="1953"/>
      <c r="E1574" s="1953"/>
      <c r="F1574" s="1953"/>
      <c r="G1574" s="1953"/>
      <c r="H1574" s="1953"/>
      <c r="I1574"/>
      <c r="J1574"/>
      <c r="K1574"/>
      <c r="L1574"/>
    </row>
    <row r="1575" spans="2:12" x14ac:dyDescent="0.35">
      <c r="B1575" s="1953"/>
      <c r="C1575" s="1953"/>
      <c r="D1575" s="1953"/>
      <c r="E1575" s="1953"/>
      <c r="F1575" s="1953"/>
      <c r="G1575" s="1953"/>
      <c r="H1575" s="1953"/>
      <c r="I1575"/>
      <c r="J1575"/>
      <c r="K1575"/>
      <c r="L1575"/>
    </row>
    <row r="1576" spans="2:12" x14ac:dyDescent="0.35">
      <c r="B1576" s="1953"/>
      <c r="C1576" s="1953"/>
      <c r="D1576" s="1953"/>
      <c r="E1576" s="1953"/>
      <c r="F1576" s="1953"/>
      <c r="G1576" s="1953"/>
      <c r="H1576" s="1953"/>
      <c r="I1576"/>
      <c r="J1576"/>
      <c r="K1576"/>
      <c r="L1576"/>
    </row>
    <row r="1577" spans="2:12" x14ac:dyDescent="0.35">
      <c r="B1577" s="1953"/>
      <c r="C1577" s="1953"/>
      <c r="D1577" s="1953"/>
      <c r="E1577" s="1953"/>
      <c r="F1577" s="1953"/>
      <c r="G1577" s="1953"/>
      <c r="H1577" s="1953"/>
      <c r="I1577"/>
      <c r="J1577"/>
      <c r="K1577"/>
      <c r="L1577"/>
    </row>
    <row r="1578" spans="2:12" x14ac:dyDescent="0.35">
      <c r="B1578" s="1953"/>
      <c r="C1578" s="1953"/>
      <c r="D1578" s="1953"/>
      <c r="E1578" s="1953"/>
      <c r="F1578" s="1953"/>
      <c r="G1578" s="1953"/>
      <c r="H1578" s="1953"/>
      <c r="I1578"/>
      <c r="J1578"/>
      <c r="K1578"/>
      <c r="L1578"/>
    </row>
    <row r="1579" spans="2:12" x14ac:dyDescent="0.35">
      <c r="B1579" s="1953"/>
      <c r="C1579" s="1953"/>
      <c r="D1579" s="1953"/>
      <c r="E1579" s="1953"/>
      <c r="F1579" s="1953"/>
      <c r="G1579" s="1953"/>
      <c r="H1579" s="1953"/>
      <c r="I1579"/>
      <c r="J1579"/>
      <c r="K1579"/>
      <c r="L1579"/>
    </row>
    <row r="1580" spans="2:12" x14ac:dyDescent="0.35">
      <c r="B1580" s="1953"/>
      <c r="C1580" s="1953"/>
      <c r="D1580" s="1953"/>
      <c r="E1580" s="1953"/>
      <c r="F1580" s="1953"/>
      <c r="G1580" s="1953"/>
      <c r="H1580" s="1953"/>
      <c r="I1580"/>
      <c r="J1580"/>
      <c r="K1580"/>
      <c r="L1580"/>
    </row>
    <row r="1581" spans="2:12" x14ac:dyDescent="0.35">
      <c r="B1581" s="1953"/>
      <c r="C1581" s="1953"/>
      <c r="D1581" s="1953"/>
      <c r="E1581" s="1953"/>
      <c r="F1581" s="1953"/>
      <c r="G1581" s="1953"/>
      <c r="H1581" s="1953"/>
      <c r="I1581"/>
      <c r="J1581"/>
      <c r="K1581"/>
      <c r="L1581"/>
    </row>
    <row r="1582" spans="2:12" x14ac:dyDescent="0.35">
      <c r="B1582" s="1953"/>
      <c r="C1582" s="1953"/>
      <c r="D1582" s="1953"/>
      <c r="E1582" s="1953"/>
      <c r="F1582" s="1953"/>
      <c r="G1582" s="1953"/>
      <c r="H1582" s="1953"/>
      <c r="I1582"/>
      <c r="J1582"/>
      <c r="K1582"/>
      <c r="L1582"/>
    </row>
    <row r="1583" spans="2:12" x14ac:dyDescent="0.35">
      <c r="B1583" s="1953"/>
      <c r="C1583" s="1953"/>
      <c r="D1583" s="1953"/>
      <c r="E1583" s="1953"/>
      <c r="F1583" s="1953"/>
      <c r="G1583" s="1953"/>
      <c r="H1583" s="1953"/>
      <c r="I1583"/>
      <c r="J1583"/>
      <c r="K1583"/>
      <c r="L1583"/>
    </row>
    <row r="1584" spans="2:12" x14ac:dyDescent="0.35">
      <c r="B1584" s="1953"/>
      <c r="C1584" s="1953"/>
      <c r="D1584" s="1953"/>
      <c r="E1584" s="1953"/>
      <c r="F1584" s="1953"/>
      <c r="G1584" s="1953"/>
      <c r="H1584" s="1953"/>
      <c r="I1584"/>
      <c r="J1584"/>
      <c r="K1584"/>
      <c r="L1584"/>
    </row>
    <row r="1585" spans="2:12" x14ac:dyDescent="0.35">
      <c r="B1585" s="1953"/>
      <c r="C1585" s="1953"/>
      <c r="D1585" s="1953"/>
      <c r="E1585" s="1953"/>
      <c r="F1585" s="1953"/>
      <c r="G1585" s="1953"/>
      <c r="H1585" s="1953"/>
      <c r="I1585"/>
      <c r="J1585"/>
      <c r="K1585"/>
      <c r="L1585"/>
    </row>
    <row r="1586" spans="2:12" x14ac:dyDescent="0.35">
      <c r="B1586" s="1953"/>
      <c r="C1586" s="1953"/>
      <c r="D1586" s="1953"/>
      <c r="E1586" s="1953"/>
      <c r="F1586" s="1953"/>
      <c r="G1586" s="1953"/>
      <c r="H1586" s="1953"/>
      <c r="I1586"/>
      <c r="J1586"/>
      <c r="K1586"/>
      <c r="L1586"/>
    </row>
    <row r="1587" spans="2:12" x14ac:dyDescent="0.35">
      <c r="B1587" s="1953"/>
      <c r="C1587" s="1953"/>
      <c r="D1587" s="1953"/>
      <c r="E1587" s="1953"/>
      <c r="F1587" s="1953"/>
      <c r="G1587" s="1953"/>
      <c r="H1587" s="1953"/>
      <c r="I1587"/>
      <c r="J1587"/>
      <c r="K1587"/>
      <c r="L1587"/>
    </row>
    <row r="1588" spans="2:12" x14ac:dyDescent="0.35">
      <c r="B1588" s="1953"/>
      <c r="C1588" s="1953"/>
      <c r="D1588" s="1953"/>
      <c r="E1588" s="1953"/>
      <c r="F1588" s="1953"/>
      <c r="G1588" s="1953"/>
      <c r="H1588" s="1953"/>
      <c r="I1588"/>
      <c r="J1588"/>
      <c r="K1588"/>
      <c r="L1588"/>
    </row>
    <row r="1589" spans="2:12" x14ac:dyDescent="0.35">
      <c r="B1589" s="1953"/>
      <c r="C1589" s="1953"/>
      <c r="D1589" s="1953"/>
      <c r="E1589" s="1953"/>
      <c r="F1589" s="1953"/>
      <c r="G1589" s="1953"/>
      <c r="H1589" s="1953"/>
      <c r="I1589"/>
      <c r="J1589"/>
      <c r="K1589"/>
      <c r="L1589"/>
    </row>
    <row r="1590" spans="2:12" x14ac:dyDescent="0.35">
      <c r="B1590" s="1953"/>
      <c r="C1590" s="1953"/>
      <c r="D1590" s="1953"/>
      <c r="E1590" s="1953"/>
      <c r="F1590" s="1953"/>
      <c r="G1590" s="1953"/>
      <c r="H1590" s="1953"/>
      <c r="I1590"/>
      <c r="J1590"/>
      <c r="K1590"/>
      <c r="L1590"/>
    </row>
    <row r="1591" spans="2:12" x14ac:dyDescent="0.35">
      <c r="B1591" s="1953"/>
      <c r="C1591" s="1953"/>
      <c r="D1591" s="1953"/>
      <c r="E1591" s="1953"/>
      <c r="F1591" s="1953"/>
      <c r="G1591" s="1953"/>
      <c r="H1591" s="1953"/>
      <c r="I1591"/>
      <c r="J1591"/>
      <c r="K1591"/>
      <c r="L1591"/>
    </row>
    <row r="1592" spans="2:12" x14ac:dyDescent="0.35">
      <c r="B1592" s="1953"/>
      <c r="C1592" s="1953"/>
      <c r="D1592" s="1953"/>
      <c r="E1592" s="1953"/>
      <c r="F1592" s="1953"/>
      <c r="G1592" s="1953"/>
      <c r="H1592" s="1953"/>
      <c r="I1592"/>
      <c r="J1592"/>
      <c r="K1592"/>
      <c r="L1592"/>
    </row>
    <row r="1593" spans="2:12" x14ac:dyDescent="0.35">
      <c r="B1593" s="1953"/>
      <c r="C1593" s="1953"/>
      <c r="D1593" s="1953"/>
      <c r="E1593" s="1953"/>
      <c r="F1593" s="1953"/>
      <c r="G1593" s="1953"/>
      <c r="H1593" s="1953"/>
      <c r="I1593"/>
      <c r="J1593"/>
      <c r="K1593"/>
      <c r="L1593"/>
    </row>
    <row r="1594" spans="2:12" x14ac:dyDescent="0.35">
      <c r="B1594" s="1953"/>
      <c r="C1594" s="1953"/>
      <c r="D1594" s="1953"/>
      <c r="E1594" s="1953"/>
      <c r="F1594" s="1953"/>
      <c r="G1594" s="1953"/>
      <c r="H1594" s="1953"/>
      <c r="I1594"/>
      <c r="J1594"/>
      <c r="K1594"/>
      <c r="L1594"/>
    </row>
    <row r="1595" spans="2:12" x14ac:dyDescent="0.35">
      <c r="B1595" s="1953"/>
      <c r="C1595" s="1953"/>
      <c r="D1595" s="1953"/>
      <c r="E1595" s="1953"/>
      <c r="F1595" s="1953"/>
      <c r="G1595" s="1953"/>
      <c r="H1595" s="1953"/>
      <c r="I1595"/>
      <c r="J1595"/>
      <c r="K1595"/>
      <c r="L1595"/>
    </row>
    <row r="1596" spans="2:12" x14ac:dyDescent="0.35">
      <c r="B1596" s="1953"/>
      <c r="C1596" s="1953"/>
      <c r="D1596" s="1953"/>
      <c r="E1596" s="1953"/>
      <c r="F1596" s="1953"/>
      <c r="G1596" s="1953"/>
      <c r="H1596" s="1953"/>
      <c r="I1596"/>
      <c r="J1596"/>
      <c r="K1596"/>
      <c r="L1596"/>
    </row>
    <row r="1597" spans="2:12" x14ac:dyDescent="0.35">
      <c r="B1597" s="1953"/>
      <c r="C1597" s="1953"/>
      <c r="D1597" s="1953"/>
      <c r="E1597" s="1953"/>
      <c r="F1597" s="1953"/>
      <c r="G1597" s="1953"/>
      <c r="H1597" s="1953"/>
      <c r="I1597"/>
      <c r="J1597"/>
      <c r="K1597"/>
      <c r="L1597"/>
    </row>
    <row r="1598" spans="2:12" x14ac:dyDescent="0.35">
      <c r="B1598" s="1953"/>
      <c r="C1598" s="1953"/>
      <c r="D1598" s="1953"/>
      <c r="E1598" s="1953"/>
      <c r="F1598" s="1953"/>
      <c r="G1598" s="1953"/>
      <c r="H1598" s="1953"/>
      <c r="I1598"/>
      <c r="J1598"/>
      <c r="K1598"/>
      <c r="L1598"/>
    </row>
    <row r="1599" spans="2:12" x14ac:dyDescent="0.35">
      <c r="B1599" s="1953"/>
      <c r="C1599" s="1953"/>
      <c r="D1599" s="1953"/>
      <c r="E1599" s="1953"/>
      <c r="F1599" s="1953"/>
      <c r="G1599" s="1953"/>
      <c r="H1599" s="1953"/>
      <c r="I1599"/>
      <c r="J1599"/>
      <c r="K1599"/>
      <c r="L1599"/>
    </row>
    <row r="1600" spans="2:12" x14ac:dyDescent="0.35">
      <c r="B1600" s="1953"/>
      <c r="C1600" s="1953"/>
      <c r="D1600" s="1953"/>
      <c r="E1600" s="1953"/>
      <c r="F1600" s="1953"/>
      <c r="G1600" s="1953"/>
      <c r="H1600" s="1953"/>
      <c r="I1600"/>
      <c r="J1600"/>
      <c r="K1600"/>
      <c r="L1600"/>
    </row>
    <row r="1601" spans="2:12" x14ac:dyDescent="0.35">
      <c r="B1601" s="1953"/>
      <c r="C1601" s="1953"/>
      <c r="D1601" s="1953"/>
      <c r="E1601" s="1953"/>
      <c r="F1601" s="1953"/>
      <c r="G1601" s="1953"/>
      <c r="H1601" s="1953"/>
      <c r="I1601"/>
      <c r="J1601"/>
      <c r="K1601"/>
      <c r="L1601"/>
    </row>
    <row r="1602" spans="2:12" x14ac:dyDescent="0.35">
      <c r="B1602" s="1953"/>
      <c r="C1602" s="1953"/>
      <c r="D1602" s="1953"/>
      <c r="E1602" s="1953"/>
      <c r="F1602" s="1953"/>
      <c r="G1602" s="1953"/>
      <c r="H1602" s="1953"/>
      <c r="I1602"/>
      <c r="J1602"/>
      <c r="K1602"/>
      <c r="L1602"/>
    </row>
    <row r="1603" spans="2:12" x14ac:dyDescent="0.35">
      <c r="B1603" s="1953"/>
      <c r="C1603" s="1953"/>
      <c r="D1603" s="1953"/>
      <c r="E1603" s="1953"/>
      <c r="F1603" s="1953"/>
      <c r="G1603" s="1953"/>
      <c r="H1603" s="1953"/>
      <c r="I1603"/>
      <c r="J1603"/>
      <c r="K1603"/>
      <c r="L1603"/>
    </row>
    <row r="1604" spans="2:12" x14ac:dyDescent="0.35">
      <c r="B1604" s="1953"/>
      <c r="C1604" s="1953"/>
      <c r="D1604" s="1953"/>
      <c r="E1604" s="1953"/>
      <c r="F1604" s="1953"/>
      <c r="G1604" s="1953"/>
      <c r="H1604" s="1953"/>
      <c r="I1604"/>
      <c r="J1604"/>
      <c r="K1604"/>
      <c r="L1604"/>
    </row>
    <row r="1605" spans="2:12" x14ac:dyDescent="0.35">
      <c r="B1605" s="1953"/>
      <c r="C1605" s="1953"/>
      <c r="D1605" s="1953"/>
      <c r="E1605" s="1953"/>
      <c r="F1605" s="1953"/>
      <c r="G1605" s="1953"/>
      <c r="H1605" s="1953"/>
      <c r="I1605"/>
      <c r="J1605"/>
      <c r="K1605"/>
      <c r="L1605"/>
    </row>
    <row r="1606" spans="2:12" x14ac:dyDescent="0.35">
      <c r="B1606" s="1953"/>
      <c r="C1606" s="1953"/>
      <c r="D1606" s="1953"/>
      <c r="E1606" s="1953"/>
      <c r="F1606" s="1953"/>
      <c r="G1606" s="1953"/>
      <c r="H1606" s="1953"/>
      <c r="I1606"/>
      <c r="J1606"/>
      <c r="K1606"/>
      <c r="L1606"/>
    </row>
    <row r="1607" spans="2:12" x14ac:dyDescent="0.35">
      <c r="B1607" s="1953"/>
      <c r="C1607" s="1953"/>
      <c r="D1607" s="1953"/>
      <c r="E1607" s="1953"/>
      <c r="F1607" s="1953"/>
      <c r="G1607" s="1953"/>
      <c r="H1607" s="1953"/>
      <c r="I1607"/>
      <c r="J1607"/>
      <c r="K1607"/>
      <c r="L1607"/>
    </row>
    <row r="1608" spans="2:12" x14ac:dyDescent="0.35">
      <c r="B1608" s="1953"/>
      <c r="C1608" s="1953"/>
      <c r="D1608" s="1953"/>
      <c r="E1608" s="1953"/>
      <c r="F1608" s="1953"/>
      <c r="G1608" s="1953"/>
      <c r="H1608" s="1953"/>
      <c r="I1608"/>
      <c r="J1608"/>
      <c r="K1608"/>
      <c r="L1608"/>
    </row>
    <row r="1609" spans="2:12" x14ac:dyDescent="0.35">
      <c r="B1609" s="1953"/>
      <c r="C1609" s="1953"/>
      <c r="D1609" s="1953"/>
      <c r="E1609" s="1953"/>
      <c r="F1609" s="1953"/>
      <c r="G1609" s="1953"/>
      <c r="H1609" s="1953"/>
      <c r="I1609"/>
      <c r="J1609"/>
      <c r="K1609"/>
      <c r="L1609"/>
    </row>
    <row r="1610" spans="2:12" x14ac:dyDescent="0.35">
      <c r="B1610" s="1953"/>
      <c r="C1610" s="1953"/>
      <c r="D1610" s="1953"/>
      <c r="E1610" s="1953"/>
      <c r="F1610" s="1953"/>
      <c r="G1610" s="1953"/>
      <c r="H1610" s="1953"/>
      <c r="I1610"/>
      <c r="J1610"/>
      <c r="K1610"/>
      <c r="L1610"/>
    </row>
    <row r="1611" spans="2:12" x14ac:dyDescent="0.35">
      <c r="B1611" s="1953"/>
      <c r="C1611" s="1953"/>
      <c r="D1611" s="1953"/>
      <c r="E1611" s="1953"/>
      <c r="F1611" s="1953"/>
      <c r="G1611" s="1953"/>
      <c r="H1611" s="1953"/>
      <c r="I1611"/>
      <c r="J1611"/>
      <c r="K1611"/>
      <c r="L1611"/>
    </row>
    <row r="1612" spans="2:12" x14ac:dyDescent="0.35">
      <c r="B1612" s="1953"/>
      <c r="C1612" s="1953"/>
      <c r="D1612" s="1953"/>
      <c r="E1612" s="1953"/>
      <c r="F1612" s="1953"/>
      <c r="G1612" s="1953"/>
      <c r="H1612" s="1953"/>
      <c r="I1612"/>
      <c r="J1612"/>
      <c r="K1612"/>
      <c r="L1612"/>
    </row>
    <row r="1613" spans="2:12" x14ac:dyDescent="0.35">
      <c r="B1613" s="1953"/>
      <c r="C1613" s="1953"/>
      <c r="D1613" s="1953"/>
      <c r="E1613" s="1953"/>
      <c r="F1613" s="1953"/>
      <c r="G1613" s="1953"/>
      <c r="H1613" s="1953"/>
      <c r="I1613"/>
      <c r="J1613"/>
      <c r="K1613"/>
      <c r="L1613"/>
    </row>
    <row r="1614" spans="2:12" x14ac:dyDescent="0.35">
      <c r="B1614" s="1953"/>
      <c r="C1614" s="1953"/>
      <c r="D1614" s="1953"/>
      <c r="E1614" s="1953"/>
      <c r="F1614" s="1953"/>
      <c r="G1614" s="1953"/>
      <c r="H1614" s="1953"/>
      <c r="I1614"/>
      <c r="J1614"/>
      <c r="K1614"/>
      <c r="L1614"/>
    </row>
    <row r="1615" spans="2:12" x14ac:dyDescent="0.35">
      <c r="B1615" s="1953"/>
      <c r="C1615" s="1953"/>
      <c r="D1615" s="1953"/>
      <c r="E1615" s="1953"/>
      <c r="F1615" s="1953"/>
      <c r="G1615" s="1953"/>
      <c r="H1615" s="1953"/>
      <c r="I1615"/>
      <c r="J1615"/>
      <c r="K1615"/>
      <c r="L1615"/>
    </row>
    <row r="1616" spans="2:12" x14ac:dyDescent="0.35">
      <c r="B1616" s="1953"/>
      <c r="C1616" s="1953"/>
      <c r="D1616" s="1953"/>
      <c r="E1616" s="1953"/>
      <c r="F1616" s="1953"/>
      <c r="G1616" s="1953"/>
      <c r="H1616" s="1953"/>
      <c r="I1616"/>
      <c r="J1616"/>
      <c r="K1616"/>
      <c r="L1616"/>
    </row>
    <row r="1617" spans="2:12" x14ac:dyDescent="0.35">
      <c r="B1617" s="1953"/>
      <c r="C1617" s="1953"/>
      <c r="D1617" s="1953"/>
      <c r="E1617" s="1953"/>
      <c r="F1617" s="1953"/>
      <c r="G1617" s="1953"/>
      <c r="H1617" s="1953"/>
      <c r="I1617"/>
      <c r="J1617"/>
      <c r="K1617"/>
      <c r="L1617"/>
    </row>
    <row r="1618" spans="2:12" x14ac:dyDescent="0.35">
      <c r="B1618" s="1953"/>
      <c r="C1618" s="1953"/>
      <c r="D1618" s="1953"/>
      <c r="E1618" s="1953"/>
      <c r="F1618" s="1953"/>
      <c r="G1618" s="1953"/>
      <c r="H1618" s="1953"/>
      <c r="I1618"/>
      <c r="J1618"/>
      <c r="K1618"/>
      <c r="L1618"/>
    </row>
    <row r="1619" spans="2:12" x14ac:dyDescent="0.35">
      <c r="B1619" s="1953"/>
      <c r="C1619" s="1953"/>
      <c r="D1619" s="1953"/>
      <c r="E1619" s="1953"/>
      <c r="F1619" s="1953"/>
      <c r="G1619" s="1953"/>
      <c r="H1619" s="1953"/>
      <c r="I1619"/>
      <c r="J1619"/>
      <c r="K1619"/>
      <c r="L1619"/>
    </row>
    <row r="1620" spans="2:12" x14ac:dyDescent="0.35">
      <c r="B1620" s="1953"/>
      <c r="C1620" s="1953"/>
      <c r="D1620" s="1953"/>
      <c r="E1620" s="1953"/>
      <c r="F1620" s="1953"/>
      <c r="G1620" s="1953"/>
      <c r="H1620" s="1953"/>
      <c r="I1620"/>
      <c r="J1620"/>
      <c r="K1620"/>
      <c r="L1620"/>
    </row>
    <row r="1621" spans="2:12" x14ac:dyDescent="0.35">
      <c r="B1621" s="1953"/>
      <c r="C1621" s="1953"/>
      <c r="D1621" s="1953"/>
      <c r="E1621" s="1953"/>
      <c r="F1621" s="1953"/>
      <c r="G1621" s="1953"/>
      <c r="H1621" s="1953"/>
      <c r="I1621"/>
      <c r="J1621"/>
      <c r="K1621"/>
      <c r="L1621"/>
    </row>
    <row r="1622" spans="2:12" x14ac:dyDescent="0.35">
      <c r="B1622" s="1953"/>
      <c r="C1622" s="1953"/>
      <c r="D1622" s="1953"/>
      <c r="E1622" s="1953"/>
      <c r="F1622" s="1953"/>
      <c r="G1622" s="1953"/>
      <c r="H1622" s="1953"/>
      <c r="I1622"/>
      <c r="J1622"/>
      <c r="K1622"/>
      <c r="L1622"/>
    </row>
    <row r="1623" spans="2:12" x14ac:dyDescent="0.35">
      <c r="B1623" s="1953"/>
      <c r="C1623" s="1953"/>
      <c r="D1623" s="1953"/>
      <c r="E1623" s="1953"/>
      <c r="F1623" s="1953"/>
      <c r="G1623" s="1953"/>
      <c r="H1623" s="1953"/>
      <c r="I1623"/>
      <c r="J1623"/>
      <c r="K1623"/>
      <c r="L1623"/>
    </row>
    <row r="1624" spans="2:12" x14ac:dyDescent="0.35">
      <c r="B1624" s="1953"/>
      <c r="C1624" s="1953"/>
      <c r="D1624" s="1953"/>
      <c r="E1624" s="1953"/>
      <c r="F1624" s="1953"/>
      <c r="G1624" s="1953"/>
      <c r="H1624" s="1953"/>
      <c r="I1624"/>
      <c r="J1624"/>
      <c r="K1624"/>
      <c r="L1624"/>
    </row>
    <row r="1625" spans="2:12" x14ac:dyDescent="0.35">
      <c r="B1625" s="1953"/>
      <c r="C1625" s="1953"/>
      <c r="D1625" s="1953"/>
      <c r="E1625" s="1953"/>
      <c r="F1625" s="1953"/>
      <c r="G1625" s="1953"/>
      <c r="H1625" s="1953"/>
      <c r="I1625"/>
      <c r="J1625"/>
      <c r="K1625"/>
      <c r="L1625"/>
    </row>
    <row r="1626" spans="2:12" x14ac:dyDescent="0.35">
      <c r="B1626" s="1953"/>
      <c r="C1626" s="1953"/>
      <c r="D1626" s="1953"/>
      <c r="E1626" s="1953"/>
      <c r="F1626" s="1953"/>
      <c r="G1626" s="1953"/>
      <c r="H1626" s="1953"/>
      <c r="I1626"/>
      <c r="J1626"/>
      <c r="K1626"/>
      <c r="L1626"/>
    </row>
    <row r="1627" spans="2:12" x14ac:dyDescent="0.35">
      <c r="B1627" s="1953"/>
      <c r="C1627" s="1953"/>
      <c r="D1627" s="1953"/>
      <c r="E1627" s="1953"/>
      <c r="F1627" s="1953"/>
      <c r="G1627" s="1953"/>
      <c r="H1627" s="1953"/>
      <c r="I1627"/>
      <c r="J1627"/>
      <c r="K1627"/>
      <c r="L1627"/>
    </row>
    <row r="1628" spans="2:12" x14ac:dyDescent="0.35">
      <c r="B1628" s="1953"/>
      <c r="C1628" s="1953"/>
      <c r="D1628" s="1953"/>
      <c r="E1628" s="1953"/>
      <c r="F1628" s="1953"/>
      <c r="G1628" s="1953"/>
      <c r="H1628" s="1953"/>
      <c r="I1628"/>
      <c r="J1628"/>
      <c r="K1628"/>
      <c r="L1628"/>
    </row>
    <row r="1629" spans="2:12" x14ac:dyDescent="0.35">
      <c r="B1629" s="1953"/>
      <c r="C1629" s="1953"/>
      <c r="D1629" s="1953"/>
      <c r="E1629" s="1953"/>
      <c r="F1629" s="1953"/>
      <c r="G1629" s="1953"/>
      <c r="H1629" s="1953"/>
      <c r="I1629"/>
      <c r="J1629"/>
      <c r="K1629"/>
      <c r="L1629"/>
    </row>
    <row r="1630" spans="2:12" x14ac:dyDescent="0.35">
      <c r="B1630" s="1953"/>
      <c r="C1630" s="1953"/>
      <c r="D1630" s="1953"/>
      <c r="E1630" s="1953"/>
      <c r="F1630" s="1953"/>
      <c r="G1630" s="1953"/>
      <c r="H1630" s="1953"/>
      <c r="I1630"/>
      <c r="J1630"/>
      <c r="K1630"/>
      <c r="L1630"/>
    </row>
    <row r="1631" spans="2:12" x14ac:dyDescent="0.35">
      <c r="B1631" s="1953"/>
      <c r="C1631" s="1953"/>
      <c r="D1631" s="1953"/>
      <c r="E1631" s="1953"/>
      <c r="F1631" s="1953"/>
      <c r="G1631" s="1953"/>
      <c r="H1631" s="1953"/>
      <c r="I1631"/>
      <c r="J1631"/>
      <c r="K1631"/>
      <c r="L1631"/>
    </row>
    <row r="1632" spans="2:12" x14ac:dyDescent="0.35">
      <c r="B1632" s="1953"/>
      <c r="C1632" s="1953"/>
      <c r="D1632" s="1953"/>
      <c r="E1632" s="1953"/>
      <c r="F1632" s="1953"/>
      <c r="G1632" s="1953"/>
      <c r="H1632" s="1953"/>
      <c r="I1632"/>
      <c r="J1632"/>
      <c r="K1632"/>
      <c r="L1632"/>
    </row>
    <row r="1633" spans="2:12" x14ac:dyDescent="0.35">
      <c r="B1633" s="1953"/>
      <c r="C1633" s="1953"/>
      <c r="D1633" s="1953"/>
      <c r="E1633" s="1953"/>
      <c r="F1633" s="1953"/>
      <c r="G1633" s="1953"/>
      <c r="H1633" s="1953"/>
      <c r="I1633"/>
      <c r="J1633"/>
      <c r="K1633"/>
      <c r="L1633"/>
    </row>
    <row r="1634" spans="2:12" x14ac:dyDescent="0.35">
      <c r="B1634" s="1953"/>
      <c r="C1634" s="1953"/>
      <c r="D1634" s="1953"/>
      <c r="E1634" s="1953"/>
      <c r="F1634" s="1953"/>
      <c r="G1634" s="1953"/>
      <c r="H1634" s="1953"/>
      <c r="I1634"/>
      <c r="J1634"/>
      <c r="K1634"/>
      <c r="L1634"/>
    </row>
    <row r="1635" spans="2:12" x14ac:dyDescent="0.35">
      <c r="B1635" s="1953"/>
      <c r="C1635" s="1953"/>
      <c r="D1635" s="1953"/>
      <c r="E1635" s="1953"/>
      <c r="F1635" s="1953"/>
      <c r="G1635" s="1953"/>
      <c r="H1635" s="1953"/>
      <c r="I1635"/>
      <c r="J1635"/>
      <c r="K1635"/>
      <c r="L1635"/>
    </row>
    <row r="1636" spans="2:12" x14ac:dyDescent="0.35">
      <c r="B1636" s="1953"/>
      <c r="C1636" s="1953"/>
      <c r="D1636" s="1953"/>
      <c r="E1636" s="1953"/>
      <c r="F1636" s="1953"/>
      <c r="G1636" s="1953"/>
      <c r="H1636" s="1953"/>
      <c r="I1636"/>
      <c r="J1636"/>
      <c r="K1636"/>
      <c r="L1636"/>
    </row>
    <row r="1637" spans="2:12" x14ac:dyDescent="0.35">
      <c r="B1637" s="1953"/>
      <c r="C1637" s="1953"/>
      <c r="D1637" s="1953"/>
      <c r="E1637" s="1953"/>
      <c r="F1637" s="1953"/>
      <c r="G1637" s="1953"/>
      <c r="H1637" s="1953"/>
      <c r="I1637"/>
      <c r="J1637"/>
      <c r="K1637"/>
      <c r="L1637"/>
    </row>
    <row r="1638" spans="2:12" x14ac:dyDescent="0.35">
      <c r="B1638" s="1953"/>
      <c r="C1638" s="1953"/>
      <c r="D1638" s="1953"/>
      <c r="E1638" s="1953"/>
      <c r="F1638" s="1953"/>
      <c r="G1638" s="1953"/>
      <c r="H1638" s="1953"/>
      <c r="I1638"/>
      <c r="J1638"/>
      <c r="K1638"/>
      <c r="L1638"/>
    </row>
    <row r="1639" spans="2:12" x14ac:dyDescent="0.35">
      <c r="B1639" s="1953"/>
      <c r="C1639" s="1953"/>
      <c r="D1639" s="1953"/>
      <c r="E1639" s="1953"/>
      <c r="F1639" s="1953"/>
      <c r="G1639" s="1953"/>
      <c r="H1639" s="1953"/>
      <c r="I1639"/>
      <c r="J1639"/>
      <c r="K1639"/>
      <c r="L1639"/>
    </row>
    <row r="1640" spans="2:12" x14ac:dyDescent="0.35">
      <c r="B1640" s="1953"/>
      <c r="C1640" s="1953"/>
      <c r="D1640" s="1953"/>
      <c r="E1640" s="1953"/>
      <c r="F1640" s="1953"/>
      <c r="G1640" s="1953"/>
      <c r="H1640" s="1953"/>
      <c r="I1640"/>
      <c r="J1640"/>
      <c r="K1640"/>
      <c r="L1640"/>
    </row>
    <row r="1641" spans="2:12" x14ac:dyDescent="0.35">
      <c r="B1641" s="1953"/>
      <c r="C1641" s="1953"/>
      <c r="D1641" s="1953"/>
      <c r="E1641" s="1953"/>
      <c r="F1641" s="1953"/>
      <c r="G1641" s="1953"/>
      <c r="H1641" s="1953"/>
      <c r="I1641"/>
      <c r="J1641"/>
      <c r="K1641"/>
      <c r="L1641"/>
    </row>
    <row r="1642" spans="2:12" x14ac:dyDescent="0.35">
      <c r="B1642" s="1953"/>
      <c r="C1642" s="1953"/>
      <c r="D1642" s="1953"/>
      <c r="E1642" s="1953"/>
      <c r="F1642" s="1953"/>
      <c r="G1642" s="1953"/>
      <c r="H1642" s="1953"/>
      <c r="I1642"/>
      <c r="J1642"/>
      <c r="K1642"/>
      <c r="L1642"/>
    </row>
    <row r="1643" spans="2:12" x14ac:dyDescent="0.35">
      <c r="B1643" s="1953"/>
      <c r="C1643" s="1953"/>
      <c r="D1643" s="1953"/>
      <c r="E1643" s="1953"/>
      <c r="F1643" s="1953"/>
      <c r="G1643" s="1953"/>
      <c r="H1643" s="1953"/>
      <c r="I1643"/>
      <c r="J1643"/>
      <c r="K1643"/>
      <c r="L1643"/>
    </row>
    <row r="1644" spans="2:12" x14ac:dyDescent="0.35">
      <c r="B1644" s="1953"/>
      <c r="C1644" s="1953"/>
      <c r="D1644" s="1953"/>
      <c r="E1644" s="1953"/>
      <c r="F1644" s="1953"/>
      <c r="G1644" s="1953"/>
      <c r="H1644" s="1953"/>
      <c r="I1644"/>
      <c r="J1644"/>
      <c r="K1644"/>
      <c r="L1644"/>
    </row>
    <row r="1645" spans="2:12" x14ac:dyDescent="0.35">
      <c r="B1645" s="1953"/>
      <c r="C1645" s="1953"/>
      <c r="D1645" s="1953"/>
      <c r="E1645" s="1953"/>
      <c r="F1645" s="1953"/>
      <c r="G1645" s="1953"/>
      <c r="H1645" s="1953"/>
      <c r="I1645"/>
      <c r="J1645"/>
      <c r="K1645"/>
      <c r="L1645"/>
    </row>
    <row r="1646" spans="2:12" x14ac:dyDescent="0.35">
      <c r="B1646" s="1953"/>
      <c r="C1646" s="1953"/>
      <c r="D1646" s="1953"/>
      <c r="E1646" s="1953"/>
      <c r="F1646" s="1953"/>
      <c r="G1646" s="1953"/>
      <c r="H1646" s="1953"/>
      <c r="I1646"/>
      <c r="J1646"/>
      <c r="K1646"/>
      <c r="L1646"/>
    </row>
    <row r="1647" spans="2:12" x14ac:dyDescent="0.35">
      <c r="B1647" s="1953"/>
      <c r="C1647" s="1953"/>
      <c r="D1647" s="1953"/>
      <c r="E1647" s="1953"/>
      <c r="F1647" s="1953"/>
      <c r="G1647" s="1953"/>
      <c r="H1647" s="1953"/>
      <c r="I1647"/>
      <c r="J1647"/>
      <c r="K1647"/>
      <c r="L1647"/>
    </row>
    <row r="1648" spans="2:12" x14ac:dyDescent="0.35">
      <c r="B1648" s="1953"/>
      <c r="C1648" s="1953"/>
      <c r="D1648" s="1953"/>
      <c r="E1648" s="1953"/>
      <c r="F1648" s="1953"/>
      <c r="G1648" s="1953"/>
      <c r="H1648" s="1953"/>
      <c r="I1648"/>
      <c r="J1648"/>
      <c r="K1648"/>
      <c r="L1648"/>
    </row>
    <row r="1649" spans="2:12" x14ac:dyDescent="0.35">
      <c r="B1649" s="1953"/>
      <c r="C1649" s="1953"/>
      <c r="D1649" s="1953"/>
      <c r="E1649" s="1953"/>
      <c r="F1649" s="1953"/>
      <c r="G1649" s="1953"/>
      <c r="H1649" s="1953"/>
      <c r="I1649"/>
      <c r="J1649"/>
      <c r="K1649"/>
      <c r="L1649"/>
    </row>
    <row r="1650" spans="2:12" x14ac:dyDescent="0.35">
      <c r="B1650" s="1953"/>
      <c r="C1650" s="1953"/>
      <c r="D1650" s="1953"/>
      <c r="E1650" s="1953"/>
      <c r="F1650" s="1953"/>
      <c r="G1650" s="1953"/>
      <c r="H1650" s="1953"/>
      <c r="I1650"/>
      <c r="J1650"/>
      <c r="K1650"/>
      <c r="L1650"/>
    </row>
    <row r="1651" spans="2:12" x14ac:dyDescent="0.35">
      <c r="B1651" s="1953"/>
      <c r="C1651" s="1953"/>
      <c r="D1651" s="1953"/>
      <c r="E1651" s="1953"/>
      <c r="F1651" s="1953"/>
      <c r="G1651" s="1953"/>
      <c r="H1651" s="1953"/>
      <c r="I1651"/>
      <c r="J1651"/>
      <c r="K1651"/>
      <c r="L1651"/>
    </row>
    <row r="1652" spans="2:12" x14ac:dyDescent="0.35">
      <c r="B1652" s="1953"/>
      <c r="C1652" s="1953"/>
      <c r="D1652" s="1953"/>
      <c r="E1652" s="1953"/>
      <c r="F1652" s="1953"/>
      <c r="G1652" s="1953"/>
      <c r="H1652" s="1953"/>
      <c r="I1652"/>
      <c r="J1652"/>
      <c r="K1652"/>
      <c r="L1652"/>
    </row>
    <row r="1653" spans="2:12" x14ac:dyDescent="0.35">
      <c r="B1653" s="1953"/>
      <c r="C1653" s="1953"/>
      <c r="D1653" s="1953"/>
      <c r="E1653" s="1953"/>
      <c r="F1653" s="1953"/>
      <c r="G1653" s="1953"/>
      <c r="H1653" s="1953"/>
      <c r="I1653"/>
      <c r="J1653"/>
      <c r="K1653"/>
      <c r="L1653"/>
    </row>
    <row r="1654" spans="2:12" x14ac:dyDescent="0.35">
      <c r="B1654" s="1953"/>
      <c r="C1654" s="1953"/>
      <c r="D1654" s="1953"/>
      <c r="E1654" s="1953"/>
      <c r="F1654" s="1953"/>
      <c r="G1654" s="1953"/>
      <c r="H1654" s="1953"/>
      <c r="I1654"/>
      <c r="J1654"/>
      <c r="K1654"/>
      <c r="L1654"/>
    </row>
    <row r="1655" spans="2:12" x14ac:dyDescent="0.35">
      <c r="B1655" s="1953"/>
      <c r="C1655" s="1953"/>
      <c r="D1655" s="1953"/>
      <c r="E1655" s="1953"/>
      <c r="F1655" s="1953"/>
      <c r="G1655" s="1953"/>
      <c r="H1655" s="1953"/>
      <c r="I1655"/>
      <c r="J1655"/>
      <c r="K1655"/>
      <c r="L1655"/>
    </row>
    <row r="1656" spans="2:12" x14ac:dyDescent="0.35">
      <c r="B1656" s="1953"/>
      <c r="C1656" s="1953"/>
      <c r="D1656" s="1953"/>
      <c r="E1656" s="1953"/>
      <c r="F1656" s="1953"/>
      <c r="G1656" s="1953"/>
      <c r="H1656" s="1953"/>
      <c r="I1656"/>
      <c r="J1656"/>
      <c r="K1656"/>
      <c r="L1656"/>
    </row>
    <row r="1657" spans="2:12" x14ac:dyDescent="0.35">
      <c r="B1657" s="1953"/>
      <c r="C1657" s="1953"/>
      <c r="D1657" s="1953"/>
      <c r="E1657" s="1953"/>
      <c r="F1657" s="1953"/>
      <c r="G1657" s="1953"/>
      <c r="H1657" s="1953"/>
      <c r="I1657"/>
      <c r="J1657"/>
      <c r="K1657"/>
      <c r="L1657"/>
    </row>
    <row r="1658" spans="2:12" x14ac:dyDescent="0.35">
      <c r="B1658" s="1953"/>
      <c r="C1658" s="1953"/>
      <c r="D1658" s="1953"/>
      <c r="E1658" s="1953"/>
      <c r="F1658" s="1953"/>
      <c r="G1658" s="1953"/>
      <c r="H1658" s="1953"/>
      <c r="I1658"/>
      <c r="J1658"/>
      <c r="K1658"/>
      <c r="L1658"/>
    </row>
    <row r="1659" spans="2:12" x14ac:dyDescent="0.35">
      <c r="B1659" s="1953"/>
      <c r="C1659" s="1953"/>
      <c r="D1659" s="1953"/>
      <c r="E1659" s="1953"/>
      <c r="F1659" s="1953"/>
      <c r="G1659" s="1953"/>
      <c r="H1659" s="1953"/>
      <c r="I1659"/>
      <c r="J1659"/>
      <c r="K1659"/>
      <c r="L1659"/>
    </row>
    <row r="1660" spans="2:12" x14ac:dyDescent="0.35">
      <c r="B1660" s="1953"/>
      <c r="C1660" s="1953"/>
      <c r="D1660" s="1953"/>
      <c r="E1660" s="1953"/>
      <c r="F1660" s="1953"/>
      <c r="G1660" s="1953"/>
      <c r="H1660" s="1953"/>
      <c r="I1660"/>
      <c r="J1660"/>
      <c r="K1660"/>
      <c r="L1660"/>
    </row>
    <row r="1661" spans="2:12" x14ac:dyDescent="0.35">
      <c r="B1661" s="1953"/>
      <c r="C1661" s="1953"/>
      <c r="D1661" s="1953"/>
      <c r="E1661" s="1953"/>
      <c r="F1661" s="1953"/>
      <c r="G1661" s="1953"/>
      <c r="H1661" s="1953"/>
      <c r="I1661"/>
      <c r="J1661"/>
      <c r="K1661"/>
      <c r="L1661"/>
    </row>
    <row r="1662" spans="2:12" x14ac:dyDescent="0.35">
      <c r="B1662" s="1953"/>
      <c r="C1662" s="1953"/>
      <c r="D1662" s="1953"/>
      <c r="E1662" s="1953"/>
      <c r="F1662" s="1953"/>
      <c r="G1662" s="1953"/>
      <c r="H1662" s="1953"/>
      <c r="I1662"/>
      <c r="J1662"/>
      <c r="K1662"/>
      <c r="L1662"/>
    </row>
    <row r="1663" spans="2:12" x14ac:dyDescent="0.35">
      <c r="B1663" s="1953"/>
      <c r="C1663" s="1953"/>
      <c r="D1663" s="1953"/>
      <c r="E1663" s="1953"/>
      <c r="F1663" s="1953"/>
      <c r="G1663" s="1953"/>
      <c r="H1663" s="1953"/>
      <c r="I1663"/>
      <c r="J1663"/>
      <c r="K1663"/>
      <c r="L1663"/>
    </row>
    <row r="1664" spans="2:12" x14ac:dyDescent="0.35">
      <c r="B1664" s="1953"/>
      <c r="C1664" s="1953"/>
      <c r="D1664" s="1953"/>
      <c r="E1664" s="1953"/>
      <c r="F1664" s="1953"/>
      <c r="G1664" s="1953"/>
      <c r="H1664" s="1953"/>
      <c r="I1664"/>
      <c r="J1664"/>
      <c r="K1664"/>
      <c r="L1664"/>
    </row>
    <row r="1665" spans="2:12" x14ac:dyDescent="0.35">
      <c r="B1665" s="1953"/>
      <c r="C1665" s="1953"/>
      <c r="D1665" s="1953"/>
      <c r="E1665" s="1953"/>
      <c r="F1665" s="1953"/>
      <c r="G1665" s="1953"/>
      <c r="H1665" s="1953"/>
      <c r="I1665"/>
      <c r="J1665"/>
      <c r="K1665"/>
      <c r="L1665"/>
    </row>
    <row r="1666" spans="2:12" x14ac:dyDescent="0.35">
      <c r="B1666" s="1953"/>
      <c r="C1666" s="1953"/>
      <c r="D1666" s="1953"/>
      <c r="E1666" s="1953"/>
      <c r="F1666" s="1953"/>
      <c r="G1666" s="1953"/>
      <c r="H1666" s="1953"/>
      <c r="I1666"/>
      <c r="J1666"/>
      <c r="K1666"/>
      <c r="L1666"/>
    </row>
    <row r="1667" spans="2:12" x14ac:dyDescent="0.35">
      <c r="B1667" s="1953"/>
      <c r="C1667" s="1953"/>
      <c r="D1667" s="1953"/>
      <c r="E1667" s="1953"/>
      <c r="F1667" s="1953"/>
      <c r="G1667" s="1953"/>
      <c r="H1667" s="1953"/>
      <c r="I1667"/>
      <c r="J1667"/>
      <c r="K1667"/>
      <c r="L1667"/>
    </row>
    <row r="1668" spans="2:12" x14ac:dyDescent="0.35">
      <c r="B1668" s="1953"/>
      <c r="C1668" s="1953"/>
      <c r="D1668" s="1953"/>
      <c r="E1668" s="1953"/>
      <c r="F1668" s="1953"/>
      <c r="G1668" s="1953"/>
      <c r="H1668" s="1953"/>
      <c r="I1668"/>
      <c r="J1668"/>
      <c r="K1668"/>
      <c r="L1668"/>
    </row>
    <row r="1669" spans="2:12" x14ac:dyDescent="0.35">
      <c r="B1669" s="1953"/>
      <c r="C1669" s="1953"/>
      <c r="D1669" s="1953"/>
      <c r="E1669" s="1953"/>
      <c r="F1669" s="1953"/>
      <c r="G1669" s="1953"/>
      <c r="H1669" s="1953"/>
      <c r="I1669"/>
      <c r="J1669"/>
      <c r="K1669"/>
      <c r="L1669"/>
    </row>
    <row r="1670" spans="2:12" x14ac:dyDescent="0.35">
      <c r="B1670" s="1953"/>
      <c r="C1670" s="1953"/>
      <c r="D1670" s="1953"/>
      <c r="E1670" s="1953"/>
      <c r="F1670" s="1953"/>
      <c r="G1670" s="1953"/>
      <c r="H1670" s="1953"/>
      <c r="I1670"/>
      <c r="J1670"/>
      <c r="K1670"/>
      <c r="L1670"/>
    </row>
    <row r="1671" spans="2:12" x14ac:dyDescent="0.35">
      <c r="B1671" s="1953"/>
      <c r="C1671" s="1953"/>
      <c r="D1671" s="1953"/>
      <c r="E1671" s="1953"/>
      <c r="F1671" s="1953"/>
      <c r="G1671" s="1953"/>
      <c r="H1671" s="1953"/>
      <c r="I1671"/>
      <c r="J1671"/>
      <c r="K1671"/>
      <c r="L1671"/>
    </row>
    <row r="1672" spans="2:12" x14ac:dyDescent="0.35">
      <c r="B1672" s="1953"/>
      <c r="C1672" s="1953"/>
      <c r="D1672" s="1953"/>
      <c r="E1672" s="1953"/>
      <c r="F1672" s="1953"/>
      <c r="G1672" s="1953"/>
      <c r="H1672" s="1953"/>
      <c r="I1672"/>
      <c r="J1672"/>
      <c r="K1672"/>
      <c r="L1672"/>
    </row>
    <row r="1673" spans="2:12" x14ac:dyDescent="0.35">
      <c r="B1673" s="1953"/>
      <c r="C1673" s="1953"/>
      <c r="D1673" s="1953"/>
      <c r="E1673" s="1953"/>
      <c r="F1673" s="1953"/>
      <c r="G1673" s="1953"/>
      <c r="H1673" s="1953"/>
      <c r="I1673"/>
      <c r="J1673"/>
      <c r="K1673"/>
      <c r="L1673"/>
    </row>
    <row r="1674" spans="2:12" x14ac:dyDescent="0.35">
      <c r="B1674" s="1953"/>
      <c r="C1674" s="1953"/>
      <c r="D1674" s="1953"/>
      <c r="E1674" s="1953"/>
      <c r="F1674" s="1953"/>
      <c r="G1674" s="1953"/>
      <c r="H1674" s="1953"/>
      <c r="I1674"/>
      <c r="J1674"/>
      <c r="K1674"/>
      <c r="L1674"/>
    </row>
    <row r="1675" spans="2:12" x14ac:dyDescent="0.35">
      <c r="B1675" s="1953"/>
      <c r="C1675" s="1953"/>
      <c r="D1675" s="1953"/>
      <c r="E1675" s="1953"/>
      <c r="F1675" s="1953"/>
      <c r="G1675" s="1953"/>
      <c r="H1675" s="1953"/>
      <c r="I1675"/>
      <c r="J1675"/>
      <c r="K1675"/>
      <c r="L1675"/>
    </row>
    <row r="1676" spans="2:12" x14ac:dyDescent="0.35">
      <c r="B1676" s="1953"/>
      <c r="C1676" s="1953"/>
      <c r="D1676" s="1953"/>
      <c r="E1676" s="1953"/>
      <c r="F1676" s="1953"/>
      <c r="G1676" s="1953"/>
      <c r="H1676" s="1953"/>
      <c r="I1676"/>
      <c r="J1676"/>
      <c r="K1676"/>
      <c r="L1676"/>
    </row>
    <row r="1677" spans="2:12" x14ac:dyDescent="0.35">
      <c r="B1677" s="1953"/>
      <c r="C1677" s="1953"/>
      <c r="D1677" s="1953"/>
      <c r="E1677" s="1953"/>
      <c r="F1677" s="1953"/>
      <c r="G1677" s="1953"/>
      <c r="H1677" s="1953"/>
      <c r="I1677"/>
      <c r="J1677"/>
      <c r="K1677"/>
      <c r="L1677"/>
    </row>
    <row r="1678" spans="2:12" x14ac:dyDescent="0.35">
      <c r="B1678" s="1953"/>
      <c r="C1678" s="1953"/>
      <c r="D1678" s="1953"/>
      <c r="E1678" s="1953"/>
      <c r="F1678" s="1953"/>
      <c r="G1678" s="1953"/>
      <c r="H1678" s="1953"/>
      <c r="I1678"/>
      <c r="J1678"/>
      <c r="K1678"/>
      <c r="L1678"/>
    </row>
    <row r="1679" spans="2:12" x14ac:dyDescent="0.35">
      <c r="B1679" s="1953"/>
      <c r="C1679" s="1953"/>
      <c r="D1679" s="1953"/>
      <c r="E1679" s="1953"/>
      <c r="F1679" s="1953"/>
      <c r="G1679" s="1953"/>
      <c r="H1679" s="1953"/>
      <c r="I1679"/>
      <c r="J1679"/>
      <c r="K1679"/>
      <c r="L1679"/>
    </row>
    <row r="1680" spans="2:12" x14ac:dyDescent="0.35">
      <c r="B1680" s="1953"/>
      <c r="C1680" s="1953"/>
      <c r="D1680" s="1953"/>
      <c r="E1680" s="1953"/>
      <c r="F1680" s="1953"/>
      <c r="G1680" s="1953"/>
      <c r="H1680" s="1953"/>
      <c r="I1680"/>
      <c r="J1680"/>
      <c r="K1680"/>
      <c r="L1680"/>
    </row>
    <row r="1681" spans="2:12" x14ac:dyDescent="0.35">
      <c r="B1681" s="1953"/>
      <c r="C1681" s="1953"/>
      <c r="D1681" s="1953"/>
      <c r="E1681" s="1953"/>
      <c r="F1681" s="1953"/>
      <c r="G1681" s="1953"/>
      <c r="H1681" s="1953"/>
      <c r="I1681"/>
      <c r="J1681"/>
      <c r="K1681"/>
      <c r="L1681"/>
    </row>
    <row r="1682" spans="2:12" x14ac:dyDescent="0.35">
      <c r="B1682" s="1953"/>
      <c r="C1682" s="1953"/>
      <c r="D1682" s="1953"/>
      <c r="E1682" s="1953"/>
      <c r="F1682" s="1953"/>
      <c r="G1682" s="1953"/>
      <c r="H1682" s="1953"/>
      <c r="I1682"/>
      <c r="J1682"/>
      <c r="K1682"/>
      <c r="L1682"/>
    </row>
    <row r="1683" spans="2:12" x14ac:dyDescent="0.35">
      <c r="B1683" s="1953"/>
      <c r="C1683" s="1953"/>
      <c r="D1683" s="1953"/>
      <c r="E1683" s="1953"/>
      <c r="F1683" s="1953"/>
      <c r="G1683" s="1953"/>
      <c r="H1683" s="1953"/>
      <c r="I1683"/>
      <c r="J1683"/>
      <c r="K1683"/>
      <c r="L1683"/>
    </row>
    <row r="1684" spans="2:12" x14ac:dyDescent="0.35">
      <c r="B1684" s="1953"/>
      <c r="C1684" s="1953"/>
      <c r="D1684" s="1953"/>
      <c r="E1684" s="1953"/>
      <c r="F1684" s="1953"/>
      <c r="G1684" s="1953"/>
      <c r="H1684" s="1953"/>
      <c r="I1684"/>
      <c r="J1684"/>
      <c r="K1684"/>
      <c r="L1684"/>
    </row>
    <row r="1685" spans="2:12" x14ac:dyDescent="0.35">
      <c r="B1685" s="1953"/>
      <c r="C1685" s="1953"/>
      <c r="D1685" s="1953"/>
      <c r="E1685" s="1953"/>
      <c r="F1685" s="1953"/>
      <c r="G1685" s="1953"/>
      <c r="H1685" s="1953"/>
      <c r="I1685"/>
      <c r="J1685"/>
      <c r="K1685"/>
      <c r="L1685"/>
    </row>
    <row r="1686" spans="2:12" x14ac:dyDescent="0.35">
      <c r="B1686" s="1953"/>
      <c r="C1686" s="1953"/>
      <c r="D1686" s="1953"/>
      <c r="E1686" s="1953"/>
      <c r="F1686" s="1953"/>
      <c r="G1686" s="1953"/>
      <c r="H1686" s="1953"/>
      <c r="I1686"/>
      <c r="J1686"/>
      <c r="K1686"/>
      <c r="L1686"/>
    </row>
    <row r="1687" spans="2:12" x14ac:dyDescent="0.35">
      <c r="B1687" s="1953"/>
      <c r="C1687" s="1953"/>
      <c r="D1687" s="1953"/>
      <c r="E1687" s="1953"/>
      <c r="F1687" s="1953"/>
      <c r="G1687" s="1953"/>
      <c r="H1687" s="1953"/>
      <c r="I1687"/>
      <c r="J1687"/>
      <c r="K1687"/>
      <c r="L1687"/>
    </row>
    <row r="1688" spans="2:12" x14ac:dyDescent="0.35">
      <c r="B1688" s="1953"/>
      <c r="C1688" s="1953"/>
      <c r="D1688" s="1953"/>
      <c r="E1688" s="1953"/>
      <c r="F1688" s="1953"/>
      <c r="G1688" s="1953"/>
      <c r="H1688" s="1953"/>
      <c r="I1688"/>
      <c r="J1688"/>
      <c r="K1688"/>
      <c r="L1688"/>
    </row>
    <row r="1689" spans="2:12" x14ac:dyDescent="0.35">
      <c r="B1689" s="1953"/>
      <c r="C1689" s="1953"/>
      <c r="D1689" s="1953"/>
      <c r="E1689" s="1953"/>
      <c r="F1689" s="1953"/>
      <c r="G1689" s="1953"/>
      <c r="H1689" s="1953"/>
      <c r="I1689"/>
      <c r="J1689"/>
      <c r="K1689"/>
      <c r="L1689"/>
    </row>
    <row r="1690" spans="2:12" x14ac:dyDescent="0.35">
      <c r="B1690" s="1953"/>
      <c r="C1690" s="1953"/>
      <c r="D1690" s="1953"/>
      <c r="E1690" s="1953"/>
      <c r="F1690" s="1953"/>
      <c r="G1690" s="1953"/>
      <c r="H1690" s="1953"/>
      <c r="I1690"/>
      <c r="J1690"/>
      <c r="K1690"/>
      <c r="L1690"/>
    </row>
    <row r="1691" spans="2:12" x14ac:dyDescent="0.35">
      <c r="B1691" s="1953"/>
      <c r="C1691" s="1953"/>
      <c r="D1691" s="1953"/>
      <c r="E1691" s="1953"/>
      <c r="F1691" s="1953"/>
      <c r="G1691" s="1953"/>
      <c r="H1691" s="1953"/>
      <c r="I1691"/>
      <c r="J1691"/>
      <c r="K1691"/>
      <c r="L1691"/>
    </row>
    <row r="1692" spans="2:12" x14ac:dyDescent="0.35">
      <c r="B1692" s="1953"/>
      <c r="C1692" s="1953"/>
      <c r="D1692" s="1953"/>
      <c r="E1692" s="1953"/>
      <c r="F1692" s="1953"/>
      <c r="G1692" s="1953"/>
      <c r="H1692" s="1953"/>
      <c r="I1692"/>
      <c r="J1692"/>
      <c r="K1692"/>
      <c r="L1692"/>
    </row>
    <row r="1693" spans="2:12" x14ac:dyDescent="0.35">
      <c r="B1693" s="1953"/>
      <c r="C1693" s="1953"/>
      <c r="D1693" s="1953"/>
      <c r="E1693" s="1953"/>
      <c r="F1693" s="1953"/>
      <c r="G1693" s="1953"/>
      <c r="H1693" s="1953"/>
      <c r="I1693"/>
      <c r="J1693"/>
      <c r="K1693"/>
      <c r="L1693"/>
    </row>
    <row r="1694" spans="2:12" x14ac:dyDescent="0.35">
      <c r="B1694" s="1953"/>
      <c r="C1694" s="1953"/>
      <c r="D1694" s="1953"/>
      <c r="E1694" s="1953"/>
      <c r="F1694" s="1953"/>
      <c r="G1694" s="1953"/>
      <c r="H1694" s="1953"/>
      <c r="I1694"/>
      <c r="J1694"/>
      <c r="K1694"/>
      <c r="L1694"/>
    </row>
    <row r="1695" spans="2:12" x14ac:dyDescent="0.35">
      <c r="B1695" s="1953"/>
      <c r="C1695" s="1953"/>
      <c r="D1695" s="1953"/>
      <c r="E1695" s="1953"/>
      <c r="F1695" s="1953"/>
      <c r="G1695" s="1953"/>
      <c r="H1695" s="1953"/>
      <c r="I1695"/>
      <c r="J1695"/>
      <c r="K1695"/>
      <c r="L1695"/>
    </row>
    <row r="1696" spans="2:12" x14ac:dyDescent="0.35">
      <c r="B1696" s="1953"/>
      <c r="C1696" s="1953"/>
      <c r="D1696" s="1953"/>
      <c r="E1696" s="1953"/>
      <c r="F1696" s="1953"/>
      <c r="G1696" s="1953"/>
      <c r="H1696" s="1953"/>
      <c r="I1696"/>
      <c r="J1696"/>
      <c r="K1696"/>
      <c r="L1696"/>
    </row>
    <row r="1697" spans="2:12" x14ac:dyDescent="0.35">
      <c r="B1697" s="1953"/>
      <c r="C1697" s="1953"/>
      <c r="D1697" s="1953"/>
      <c r="E1697" s="1953"/>
      <c r="F1697" s="1953"/>
      <c r="G1697" s="1953"/>
      <c r="H1697" s="1953"/>
      <c r="I1697"/>
      <c r="J1697"/>
      <c r="K1697"/>
      <c r="L1697"/>
    </row>
    <row r="1698" spans="2:12" x14ac:dyDescent="0.35">
      <c r="B1698" s="1953"/>
      <c r="C1698" s="1953"/>
      <c r="D1698" s="1953"/>
      <c r="E1698" s="1953"/>
      <c r="F1698" s="1953"/>
      <c r="G1698" s="1953"/>
      <c r="H1698" s="1953"/>
      <c r="I1698"/>
      <c r="J1698"/>
      <c r="K1698"/>
      <c r="L1698"/>
    </row>
    <row r="1699" spans="2:12" x14ac:dyDescent="0.35">
      <c r="B1699" s="1953"/>
      <c r="C1699" s="1953"/>
      <c r="D1699" s="1953"/>
      <c r="E1699" s="1953"/>
      <c r="F1699" s="1953"/>
      <c r="G1699" s="1953"/>
      <c r="H1699" s="1953"/>
      <c r="I1699"/>
      <c r="J1699"/>
      <c r="K1699"/>
      <c r="L1699"/>
    </row>
    <row r="1700" spans="2:12" x14ac:dyDescent="0.35">
      <c r="B1700" s="1953"/>
      <c r="C1700" s="1953"/>
      <c r="D1700" s="1953"/>
      <c r="E1700" s="1953"/>
      <c r="F1700" s="1953"/>
      <c r="G1700" s="1953"/>
      <c r="H1700" s="1953"/>
      <c r="I1700"/>
      <c r="J1700"/>
      <c r="K1700"/>
      <c r="L1700"/>
    </row>
    <row r="1701" spans="2:12" x14ac:dyDescent="0.35">
      <c r="B1701" s="1953"/>
      <c r="C1701" s="1953"/>
      <c r="D1701" s="1953"/>
      <c r="E1701" s="1953"/>
      <c r="F1701" s="1953"/>
      <c r="G1701" s="1953"/>
      <c r="H1701" s="1953"/>
      <c r="I1701"/>
      <c r="J1701"/>
      <c r="K1701"/>
      <c r="L1701"/>
    </row>
    <row r="1702" spans="2:12" x14ac:dyDescent="0.35">
      <c r="B1702" s="1953"/>
      <c r="C1702" s="1953"/>
      <c r="D1702" s="1953"/>
      <c r="E1702" s="1953"/>
      <c r="F1702" s="1953"/>
      <c r="G1702" s="1953"/>
      <c r="H1702" s="1953"/>
      <c r="I1702"/>
      <c r="J1702"/>
      <c r="K1702"/>
      <c r="L1702"/>
    </row>
    <row r="1703" spans="2:12" x14ac:dyDescent="0.35">
      <c r="B1703" s="1953"/>
      <c r="C1703" s="1953"/>
      <c r="D1703" s="1953"/>
      <c r="E1703" s="1953"/>
      <c r="F1703" s="1953"/>
      <c r="G1703" s="1953"/>
      <c r="H1703" s="1953"/>
      <c r="I1703"/>
      <c r="J1703"/>
      <c r="K1703"/>
      <c r="L1703"/>
    </row>
    <row r="1704" spans="2:12" x14ac:dyDescent="0.35">
      <c r="B1704" s="1953"/>
      <c r="C1704" s="1953"/>
      <c r="D1704" s="1953"/>
      <c r="E1704" s="1953"/>
      <c r="F1704" s="1953"/>
      <c r="G1704" s="1953"/>
      <c r="H1704" s="1953"/>
      <c r="I1704"/>
      <c r="J1704"/>
      <c r="K1704"/>
      <c r="L1704"/>
    </row>
    <row r="1705" spans="2:12" x14ac:dyDescent="0.35">
      <c r="B1705" s="1953"/>
      <c r="C1705" s="1953"/>
      <c r="D1705" s="1953"/>
      <c r="E1705" s="1953"/>
      <c r="F1705" s="1953"/>
      <c r="G1705" s="1953"/>
      <c r="H1705" s="1953"/>
      <c r="I1705"/>
      <c r="J1705"/>
      <c r="K1705"/>
      <c r="L1705"/>
    </row>
    <row r="1706" spans="2:12" x14ac:dyDescent="0.35">
      <c r="B1706" s="1953"/>
      <c r="C1706" s="1953"/>
      <c r="D1706" s="1953"/>
      <c r="E1706" s="1953"/>
      <c r="F1706" s="1953"/>
      <c r="G1706" s="1953"/>
      <c r="H1706" s="1953"/>
      <c r="I1706"/>
      <c r="J1706"/>
      <c r="K1706"/>
      <c r="L1706"/>
    </row>
    <row r="1707" spans="2:12" x14ac:dyDescent="0.35">
      <c r="B1707" s="1953"/>
      <c r="C1707" s="1953"/>
      <c r="D1707" s="1953"/>
      <c r="E1707" s="1953"/>
      <c r="F1707" s="1953"/>
      <c r="G1707" s="1953"/>
      <c r="H1707" s="1953"/>
      <c r="I1707"/>
      <c r="J1707"/>
      <c r="K1707"/>
      <c r="L1707"/>
    </row>
    <row r="1708" spans="2:12" x14ac:dyDescent="0.35">
      <c r="B1708" s="1953"/>
      <c r="C1708" s="1953"/>
      <c r="D1708" s="1953"/>
      <c r="E1708" s="1953"/>
      <c r="F1708" s="1953"/>
      <c r="G1708" s="1953"/>
      <c r="H1708" s="1953"/>
      <c r="I1708"/>
      <c r="J1708"/>
      <c r="K1708"/>
      <c r="L1708"/>
    </row>
    <row r="1709" spans="2:12" x14ac:dyDescent="0.35">
      <c r="B1709" s="1953"/>
      <c r="C1709" s="1953"/>
      <c r="D1709" s="1953"/>
      <c r="E1709" s="1953"/>
      <c r="F1709" s="1953"/>
      <c r="G1709" s="1953"/>
      <c r="H1709" s="1953"/>
      <c r="I1709"/>
      <c r="J1709"/>
      <c r="K1709"/>
      <c r="L1709"/>
    </row>
    <row r="1710" spans="2:12" x14ac:dyDescent="0.35">
      <c r="B1710" s="1953"/>
      <c r="C1710" s="1953"/>
      <c r="D1710" s="1953"/>
      <c r="E1710" s="1953"/>
      <c r="F1710" s="1953"/>
      <c r="G1710" s="1953"/>
      <c r="H1710" s="1953"/>
      <c r="I1710"/>
      <c r="J1710"/>
      <c r="K1710"/>
      <c r="L1710"/>
    </row>
    <row r="1711" spans="2:12" x14ac:dyDescent="0.35">
      <c r="B1711" s="1953"/>
      <c r="C1711" s="1953"/>
      <c r="D1711" s="1953"/>
      <c r="E1711" s="1953"/>
      <c r="F1711" s="1953"/>
      <c r="G1711" s="1953"/>
      <c r="H1711" s="1953"/>
      <c r="I1711"/>
      <c r="J1711"/>
      <c r="K1711"/>
      <c r="L1711"/>
    </row>
    <row r="1712" spans="2:12" x14ac:dyDescent="0.35">
      <c r="B1712" s="1953"/>
      <c r="C1712" s="1953"/>
      <c r="D1712" s="1953"/>
      <c r="E1712" s="1953"/>
      <c r="F1712" s="1953"/>
      <c r="G1712" s="1953"/>
      <c r="H1712" s="1953"/>
      <c r="I1712"/>
      <c r="J1712"/>
      <c r="K1712"/>
      <c r="L1712"/>
    </row>
    <row r="1713" spans="2:12" x14ac:dyDescent="0.35">
      <c r="B1713" s="1953"/>
      <c r="C1713" s="1953"/>
      <c r="D1713" s="1953"/>
      <c r="E1713" s="1953"/>
      <c r="F1713" s="1953"/>
      <c r="G1713" s="1953"/>
      <c r="H1713" s="1953"/>
      <c r="I1713"/>
      <c r="J1713"/>
      <c r="K1713"/>
      <c r="L1713"/>
    </row>
    <row r="1714" spans="2:12" x14ac:dyDescent="0.35">
      <c r="B1714" s="1953"/>
      <c r="C1714" s="1953"/>
      <c r="D1714" s="1953"/>
      <c r="E1714" s="1953"/>
      <c r="F1714" s="1953"/>
      <c r="G1714" s="1953"/>
      <c r="H1714" s="1953"/>
      <c r="I1714"/>
      <c r="J1714"/>
      <c r="K1714"/>
      <c r="L1714"/>
    </row>
    <row r="1715" spans="2:12" x14ac:dyDescent="0.35">
      <c r="B1715" s="1953"/>
      <c r="C1715" s="1953"/>
      <c r="D1715" s="1953"/>
      <c r="E1715" s="1953"/>
      <c r="F1715" s="1953"/>
      <c r="G1715" s="1953"/>
      <c r="H1715" s="1953"/>
      <c r="I1715"/>
      <c r="J1715"/>
      <c r="K1715"/>
      <c r="L1715"/>
    </row>
    <row r="1716" spans="2:12" x14ac:dyDescent="0.35">
      <c r="B1716" s="1953"/>
      <c r="C1716" s="1953"/>
      <c r="D1716" s="1953"/>
      <c r="E1716" s="1953"/>
      <c r="F1716" s="1953"/>
      <c r="G1716" s="1953"/>
      <c r="H1716" s="1953"/>
      <c r="I1716"/>
      <c r="J1716"/>
      <c r="K1716"/>
      <c r="L1716"/>
    </row>
    <row r="1717" spans="2:12" x14ac:dyDescent="0.35">
      <c r="B1717" s="1953"/>
      <c r="C1717" s="1953"/>
      <c r="D1717" s="1953"/>
      <c r="E1717" s="1953"/>
      <c r="F1717" s="1953"/>
      <c r="G1717" s="1953"/>
      <c r="H1717" s="1953"/>
      <c r="I1717"/>
      <c r="J1717"/>
      <c r="K1717"/>
      <c r="L1717"/>
    </row>
    <row r="1718" spans="2:12" x14ac:dyDescent="0.35">
      <c r="B1718" s="1953"/>
      <c r="C1718" s="1953"/>
      <c r="D1718" s="1953"/>
      <c r="E1718" s="1953"/>
      <c r="F1718" s="1953"/>
      <c r="G1718" s="1953"/>
      <c r="H1718" s="1953"/>
      <c r="I1718"/>
      <c r="J1718"/>
      <c r="K1718"/>
      <c r="L1718"/>
    </row>
    <row r="1719" spans="2:12" x14ac:dyDescent="0.35">
      <c r="B1719" s="1953"/>
      <c r="C1719" s="1953"/>
      <c r="D1719" s="1953"/>
      <c r="E1719" s="1953"/>
      <c r="F1719" s="1953"/>
      <c r="G1719" s="1953"/>
      <c r="H1719" s="1953"/>
      <c r="I1719"/>
      <c r="J1719"/>
      <c r="K1719"/>
      <c r="L1719"/>
    </row>
    <row r="1720" spans="2:12" x14ac:dyDescent="0.35">
      <c r="B1720" s="1953"/>
      <c r="C1720" s="1953"/>
      <c r="D1720" s="1953"/>
      <c r="E1720" s="1953"/>
      <c r="F1720" s="1953"/>
      <c r="G1720" s="1953"/>
      <c r="H1720" s="1953"/>
      <c r="I1720"/>
      <c r="J1720"/>
      <c r="K1720"/>
      <c r="L1720"/>
    </row>
    <row r="1721" spans="2:12" x14ac:dyDescent="0.35">
      <c r="B1721" s="1953"/>
      <c r="C1721" s="1953"/>
      <c r="D1721" s="1953"/>
      <c r="E1721" s="1953"/>
      <c r="F1721" s="1953"/>
      <c r="G1721" s="1953"/>
      <c r="H1721" s="1953"/>
      <c r="I1721"/>
      <c r="J1721"/>
      <c r="K1721"/>
      <c r="L1721"/>
    </row>
    <row r="1722" spans="2:12" x14ac:dyDescent="0.35">
      <c r="B1722" s="1953"/>
      <c r="C1722" s="1953"/>
      <c r="D1722" s="1953"/>
      <c r="E1722" s="1953"/>
      <c r="F1722" s="1953"/>
      <c r="G1722" s="1953"/>
      <c r="H1722" s="1953"/>
      <c r="I1722"/>
      <c r="J1722"/>
      <c r="K1722"/>
      <c r="L1722"/>
    </row>
    <row r="1723" spans="2:12" x14ac:dyDescent="0.35">
      <c r="B1723" s="1953"/>
      <c r="C1723" s="1953"/>
      <c r="D1723" s="1953"/>
      <c r="E1723" s="1953"/>
      <c r="F1723" s="1953"/>
      <c r="G1723" s="1953"/>
      <c r="H1723" s="1953"/>
      <c r="I1723"/>
      <c r="J1723"/>
      <c r="K1723"/>
      <c r="L1723"/>
    </row>
    <row r="1724" spans="2:12" x14ac:dyDescent="0.35">
      <c r="B1724" s="1953"/>
      <c r="C1724" s="1953"/>
      <c r="D1724" s="1953"/>
      <c r="E1724" s="1953"/>
      <c r="F1724" s="1953"/>
      <c r="G1724" s="1953"/>
      <c r="H1724" s="1953"/>
      <c r="I1724"/>
      <c r="J1724"/>
      <c r="K1724"/>
      <c r="L1724"/>
    </row>
    <row r="1725" spans="2:12" x14ac:dyDescent="0.35">
      <c r="B1725" s="1953"/>
      <c r="C1725" s="1953"/>
      <c r="D1725" s="1953"/>
      <c r="E1725" s="1953"/>
      <c r="F1725" s="1953"/>
      <c r="G1725" s="1953"/>
      <c r="H1725" s="1953"/>
      <c r="I1725"/>
      <c r="J1725"/>
      <c r="K1725"/>
      <c r="L1725"/>
    </row>
    <row r="1726" spans="2:12" x14ac:dyDescent="0.35">
      <c r="B1726" s="1953"/>
      <c r="C1726" s="1953"/>
      <c r="D1726" s="1953"/>
      <c r="E1726" s="1953"/>
      <c r="F1726" s="1953"/>
      <c r="G1726" s="1953"/>
      <c r="H1726" s="1953"/>
      <c r="I1726"/>
      <c r="J1726"/>
      <c r="K1726"/>
      <c r="L1726"/>
    </row>
    <row r="1727" spans="2:12" x14ac:dyDescent="0.35">
      <c r="B1727" s="1953"/>
      <c r="C1727" s="1953"/>
      <c r="D1727" s="1953"/>
      <c r="E1727" s="1953"/>
      <c r="F1727" s="1953"/>
      <c r="G1727" s="1953"/>
      <c r="H1727" s="1953"/>
      <c r="I1727"/>
      <c r="J1727"/>
      <c r="K1727"/>
      <c r="L1727"/>
    </row>
    <row r="1728" spans="2:12" x14ac:dyDescent="0.35">
      <c r="B1728" s="1953"/>
      <c r="C1728" s="1953"/>
      <c r="D1728" s="1953"/>
      <c r="E1728" s="1953"/>
      <c r="F1728" s="1953"/>
      <c r="G1728" s="1953"/>
      <c r="H1728" s="1953"/>
      <c r="I1728"/>
      <c r="J1728"/>
      <c r="K1728"/>
      <c r="L1728"/>
    </row>
    <row r="1729" spans="2:12" x14ac:dyDescent="0.35">
      <c r="B1729" s="1953"/>
      <c r="C1729" s="1953"/>
      <c r="D1729" s="1953"/>
      <c r="E1729" s="1953"/>
      <c r="F1729" s="1953"/>
      <c r="G1729" s="1953"/>
      <c r="H1729" s="1953"/>
      <c r="I1729"/>
      <c r="J1729"/>
      <c r="K1729"/>
      <c r="L1729"/>
    </row>
    <row r="1730" spans="2:12" x14ac:dyDescent="0.35">
      <c r="B1730" s="1953"/>
      <c r="C1730" s="1953"/>
      <c r="D1730" s="1953"/>
      <c r="E1730" s="1953"/>
      <c r="F1730" s="1953"/>
      <c r="G1730" s="1953"/>
      <c r="H1730" s="1953"/>
      <c r="I1730"/>
      <c r="J1730"/>
      <c r="K1730"/>
      <c r="L1730"/>
    </row>
    <row r="1731" spans="2:12" x14ac:dyDescent="0.35">
      <c r="B1731" s="1953"/>
      <c r="C1731" s="1953"/>
      <c r="D1731" s="1953"/>
      <c r="E1731" s="1953"/>
      <c r="F1731" s="1953"/>
      <c r="G1731" s="1953"/>
      <c r="H1731" s="1953"/>
      <c r="I1731"/>
      <c r="J1731"/>
      <c r="K1731"/>
      <c r="L1731"/>
    </row>
    <row r="1732" spans="2:12" x14ac:dyDescent="0.35">
      <c r="B1732" s="1953"/>
      <c r="C1732" s="1953"/>
      <c r="D1732" s="1953"/>
      <c r="E1732" s="1953"/>
      <c r="F1732" s="1953"/>
      <c r="G1732" s="1953"/>
      <c r="H1732" s="1953"/>
      <c r="I1732"/>
      <c r="J1732"/>
      <c r="K1732"/>
      <c r="L1732"/>
    </row>
    <row r="1733" spans="2:12" x14ac:dyDescent="0.35">
      <c r="B1733" s="1953"/>
      <c r="C1733" s="1953"/>
      <c r="D1733" s="1953"/>
      <c r="E1733" s="1953"/>
      <c r="F1733" s="1953"/>
      <c r="G1733" s="1953"/>
      <c r="H1733" s="1953"/>
      <c r="I1733"/>
      <c r="J1733"/>
      <c r="K1733"/>
      <c r="L1733"/>
    </row>
    <row r="1734" spans="2:12" x14ac:dyDescent="0.35">
      <c r="B1734" s="1953"/>
      <c r="C1734" s="1953"/>
      <c r="D1734" s="1953"/>
      <c r="E1734" s="1953"/>
      <c r="F1734" s="1953"/>
      <c r="G1734" s="1953"/>
      <c r="H1734" s="1953"/>
      <c r="I1734"/>
      <c r="J1734"/>
      <c r="K1734"/>
      <c r="L1734"/>
    </row>
    <row r="1735" spans="2:12" x14ac:dyDescent="0.35">
      <c r="B1735" s="1953"/>
      <c r="C1735" s="1953"/>
      <c r="D1735" s="1953"/>
      <c r="E1735" s="1953"/>
      <c r="F1735" s="1953"/>
      <c r="G1735" s="1953"/>
      <c r="H1735" s="1953"/>
      <c r="I1735"/>
      <c r="J1735"/>
      <c r="K1735"/>
      <c r="L1735"/>
    </row>
    <row r="1736" spans="2:12" x14ac:dyDescent="0.35">
      <c r="B1736" s="1953"/>
      <c r="C1736" s="1953"/>
      <c r="D1736" s="1953"/>
      <c r="E1736" s="1953"/>
      <c r="F1736" s="1953"/>
      <c r="G1736" s="1953"/>
      <c r="H1736" s="1953"/>
      <c r="I1736"/>
      <c r="J1736"/>
      <c r="K1736"/>
      <c r="L1736"/>
    </row>
    <row r="1737" spans="2:12" x14ac:dyDescent="0.35">
      <c r="B1737" s="1953"/>
      <c r="C1737" s="1953"/>
      <c r="D1737" s="1953"/>
      <c r="E1737" s="1953"/>
      <c r="F1737" s="1953"/>
      <c r="G1737" s="1953"/>
      <c r="H1737" s="1953"/>
      <c r="I1737"/>
      <c r="J1737"/>
      <c r="K1737"/>
      <c r="L1737"/>
    </row>
    <row r="1738" spans="2:12" x14ac:dyDescent="0.35">
      <c r="B1738" s="1953"/>
      <c r="C1738" s="1953"/>
      <c r="D1738" s="1953"/>
      <c r="E1738" s="1953"/>
      <c r="F1738" s="1953"/>
      <c r="G1738" s="1953"/>
      <c r="H1738" s="1953"/>
      <c r="I1738"/>
      <c r="J1738"/>
      <c r="K1738"/>
      <c r="L1738"/>
    </row>
    <row r="1739" spans="2:12" x14ac:dyDescent="0.35">
      <c r="B1739" s="1953"/>
      <c r="C1739" s="1953"/>
      <c r="D1739" s="1953"/>
      <c r="E1739" s="1953"/>
      <c r="F1739" s="1953"/>
      <c r="G1739" s="1953"/>
      <c r="H1739" s="1953"/>
      <c r="I1739"/>
      <c r="J1739"/>
      <c r="K1739"/>
      <c r="L1739"/>
    </row>
    <row r="1740" spans="2:12" x14ac:dyDescent="0.35">
      <c r="B1740" s="1953"/>
      <c r="C1740" s="1953"/>
      <c r="D1740" s="1953"/>
      <c r="E1740" s="1953"/>
      <c r="F1740" s="1953"/>
      <c r="G1740" s="1953"/>
      <c r="H1740" s="1953"/>
      <c r="I1740"/>
      <c r="J1740"/>
      <c r="K1740"/>
      <c r="L1740"/>
    </row>
    <row r="1741" spans="2:12" x14ac:dyDescent="0.35">
      <c r="B1741" s="1953"/>
      <c r="C1741" s="1953"/>
      <c r="D1741" s="1953"/>
      <c r="E1741" s="1953"/>
      <c r="F1741" s="1953"/>
      <c r="G1741" s="1953"/>
      <c r="H1741" s="1953"/>
      <c r="I1741"/>
      <c r="J1741"/>
      <c r="K1741"/>
      <c r="L1741"/>
    </row>
    <row r="1742" spans="2:12" x14ac:dyDescent="0.35">
      <c r="B1742" s="1953"/>
      <c r="C1742" s="1953"/>
      <c r="D1742" s="1953"/>
      <c r="E1742" s="1953"/>
      <c r="F1742" s="1953"/>
      <c r="G1742" s="1953"/>
      <c r="H1742" s="1953"/>
      <c r="I1742"/>
      <c r="J1742"/>
      <c r="K1742"/>
      <c r="L1742"/>
    </row>
    <row r="1743" spans="2:12" x14ac:dyDescent="0.35">
      <c r="B1743" s="1953"/>
      <c r="C1743" s="1953"/>
      <c r="D1743" s="1953"/>
      <c r="E1743" s="1953"/>
      <c r="F1743" s="1953"/>
      <c r="G1743" s="1953"/>
      <c r="H1743" s="1953"/>
      <c r="I1743"/>
      <c r="J1743"/>
      <c r="K1743"/>
      <c r="L1743"/>
    </row>
    <row r="1744" spans="2:12" x14ac:dyDescent="0.35">
      <c r="B1744" s="1953"/>
      <c r="C1744" s="1953"/>
      <c r="D1744" s="1953"/>
      <c r="E1744" s="1953"/>
      <c r="F1744" s="1953"/>
      <c r="G1744" s="1953"/>
      <c r="H1744" s="1953"/>
      <c r="I1744"/>
      <c r="J1744"/>
      <c r="K1744"/>
      <c r="L1744"/>
    </row>
    <row r="1745" spans="2:12" x14ac:dyDescent="0.35">
      <c r="B1745" s="1953"/>
      <c r="C1745" s="1953"/>
      <c r="D1745" s="1953"/>
      <c r="E1745" s="1953"/>
      <c r="F1745" s="1953"/>
      <c r="G1745" s="1953"/>
      <c r="H1745" s="1953"/>
      <c r="I1745"/>
      <c r="J1745"/>
      <c r="K1745"/>
      <c r="L1745"/>
    </row>
    <row r="1746" spans="2:12" x14ac:dyDescent="0.35">
      <c r="B1746" s="1953"/>
      <c r="C1746" s="1953"/>
      <c r="D1746" s="1953"/>
      <c r="E1746" s="1953"/>
      <c r="F1746" s="1953"/>
      <c r="G1746" s="1953"/>
      <c r="H1746" s="1953"/>
      <c r="I1746"/>
      <c r="J1746"/>
      <c r="K1746"/>
      <c r="L1746"/>
    </row>
    <row r="1747" spans="2:12" x14ac:dyDescent="0.35">
      <c r="B1747" s="1953"/>
      <c r="C1747" s="1953"/>
      <c r="D1747" s="1953"/>
      <c r="E1747" s="1953"/>
      <c r="F1747" s="1953"/>
      <c r="G1747" s="1953"/>
      <c r="H1747" s="1953"/>
      <c r="I1747"/>
      <c r="J1747"/>
      <c r="K1747"/>
      <c r="L1747"/>
    </row>
    <row r="1748" spans="2:12" x14ac:dyDescent="0.35">
      <c r="B1748" s="1953"/>
      <c r="C1748" s="1953"/>
      <c r="D1748" s="1953"/>
      <c r="E1748" s="1953"/>
      <c r="F1748" s="1953"/>
      <c r="G1748" s="1953"/>
      <c r="H1748" s="1953"/>
      <c r="I1748"/>
      <c r="J1748"/>
      <c r="K1748"/>
      <c r="L1748"/>
    </row>
    <row r="1749" spans="2:12" x14ac:dyDescent="0.35">
      <c r="B1749" s="1953"/>
      <c r="C1749" s="1953"/>
      <c r="D1749" s="1953"/>
      <c r="E1749" s="1953"/>
      <c r="F1749" s="1953"/>
      <c r="G1749" s="1953"/>
      <c r="H1749" s="1953"/>
      <c r="I1749"/>
      <c r="J1749"/>
      <c r="K1749"/>
      <c r="L1749"/>
    </row>
    <row r="1750" spans="2:12" x14ac:dyDescent="0.35">
      <c r="B1750" s="1953"/>
      <c r="C1750" s="1953"/>
      <c r="D1750" s="1953"/>
      <c r="E1750" s="1953"/>
      <c r="F1750" s="1953"/>
      <c r="G1750" s="1953"/>
      <c r="H1750" s="1953"/>
      <c r="I1750"/>
      <c r="J1750"/>
      <c r="K1750"/>
      <c r="L1750"/>
    </row>
    <row r="1751" spans="2:12" x14ac:dyDescent="0.35">
      <c r="B1751" s="1953"/>
      <c r="C1751" s="1953"/>
      <c r="D1751" s="1953"/>
      <c r="E1751" s="1953"/>
      <c r="F1751" s="1953"/>
      <c r="G1751" s="1953"/>
      <c r="H1751" s="1953"/>
      <c r="I1751"/>
      <c r="J1751"/>
      <c r="K1751"/>
      <c r="L1751"/>
    </row>
    <row r="1752" spans="2:12" x14ac:dyDescent="0.35">
      <c r="B1752" s="1953"/>
      <c r="C1752" s="1953"/>
      <c r="D1752" s="1953"/>
      <c r="E1752" s="1953"/>
      <c r="F1752" s="1953"/>
      <c r="G1752" s="1953"/>
      <c r="H1752" s="1953"/>
      <c r="I1752"/>
      <c r="J1752"/>
      <c r="K1752"/>
      <c r="L1752"/>
    </row>
    <row r="1753" spans="2:12" x14ac:dyDescent="0.35">
      <c r="B1753" s="1953"/>
      <c r="C1753" s="1953"/>
      <c r="D1753" s="1953"/>
      <c r="E1753" s="1953"/>
      <c r="F1753" s="1953"/>
      <c r="G1753" s="1953"/>
      <c r="H1753" s="1953"/>
      <c r="I1753"/>
      <c r="J1753"/>
      <c r="K1753"/>
      <c r="L1753"/>
    </row>
    <row r="1754" spans="2:12" x14ac:dyDescent="0.35">
      <c r="B1754" s="1953"/>
      <c r="C1754" s="1953"/>
      <c r="D1754" s="1953"/>
      <c r="E1754" s="1953"/>
      <c r="F1754" s="1953"/>
      <c r="G1754" s="1953"/>
      <c r="H1754" s="1953"/>
      <c r="I1754"/>
      <c r="J1754"/>
      <c r="K1754"/>
      <c r="L1754"/>
    </row>
    <row r="1755" spans="2:12" x14ac:dyDescent="0.35">
      <c r="B1755" s="1953"/>
      <c r="C1755" s="1953"/>
      <c r="D1755" s="1953"/>
      <c r="E1755" s="1953"/>
      <c r="F1755" s="1953"/>
      <c r="G1755" s="1953"/>
      <c r="H1755" s="1953"/>
      <c r="I1755"/>
      <c r="J1755"/>
      <c r="K1755"/>
      <c r="L1755"/>
    </row>
    <row r="1756" spans="2:12" x14ac:dyDescent="0.35">
      <c r="B1756" s="1953"/>
      <c r="C1756" s="1953"/>
      <c r="D1756" s="1953"/>
      <c r="E1756" s="1953"/>
      <c r="F1756" s="1953"/>
      <c r="G1756" s="1953"/>
      <c r="H1756" s="1953"/>
      <c r="I1756"/>
      <c r="J1756"/>
      <c r="K1756"/>
      <c r="L1756"/>
    </row>
    <row r="1757" spans="2:12" x14ac:dyDescent="0.35">
      <c r="B1757" s="1953"/>
      <c r="C1757" s="1953"/>
      <c r="D1757" s="1953"/>
      <c r="E1757" s="1953"/>
      <c r="F1757" s="1953"/>
      <c r="G1757" s="1953"/>
      <c r="H1757" s="1953"/>
      <c r="I1757"/>
      <c r="J1757"/>
      <c r="K1757"/>
      <c r="L1757"/>
    </row>
    <row r="1758" spans="2:12" x14ac:dyDescent="0.35">
      <c r="B1758" s="1953"/>
      <c r="C1758" s="1953"/>
      <c r="D1758" s="1953"/>
      <c r="E1758" s="1953"/>
      <c r="F1758" s="1953"/>
      <c r="G1758" s="1953"/>
      <c r="H1758" s="1953"/>
      <c r="I1758"/>
      <c r="J1758"/>
      <c r="K1758"/>
      <c r="L1758"/>
    </row>
    <row r="1759" spans="2:12" x14ac:dyDescent="0.35">
      <c r="B1759" s="1953"/>
      <c r="C1759" s="1953"/>
      <c r="D1759" s="1953"/>
      <c r="E1759" s="1953"/>
      <c r="F1759" s="1953"/>
      <c r="G1759" s="1953"/>
      <c r="H1759" s="1953"/>
      <c r="I1759"/>
      <c r="J1759"/>
      <c r="K1759"/>
      <c r="L1759"/>
    </row>
    <row r="1760" spans="2:12" x14ac:dyDescent="0.35">
      <c r="B1760" s="1953"/>
      <c r="C1760" s="1953"/>
      <c r="D1760" s="1953"/>
      <c r="E1760" s="1953"/>
      <c r="F1760" s="1953"/>
      <c r="G1760" s="1953"/>
      <c r="H1760" s="1953"/>
      <c r="I1760"/>
      <c r="J1760"/>
      <c r="K1760"/>
      <c r="L1760"/>
    </row>
    <row r="1761" spans="2:12" x14ac:dyDescent="0.35">
      <c r="B1761" s="1953"/>
      <c r="C1761" s="1953"/>
      <c r="D1761" s="1953"/>
      <c r="E1761" s="1953"/>
      <c r="F1761" s="1953"/>
      <c r="G1761" s="1953"/>
      <c r="H1761" s="1953"/>
      <c r="I1761"/>
      <c r="J1761"/>
      <c r="K1761"/>
      <c r="L1761"/>
    </row>
    <row r="1762" spans="2:12" x14ac:dyDescent="0.35">
      <c r="B1762" s="1953"/>
      <c r="C1762" s="1953"/>
      <c r="D1762" s="1953"/>
      <c r="E1762" s="1953"/>
      <c r="F1762" s="1953"/>
      <c r="G1762" s="1953"/>
      <c r="H1762" s="1953"/>
      <c r="I1762"/>
      <c r="J1762"/>
      <c r="K1762"/>
      <c r="L1762"/>
    </row>
    <row r="1763" spans="2:12" x14ac:dyDescent="0.35">
      <c r="B1763" s="1953"/>
      <c r="C1763" s="1953"/>
      <c r="D1763" s="1953"/>
      <c r="E1763" s="1953"/>
      <c r="F1763" s="1953"/>
      <c r="G1763" s="1953"/>
      <c r="H1763" s="1953"/>
      <c r="I1763"/>
      <c r="J1763"/>
      <c r="K1763"/>
      <c r="L1763"/>
    </row>
    <row r="1764" spans="2:12" x14ac:dyDescent="0.35">
      <c r="B1764" s="1953"/>
      <c r="C1764" s="1953"/>
      <c r="D1764" s="1953"/>
      <c r="E1764" s="1953"/>
      <c r="F1764" s="1953"/>
      <c r="G1764" s="1953"/>
      <c r="H1764" s="1953"/>
      <c r="I1764"/>
      <c r="J1764"/>
      <c r="K1764"/>
      <c r="L1764"/>
    </row>
    <row r="1765" spans="2:12" x14ac:dyDescent="0.35">
      <c r="B1765" s="1953"/>
      <c r="C1765" s="1953"/>
      <c r="D1765" s="1953"/>
      <c r="E1765" s="1953"/>
      <c r="F1765" s="1953"/>
      <c r="G1765" s="1953"/>
      <c r="H1765" s="1953"/>
      <c r="I1765"/>
      <c r="J1765"/>
      <c r="K1765"/>
      <c r="L1765"/>
    </row>
    <row r="1766" spans="2:12" x14ac:dyDescent="0.35">
      <c r="B1766" s="1953"/>
      <c r="C1766" s="1953"/>
      <c r="D1766" s="1953"/>
      <c r="E1766" s="1953"/>
      <c r="F1766" s="1953"/>
      <c r="G1766" s="1953"/>
      <c r="H1766" s="1953"/>
      <c r="I1766"/>
      <c r="J1766"/>
      <c r="K1766"/>
      <c r="L1766"/>
    </row>
    <row r="1767" spans="2:12" x14ac:dyDescent="0.35">
      <c r="B1767" s="1953"/>
      <c r="C1767" s="1953"/>
      <c r="D1767" s="1953"/>
      <c r="E1767" s="1953"/>
      <c r="F1767" s="1953"/>
      <c r="G1767" s="1953"/>
      <c r="H1767" s="1953"/>
      <c r="I1767"/>
      <c r="J1767"/>
      <c r="K1767"/>
      <c r="L1767"/>
    </row>
    <row r="1768" spans="2:12" x14ac:dyDescent="0.35">
      <c r="B1768" s="1953"/>
      <c r="C1768" s="1953"/>
      <c r="D1768" s="1953"/>
      <c r="E1768" s="1953"/>
      <c r="F1768" s="1953"/>
      <c r="G1768" s="1953"/>
      <c r="H1768" s="1953"/>
      <c r="I1768"/>
      <c r="J1768"/>
      <c r="K1768"/>
      <c r="L1768"/>
    </row>
    <row r="1769" spans="2:12" x14ac:dyDescent="0.35">
      <c r="B1769" s="1953"/>
      <c r="C1769" s="1953"/>
      <c r="D1769" s="1953"/>
      <c r="E1769" s="1953"/>
      <c r="F1769" s="1953"/>
      <c r="G1769" s="1953"/>
      <c r="H1769" s="1953"/>
      <c r="I1769"/>
      <c r="J1769"/>
      <c r="K1769"/>
      <c r="L1769"/>
    </row>
    <row r="1770" spans="2:12" x14ac:dyDescent="0.35">
      <c r="B1770" s="1953"/>
      <c r="C1770" s="1953"/>
      <c r="D1770" s="1953"/>
      <c r="E1770" s="1953"/>
      <c r="F1770" s="1953"/>
      <c r="G1770" s="1953"/>
      <c r="H1770" s="1953"/>
      <c r="I1770"/>
      <c r="J1770"/>
      <c r="K1770"/>
      <c r="L1770"/>
    </row>
    <row r="1771" spans="2:12" x14ac:dyDescent="0.35">
      <c r="B1771" s="1953"/>
      <c r="C1771" s="1953"/>
      <c r="D1771" s="1953"/>
      <c r="E1771" s="1953"/>
      <c r="F1771" s="1953"/>
      <c r="G1771" s="1953"/>
      <c r="H1771" s="1953"/>
      <c r="I1771"/>
      <c r="J1771"/>
      <c r="K1771"/>
      <c r="L1771"/>
    </row>
    <row r="1772" spans="2:12" x14ac:dyDescent="0.35">
      <c r="B1772" s="1953"/>
      <c r="C1772" s="1953"/>
      <c r="D1772" s="1953"/>
      <c r="E1772" s="1953"/>
      <c r="F1772" s="1953"/>
      <c r="G1772" s="1953"/>
      <c r="H1772" s="1953"/>
      <c r="I1772"/>
      <c r="J1772"/>
      <c r="K1772"/>
      <c r="L1772"/>
    </row>
    <row r="1773" spans="2:12" x14ac:dyDescent="0.35">
      <c r="B1773" s="1953"/>
      <c r="C1773" s="1953"/>
      <c r="D1773" s="1953"/>
      <c r="E1773" s="1953"/>
      <c r="F1773" s="1953"/>
      <c r="G1773" s="1953"/>
      <c r="H1773" s="1953"/>
      <c r="I1773"/>
      <c r="J1773"/>
      <c r="K1773"/>
      <c r="L1773"/>
    </row>
    <row r="1774" spans="2:12" x14ac:dyDescent="0.35">
      <c r="B1774" s="1953"/>
      <c r="C1774" s="1953"/>
      <c r="D1774" s="1953"/>
      <c r="E1774" s="1953"/>
      <c r="F1774" s="1953"/>
      <c r="G1774" s="1953"/>
      <c r="H1774" s="1953"/>
      <c r="I1774"/>
      <c r="J1774"/>
      <c r="K1774"/>
      <c r="L1774"/>
    </row>
    <row r="1775" spans="2:12" x14ac:dyDescent="0.35">
      <c r="B1775" s="1953"/>
      <c r="C1775" s="1953"/>
      <c r="D1775" s="1953"/>
      <c r="E1775" s="1953"/>
      <c r="F1775" s="1953"/>
      <c r="G1775" s="1953"/>
      <c r="H1775" s="1953"/>
      <c r="I1775"/>
      <c r="J1775"/>
      <c r="K1775"/>
      <c r="L1775"/>
    </row>
    <row r="1776" spans="2:12" x14ac:dyDescent="0.35">
      <c r="B1776" s="1953"/>
      <c r="C1776" s="1953"/>
      <c r="D1776" s="1953"/>
      <c r="E1776" s="1953"/>
      <c r="F1776" s="1953"/>
      <c r="G1776" s="1953"/>
      <c r="H1776" s="1953"/>
      <c r="I1776"/>
      <c r="J1776"/>
      <c r="K1776"/>
      <c r="L1776"/>
    </row>
    <row r="1777" spans="2:12" x14ac:dyDescent="0.35">
      <c r="B1777" s="1953"/>
      <c r="C1777" s="1953"/>
      <c r="D1777" s="1953"/>
      <c r="E1777" s="1953"/>
      <c r="F1777" s="1953"/>
      <c r="G1777" s="1953"/>
      <c r="H1777" s="1953"/>
      <c r="I1777"/>
      <c r="J1777"/>
      <c r="K1777"/>
      <c r="L1777"/>
    </row>
    <row r="1778" spans="2:12" x14ac:dyDescent="0.35">
      <c r="B1778" s="1953"/>
      <c r="C1778" s="1953"/>
      <c r="D1778" s="1953"/>
      <c r="E1778" s="1953"/>
      <c r="F1778" s="1953"/>
      <c r="G1778" s="1953"/>
      <c r="H1778" s="1953"/>
      <c r="I1778"/>
      <c r="J1778"/>
      <c r="K1778"/>
      <c r="L1778"/>
    </row>
    <row r="1779" spans="2:12" x14ac:dyDescent="0.35">
      <c r="B1779" s="1953"/>
      <c r="C1779" s="1953"/>
      <c r="D1779" s="1953"/>
      <c r="E1779" s="1953"/>
      <c r="F1779" s="1953"/>
      <c r="G1779" s="1953"/>
      <c r="H1779" s="1953"/>
      <c r="I1779"/>
      <c r="J1779"/>
      <c r="K1779"/>
      <c r="L1779"/>
    </row>
    <row r="1780" spans="2:12" x14ac:dyDescent="0.35">
      <c r="B1780" s="1953"/>
      <c r="C1780" s="1953"/>
      <c r="D1780" s="1953"/>
      <c r="E1780" s="1953"/>
      <c r="F1780" s="1953"/>
      <c r="G1780" s="1953"/>
      <c r="H1780" s="1953"/>
      <c r="I1780"/>
      <c r="J1780"/>
      <c r="K1780"/>
      <c r="L1780"/>
    </row>
    <row r="1781" spans="2:12" x14ac:dyDescent="0.35">
      <c r="B1781" s="1953"/>
      <c r="C1781" s="1953"/>
      <c r="D1781" s="1953"/>
      <c r="E1781" s="1953"/>
      <c r="F1781" s="1953"/>
      <c r="G1781" s="1953"/>
      <c r="H1781" s="1953"/>
      <c r="I1781"/>
      <c r="J1781"/>
      <c r="K1781"/>
      <c r="L1781"/>
    </row>
    <row r="1782" spans="2:12" x14ac:dyDescent="0.35">
      <c r="B1782" s="1953"/>
      <c r="C1782" s="1953"/>
      <c r="D1782" s="1953"/>
      <c r="E1782" s="1953"/>
      <c r="F1782" s="1953"/>
      <c r="G1782" s="1953"/>
      <c r="H1782" s="1953"/>
      <c r="I1782"/>
      <c r="J1782"/>
      <c r="K1782"/>
      <c r="L1782"/>
    </row>
    <row r="1783" spans="2:12" x14ac:dyDescent="0.35">
      <c r="B1783" s="1953"/>
      <c r="C1783" s="1953"/>
      <c r="D1783" s="1953"/>
      <c r="E1783" s="1953"/>
      <c r="F1783" s="1953"/>
      <c r="G1783" s="1953"/>
      <c r="H1783" s="1953"/>
      <c r="I1783"/>
      <c r="J1783"/>
      <c r="K1783"/>
      <c r="L1783"/>
    </row>
    <row r="1784" spans="2:12" x14ac:dyDescent="0.35">
      <c r="B1784" s="1953"/>
      <c r="C1784" s="1953"/>
      <c r="D1784" s="1953"/>
      <c r="E1784" s="1953"/>
      <c r="F1784" s="1953"/>
      <c r="G1784" s="1953"/>
      <c r="H1784" s="1953"/>
      <c r="I1784"/>
      <c r="J1784"/>
      <c r="K1784"/>
      <c r="L1784"/>
    </row>
    <row r="1785" spans="2:12" x14ac:dyDescent="0.35">
      <c r="B1785" s="1953"/>
      <c r="C1785" s="1953"/>
      <c r="D1785" s="1953"/>
      <c r="E1785" s="1953"/>
      <c r="F1785" s="1953"/>
      <c r="G1785" s="1953"/>
      <c r="H1785" s="1953"/>
      <c r="I1785"/>
      <c r="J1785"/>
      <c r="K1785"/>
      <c r="L1785"/>
    </row>
    <row r="1786" spans="2:12" x14ac:dyDescent="0.35">
      <c r="B1786" s="1953"/>
      <c r="C1786" s="1953"/>
      <c r="D1786" s="1953"/>
      <c r="E1786" s="1953"/>
      <c r="F1786" s="1953"/>
      <c r="G1786" s="1953"/>
      <c r="H1786" s="1953"/>
      <c r="I1786"/>
      <c r="J1786"/>
      <c r="K1786"/>
      <c r="L1786"/>
    </row>
    <row r="1787" spans="2:12" x14ac:dyDescent="0.35">
      <c r="B1787" s="1953"/>
      <c r="C1787" s="1953"/>
      <c r="D1787" s="1953"/>
      <c r="E1787" s="1953"/>
      <c r="F1787" s="1953"/>
      <c r="G1787" s="1953"/>
      <c r="H1787" s="1953"/>
      <c r="I1787"/>
      <c r="J1787"/>
      <c r="K1787"/>
      <c r="L1787"/>
    </row>
    <row r="1788" spans="2:12" x14ac:dyDescent="0.35">
      <c r="B1788" s="1953"/>
      <c r="C1788" s="1953"/>
      <c r="D1788" s="1953"/>
      <c r="E1788" s="1953"/>
      <c r="F1788" s="1953"/>
      <c r="G1788" s="1953"/>
      <c r="H1788" s="1953"/>
      <c r="I1788"/>
      <c r="J1788"/>
      <c r="K1788"/>
      <c r="L1788"/>
    </row>
    <row r="1789" spans="2:12" x14ac:dyDescent="0.35">
      <c r="B1789" s="1953"/>
      <c r="C1789" s="1953"/>
      <c r="D1789" s="1953"/>
      <c r="E1789" s="1953"/>
      <c r="F1789" s="1953"/>
      <c r="G1789" s="1953"/>
      <c r="H1789" s="1953"/>
      <c r="I1789"/>
      <c r="J1789"/>
      <c r="K1789"/>
      <c r="L1789"/>
    </row>
    <row r="1790" spans="2:12" x14ac:dyDescent="0.35">
      <c r="B1790" s="1953"/>
      <c r="C1790" s="1953"/>
      <c r="D1790" s="1953"/>
      <c r="E1790" s="1953"/>
      <c r="F1790" s="1953"/>
      <c r="G1790" s="1953"/>
      <c r="H1790" s="1953"/>
      <c r="I1790"/>
      <c r="J1790"/>
      <c r="K1790"/>
      <c r="L1790"/>
    </row>
    <row r="1791" spans="2:12" x14ac:dyDescent="0.35">
      <c r="B1791" s="1953"/>
      <c r="C1791" s="1953"/>
      <c r="D1791" s="1953"/>
      <c r="E1791" s="1953"/>
      <c r="F1791" s="1953"/>
      <c r="G1791" s="1953"/>
      <c r="H1791" s="1953"/>
      <c r="I1791"/>
      <c r="J1791"/>
      <c r="K1791"/>
      <c r="L1791"/>
    </row>
    <row r="1792" spans="2:12" x14ac:dyDescent="0.35">
      <c r="B1792" s="1953"/>
      <c r="C1792" s="1953"/>
      <c r="D1792" s="1953"/>
      <c r="E1792" s="1953"/>
      <c r="F1792" s="1953"/>
      <c r="G1792" s="1953"/>
      <c r="H1792" s="1953"/>
      <c r="I1792"/>
      <c r="J1792"/>
      <c r="K1792"/>
      <c r="L1792"/>
    </row>
    <row r="1793" spans="2:12" x14ac:dyDescent="0.35">
      <c r="B1793" s="1953"/>
      <c r="C1793" s="1953"/>
      <c r="D1793" s="1953"/>
      <c r="E1793" s="1953"/>
      <c r="F1793" s="1953"/>
      <c r="G1793" s="1953"/>
      <c r="H1793" s="1953"/>
      <c r="I1793"/>
      <c r="J1793"/>
      <c r="K1793"/>
      <c r="L1793"/>
    </row>
    <row r="1794" spans="2:12" x14ac:dyDescent="0.35">
      <c r="B1794" s="1953"/>
      <c r="C1794" s="1953"/>
      <c r="D1794" s="1953"/>
      <c r="E1794" s="1953"/>
      <c r="F1794" s="1953"/>
      <c r="G1794" s="1953"/>
      <c r="H1794" s="1953"/>
      <c r="I1794"/>
      <c r="J1794"/>
      <c r="K1794"/>
      <c r="L1794"/>
    </row>
    <row r="1795" spans="2:12" x14ac:dyDescent="0.35">
      <c r="B1795" s="1953"/>
      <c r="C1795" s="1953"/>
      <c r="D1795" s="1953"/>
      <c r="E1795" s="1953"/>
      <c r="F1795" s="1953"/>
      <c r="G1795" s="1953"/>
      <c r="H1795" s="1953"/>
      <c r="I1795"/>
      <c r="J1795"/>
      <c r="K1795"/>
      <c r="L1795"/>
    </row>
    <row r="1796" spans="2:12" x14ac:dyDescent="0.35">
      <c r="B1796" s="1953"/>
      <c r="C1796" s="1953"/>
      <c r="D1796" s="1953"/>
      <c r="E1796" s="1953"/>
      <c r="F1796" s="1953"/>
      <c r="G1796" s="1953"/>
      <c r="H1796" s="1953"/>
      <c r="I1796"/>
      <c r="J1796"/>
      <c r="K1796"/>
      <c r="L1796"/>
    </row>
    <row r="1797" spans="2:12" x14ac:dyDescent="0.35">
      <c r="B1797" s="1953"/>
      <c r="C1797" s="1953"/>
      <c r="D1797" s="1953"/>
      <c r="E1797" s="1953"/>
      <c r="F1797" s="1953"/>
      <c r="G1797" s="1953"/>
      <c r="H1797" s="1953"/>
      <c r="I1797"/>
      <c r="J1797"/>
      <c r="K1797"/>
      <c r="L1797"/>
    </row>
    <row r="1798" spans="2:12" x14ac:dyDescent="0.35">
      <c r="B1798" s="1953"/>
      <c r="C1798" s="1953"/>
      <c r="D1798" s="1953"/>
      <c r="E1798" s="1953"/>
      <c r="F1798" s="1953"/>
      <c r="G1798" s="1953"/>
      <c r="H1798" s="1953"/>
      <c r="I1798"/>
      <c r="J1798"/>
      <c r="K1798"/>
      <c r="L1798"/>
    </row>
    <row r="1799" spans="2:12" x14ac:dyDescent="0.35">
      <c r="B1799" s="1953"/>
      <c r="C1799" s="1953"/>
      <c r="D1799" s="1953"/>
      <c r="E1799" s="1953"/>
      <c r="F1799" s="1953"/>
      <c r="G1799" s="1953"/>
      <c r="H1799" s="1953"/>
      <c r="I1799"/>
      <c r="J1799"/>
      <c r="K1799"/>
      <c r="L1799"/>
    </row>
    <row r="1800" spans="2:12" x14ac:dyDescent="0.35">
      <c r="B1800" s="1953"/>
      <c r="C1800" s="1953"/>
      <c r="D1800" s="1953"/>
      <c r="E1800" s="1953"/>
      <c r="F1800" s="1953"/>
      <c r="G1800" s="1953"/>
      <c r="H1800" s="1953"/>
      <c r="I1800"/>
      <c r="J1800"/>
      <c r="K1800"/>
      <c r="L1800"/>
    </row>
    <row r="1801" spans="2:12" x14ac:dyDescent="0.35">
      <c r="B1801" s="1953"/>
      <c r="C1801" s="1953"/>
      <c r="D1801" s="1953"/>
      <c r="E1801" s="1953"/>
      <c r="F1801" s="1953"/>
      <c r="G1801" s="1953"/>
      <c r="H1801" s="1953"/>
      <c r="I1801"/>
      <c r="J1801"/>
      <c r="K1801"/>
      <c r="L1801"/>
    </row>
    <row r="1802" spans="2:12" x14ac:dyDescent="0.35">
      <c r="B1802" s="1953"/>
      <c r="C1802" s="1953"/>
      <c r="D1802" s="1953"/>
      <c r="E1802" s="1953"/>
      <c r="F1802" s="1953"/>
      <c r="G1802" s="1953"/>
      <c r="H1802" s="1953"/>
      <c r="I1802"/>
      <c r="J1802"/>
      <c r="K1802"/>
      <c r="L1802"/>
    </row>
    <row r="1803" spans="2:12" x14ac:dyDescent="0.35">
      <c r="B1803" s="1953"/>
      <c r="C1803" s="1953"/>
      <c r="D1803" s="1953"/>
      <c r="E1803" s="1953"/>
      <c r="F1803" s="1953"/>
      <c r="G1803" s="1953"/>
      <c r="H1803" s="1953"/>
      <c r="I1803"/>
      <c r="J1803"/>
      <c r="K1803"/>
      <c r="L1803"/>
    </row>
    <row r="1804" spans="2:12" x14ac:dyDescent="0.35">
      <c r="B1804" s="1953"/>
      <c r="C1804" s="1953"/>
      <c r="D1804" s="1953"/>
      <c r="E1804" s="1953"/>
      <c r="F1804" s="1953"/>
      <c r="G1804" s="1953"/>
      <c r="H1804" s="1953"/>
      <c r="I1804"/>
      <c r="J1804"/>
      <c r="K1804"/>
      <c r="L1804"/>
    </row>
    <row r="1805" spans="2:12" x14ac:dyDescent="0.35">
      <c r="B1805" s="1953"/>
      <c r="C1805" s="1953"/>
      <c r="D1805" s="1953"/>
      <c r="E1805" s="1953"/>
      <c r="F1805" s="1953"/>
      <c r="G1805" s="1953"/>
      <c r="H1805" s="1953"/>
      <c r="I1805"/>
      <c r="J1805"/>
      <c r="K1805"/>
      <c r="L1805"/>
    </row>
    <row r="1806" spans="2:12" x14ac:dyDescent="0.35">
      <c r="B1806" s="1953"/>
      <c r="C1806" s="1953"/>
      <c r="D1806" s="1953"/>
      <c r="E1806" s="1953"/>
      <c r="F1806" s="1953"/>
      <c r="G1806" s="1953"/>
      <c r="H1806" s="1953"/>
      <c r="I1806"/>
      <c r="J1806"/>
      <c r="K1806"/>
      <c r="L1806"/>
    </row>
    <row r="1807" spans="2:12" x14ac:dyDescent="0.35">
      <c r="B1807" s="1953"/>
      <c r="C1807" s="1953"/>
      <c r="D1807" s="1953"/>
      <c r="E1807" s="1953"/>
      <c r="F1807" s="1953"/>
      <c r="G1807" s="1953"/>
      <c r="H1807" s="1953"/>
      <c r="I1807"/>
      <c r="J1807"/>
      <c r="K1807"/>
      <c r="L1807"/>
    </row>
    <row r="1808" spans="2:12" x14ac:dyDescent="0.35">
      <c r="B1808" s="1953"/>
      <c r="C1808" s="1953"/>
      <c r="D1808" s="1953"/>
      <c r="E1808" s="1953"/>
      <c r="F1808" s="1953"/>
      <c r="G1808" s="1953"/>
      <c r="H1808" s="1953"/>
      <c r="I1808"/>
      <c r="J1808"/>
      <c r="K1808"/>
      <c r="L1808"/>
    </row>
    <row r="1809" spans="2:12" x14ac:dyDescent="0.35">
      <c r="B1809" s="1953"/>
      <c r="C1809" s="1953"/>
      <c r="D1809" s="1953"/>
      <c r="E1809" s="1953"/>
      <c r="F1809" s="1953"/>
      <c r="G1809" s="1953"/>
      <c r="H1809" s="1953"/>
      <c r="I1809"/>
      <c r="J1809"/>
      <c r="K1809"/>
      <c r="L1809"/>
    </row>
    <row r="1810" spans="2:12" x14ac:dyDescent="0.35">
      <c r="B1810" s="1953"/>
      <c r="C1810" s="1953"/>
      <c r="D1810" s="1953"/>
      <c r="E1810" s="1953"/>
      <c r="F1810" s="1953"/>
      <c r="G1810" s="1953"/>
      <c r="H1810" s="1953"/>
      <c r="I1810"/>
      <c r="J1810"/>
      <c r="K1810"/>
      <c r="L1810"/>
    </row>
    <row r="1811" spans="2:12" x14ac:dyDescent="0.35">
      <c r="B1811" s="1953"/>
      <c r="C1811" s="1953"/>
      <c r="D1811" s="1953"/>
      <c r="E1811" s="1953"/>
      <c r="F1811" s="1953"/>
      <c r="G1811" s="1953"/>
      <c r="H1811" s="1953"/>
      <c r="I1811"/>
      <c r="J1811"/>
      <c r="K1811"/>
      <c r="L1811"/>
    </row>
    <row r="1812" spans="2:12" x14ac:dyDescent="0.35">
      <c r="B1812" s="1953"/>
      <c r="C1812" s="1953"/>
      <c r="D1812" s="1953"/>
      <c r="E1812" s="1953"/>
      <c r="F1812" s="1953"/>
      <c r="G1812" s="1953"/>
      <c r="H1812" s="1953"/>
      <c r="I1812"/>
      <c r="J1812"/>
      <c r="K1812"/>
      <c r="L1812"/>
    </row>
    <row r="1813" spans="2:12" x14ac:dyDescent="0.35">
      <c r="B1813" s="1953"/>
      <c r="C1813" s="1953"/>
      <c r="D1813" s="1953"/>
      <c r="E1813" s="1953"/>
      <c r="F1813" s="1953"/>
      <c r="G1813" s="1953"/>
      <c r="H1813" s="1953"/>
      <c r="I1813"/>
      <c r="J1813"/>
      <c r="K1813"/>
      <c r="L1813"/>
    </row>
    <row r="1814" spans="2:12" x14ac:dyDescent="0.35">
      <c r="B1814" s="1953"/>
      <c r="C1814" s="1953"/>
      <c r="D1814" s="1953"/>
      <c r="E1814" s="1953"/>
      <c r="F1814" s="1953"/>
      <c r="G1814" s="1953"/>
      <c r="H1814" s="1953"/>
      <c r="I1814"/>
      <c r="J1814"/>
      <c r="K1814"/>
      <c r="L1814"/>
    </row>
    <row r="1815" spans="2:12" x14ac:dyDescent="0.35">
      <c r="B1815" s="1953"/>
      <c r="C1815" s="1953"/>
      <c r="D1815" s="1953"/>
      <c r="E1815" s="1953"/>
      <c r="F1815" s="1953"/>
      <c r="G1815" s="1953"/>
      <c r="H1815" s="1953"/>
      <c r="I1815"/>
      <c r="J1815"/>
      <c r="K1815"/>
      <c r="L1815"/>
    </row>
    <row r="1816" spans="2:12" x14ac:dyDescent="0.35">
      <c r="B1816" s="1953"/>
      <c r="C1816" s="1953"/>
      <c r="D1816" s="1953"/>
      <c r="E1816" s="1953"/>
      <c r="F1816" s="1953"/>
      <c r="G1816" s="1953"/>
      <c r="H1816" s="1953"/>
      <c r="I1816"/>
      <c r="J1816"/>
      <c r="K1816"/>
      <c r="L1816"/>
    </row>
    <row r="1817" spans="2:12" x14ac:dyDescent="0.35">
      <c r="B1817" s="1953"/>
      <c r="C1817" s="1953"/>
      <c r="D1817" s="1953"/>
      <c r="E1817" s="1953"/>
      <c r="F1817" s="1953"/>
      <c r="G1817" s="1953"/>
      <c r="H1817" s="1953"/>
      <c r="I1817"/>
      <c r="J1817"/>
      <c r="K1817"/>
      <c r="L1817"/>
    </row>
    <row r="1818" spans="2:12" x14ac:dyDescent="0.35">
      <c r="B1818" s="1953"/>
      <c r="C1818" s="1953"/>
      <c r="D1818" s="1953"/>
      <c r="E1818" s="1953"/>
      <c r="F1818" s="1953"/>
      <c r="G1818" s="1953"/>
      <c r="H1818" s="1953"/>
      <c r="I1818"/>
      <c r="J1818"/>
      <c r="K1818"/>
      <c r="L1818"/>
    </row>
    <row r="1819" spans="2:12" x14ac:dyDescent="0.35">
      <c r="B1819" s="1953"/>
      <c r="C1819" s="1953"/>
      <c r="D1819" s="1953"/>
      <c r="E1819" s="1953"/>
      <c r="F1819" s="1953"/>
      <c r="G1819" s="1953"/>
      <c r="H1819" s="1953"/>
      <c r="I1819"/>
      <c r="J1819"/>
      <c r="K1819"/>
      <c r="L1819"/>
    </row>
    <row r="1820" spans="2:12" x14ac:dyDescent="0.35">
      <c r="B1820" s="1953"/>
      <c r="C1820" s="1953"/>
      <c r="D1820" s="1953"/>
      <c r="E1820" s="1953"/>
      <c r="F1820" s="1953"/>
      <c r="G1820" s="1953"/>
      <c r="H1820" s="1953"/>
      <c r="I1820"/>
      <c r="J1820"/>
      <c r="K1820"/>
      <c r="L1820"/>
    </row>
    <row r="1821" spans="2:12" x14ac:dyDescent="0.35">
      <c r="B1821" s="1953"/>
      <c r="C1821" s="1953"/>
      <c r="D1821" s="1953"/>
      <c r="E1821" s="1953"/>
      <c r="F1821" s="1953"/>
      <c r="G1821" s="1953"/>
      <c r="H1821" s="1953"/>
      <c r="I1821"/>
      <c r="J1821"/>
      <c r="K1821"/>
      <c r="L1821"/>
    </row>
    <row r="1822" spans="2:12" x14ac:dyDescent="0.35">
      <c r="B1822" s="1953"/>
      <c r="C1822" s="1953"/>
      <c r="D1822" s="1953"/>
      <c r="E1822" s="1953"/>
      <c r="F1822" s="1953"/>
      <c r="G1822" s="1953"/>
      <c r="H1822" s="1953"/>
      <c r="I1822"/>
      <c r="J1822"/>
      <c r="K1822"/>
      <c r="L1822"/>
    </row>
    <row r="1823" spans="2:12" x14ac:dyDescent="0.35">
      <c r="B1823" s="1953"/>
      <c r="C1823" s="1953"/>
      <c r="D1823" s="1953"/>
      <c r="E1823" s="1953"/>
      <c r="F1823" s="1953"/>
      <c r="G1823" s="1953"/>
      <c r="H1823" s="1953"/>
      <c r="I1823"/>
      <c r="J1823"/>
      <c r="K1823"/>
      <c r="L1823"/>
    </row>
    <row r="1824" spans="2:12" x14ac:dyDescent="0.35">
      <c r="B1824" s="1953"/>
      <c r="C1824" s="1953"/>
      <c r="D1824" s="1953"/>
      <c r="E1824" s="1953"/>
      <c r="F1824" s="1953"/>
      <c r="G1824" s="1953"/>
      <c r="H1824" s="1953"/>
      <c r="I1824"/>
      <c r="J1824"/>
      <c r="K1824"/>
      <c r="L1824"/>
    </row>
    <row r="1825" spans="2:12" x14ac:dyDescent="0.35">
      <c r="B1825" s="1953"/>
      <c r="C1825" s="1953"/>
      <c r="D1825" s="1953"/>
      <c r="E1825" s="1953"/>
      <c r="F1825" s="1953"/>
      <c r="G1825" s="1953"/>
      <c r="H1825" s="1953"/>
      <c r="I1825"/>
      <c r="J1825"/>
      <c r="K1825"/>
      <c r="L1825"/>
    </row>
    <row r="1826" spans="2:12" x14ac:dyDescent="0.35">
      <c r="B1826" s="1953"/>
      <c r="C1826" s="1953"/>
      <c r="D1826" s="1953"/>
      <c r="E1826" s="1953"/>
      <c r="F1826" s="1953"/>
      <c r="G1826" s="1953"/>
      <c r="H1826" s="1953"/>
      <c r="I1826"/>
      <c r="J1826"/>
      <c r="K1826"/>
      <c r="L1826"/>
    </row>
    <row r="1827" spans="2:12" x14ac:dyDescent="0.35">
      <c r="B1827" s="1953"/>
      <c r="C1827" s="1953"/>
      <c r="D1827" s="1953"/>
      <c r="E1827" s="1953"/>
      <c r="F1827" s="1953"/>
      <c r="G1827" s="1953"/>
      <c r="H1827" s="1953"/>
      <c r="I1827"/>
      <c r="J1827"/>
      <c r="K1827"/>
      <c r="L1827"/>
    </row>
    <row r="1828" spans="2:12" x14ac:dyDescent="0.35">
      <c r="B1828" s="1953"/>
      <c r="C1828" s="1953"/>
      <c r="D1828" s="1953"/>
      <c r="E1828" s="1953"/>
      <c r="F1828" s="1953"/>
      <c r="G1828" s="1953"/>
      <c r="H1828" s="1953"/>
      <c r="I1828"/>
      <c r="J1828"/>
      <c r="K1828"/>
      <c r="L1828"/>
    </row>
    <row r="1829" spans="2:12" x14ac:dyDescent="0.35">
      <c r="B1829" s="1953"/>
      <c r="C1829" s="1953"/>
      <c r="D1829" s="1953"/>
      <c r="E1829" s="1953"/>
      <c r="F1829" s="1953"/>
      <c r="G1829" s="1953"/>
      <c r="H1829" s="1953"/>
      <c r="I1829"/>
      <c r="J1829"/>
      <c r="K1829"/>
      <c r="L1829"/>
    </row>
    <row r="1830" spans="2:12" x14ac:dyDescent="0.35">
      <c r="B1830" s="1953"/>
      <c r="C1830" s="1953"/>
      <c r="D1830" s="1953"/>
      <c r="E1830" s="1953"/>
      <c r="F1830" s="1953"/>
      <c r="G1830" s="1953"/>
      <c r="H1830" s="1953"/>
      <c r="I1830"/>
      <c r="J1830"/>
      <c r="K1830"/>
      <c r="L1830"/>
    </row>
    <row r="1831" spans="2:12" x14ac:dyDescent="0.35">
      <c r="B1831" s="1953"/>
      <c r="C1831" s="1953"/>
      <c r="D1831" s="1953"/>
      <c r="E1831" s="1953"/>
      <c r="F1831" s="1953"/>
      <c r="G1831" s="1953"/>
      <c r="H1831" s="1953"/>
      <c r="I1831"/>
      <c r="J1831"/>
      <c r="K1831"/>
      <c r="L1831"/>
    </row>
    <row r="1832" spans="2:12" x14ac:dyDescent="0.35">
      <c r="B1832" s="1953"/>
      <c r="C1832" s="1953"/>
      <c r="D1832" s="1953"/>
      <c r="E1832" s="1953"/>
      <c r="F1832" s="1953"/>
      <c r="G1832" s="1953"/>
      <c r="H1832" s="1953"/>
      <c r="I1832"/>
      <c r="J1832"/>
      <c r="K1832"/>
      <c r="L1832"/>
    </row>
    <row r="1833" spans="2:12" x14ac:dyDescent="0.35">
      <c r="B1833" s="1953"/>
      <c r="C1833" s="1953"/>
      <c r="D1833" s="1953"/>
      <c r="E1833" s="1953"/>
      <c r="F1833" s="1953"/>
      <c r="G1833" s="1953"/>
      <c r="H1833" s="1953"/>
      <c r="I1833"/>
      <c r="J1833"/>
      <c r="K1833"/>
      <c r="L1833"/>
    </row>
    <row r="1834" spans="2:12" x14ac:dyDescent="0.35">
      <c r="B1834" s="1953"/>
      <c r="C1834" s="1953"/>
      <c r="D1834" s="1953"/>
      <c r="E1834" s="1953"/>
      <c r="F1834" s="1953"/>
      <c r="G1834" s="1953"/>
      <c r="H1834" s="1953"/>
      <c r="I1834"/>
      <c r="J1834"/>
      <c r="K1834"/>
      <c r="L1834"/>
    </row>
    <row r="1835" spans="2:12" x14ac:dyDescent="0.35">
      <c r="B1835" s="1953"/>
      <c r="C1835" s="1953"/>
      <c r="D1835" s="1953"/>
      <c r="E1835" s="1953"/>
      <c r="F1835" s="1953"/>
      <c r="G1835" s="1953"/>
      <c r="H1835" s="1953"/>
      <c r="I1835"/>
      <c r="J1835"/>
      <c r="K1835"/>
      <c r="L1835"/>
    </row>
    <row r="1836" spans="2:12" x14ac:dyDescent="0.35">
      <c r="B1836" s="1953"/>
      <c r="C1836" s="1953"/>
      <c r="D1836" s="1953"/>
      <c r="E1836" s="1953"/>
      <c r="F1836" s="1953"/>
      <c r="G1836" s="1953"/>
      <c r="H1836" s="1953"/>
      <c r="I1836"/>
      <c r="J1836"/>
      <c r="K1836"/>
      <c r="L1836"/>
    </row>
    <row r="1837" spans="2:12" x14ac:dyDescent="0.35">
      <c r="B1837" s="1953"/>
      <c r="C1837" s="1953"/>
      <c r="D1837" s="1953"/>
      <c r="E1837" s="1953"/>
      <c r="F1837" s="1953"/>
      <c r="G1837" s="1953"/>
      <c r="H1837" s="1953"/>
      <c r="I1837"/>
      <c r="J1837"/>
      <c r="K1837"/>
      <c r="L1837"/>
    </row>
    <row r="1838" spans="2:12" x14ac:dyDescent="0.35">
      <c r="B1838" s="1953"/>
      <c r="C1838" s="1953"/>
      <c r="D1838" s="1953"/>
      <c r="E1838" s="1953"/>
      <c r="F1838" s="1953"/>
      <c r="G1838" s="1953"/>
      <c r="H1838" s="1953"/>
      <c r="I1838"/>
      <c r="J1838"/>
      <c r="K1838"/>
      <c r="L1838"/>
    </row>
    <row r="1839" spans="2:12" x14ac:dyDescent="0.35">
      <c r="B1839" s="1953"/>
      <c r="C1839" s="1953"/>
      <c r="D1839" s="1953"/>
      <c r="E1839" s="1953"/>
      <c r="F1839" s="1953"/>
      <c r="G1839" s="1953"/>
      <c r="H1839" s="1953"/>
      <c r="I1839"/>
      <c r="J1839"/>
      <c r="K1839"/>
      <c r="L1839"/>
    </row>
    <row r="1840" spans="2:12" x14ac:dyDescent="0.35">
      <c r="B1840" s="1953"/>
      <c r="C1840" s="1953"/>
      <c r="D1840" s="1953"/>
      <c r="E1840" s="1953"/>
      <c r="F1840" s="1953"/>
      <c r="G1840" s="1953"/>
      <c r="H1840" s="1953"/>
      <c r="I1840"/>
      <c r="J1840"/>
      <c r="K1840"/>
      <c r="L1840"/>
    </row>
    <row r="1841" spans="2:12" x14ac:dyDescent="0.35">
      <c r="B1841" s="1953"/>
      <c r="C1841" s="1953"/>
      <c r="D1841" s="1953"/>
      <c r="E1841" s="1953"/>
      <c r="F1841" s="1953"/>
      <c r="G1841" s="1953"/>
      <c r="H1841" s="1953"/>
      <c r="I1841"/>
      <c r="J1841"/>
      <c r="K1841"/>
      <c r="L1841"/>
    </row>
    <row r="1842" spans="2:12" x14ac:dyDescent="0.35">
      <c r="B1842" s="1953"/>
      <c r="C1842" s="1953"/>
      <c r="D1842" s="1953"/>
      <c r="E1842" s="1953"/>
      <c r="F1842" s="1953"/>
      <c r="G1842" s="1953"/>
      <c r="H1842" s="1953"/>
      <c r="I1842"/>
      <c r="J1842"/>
      <c r="K1842"/>
      <c r="L1842"/>
    </row>
    <row r="1843" spans="2:12" x14ac:dyDescent="0.35">
      <c r="B1843" s="1953"/>
      <c r="C1843" s="1953"/>
      <c r="D1843" s="1953"/>
      <c r="E1843" s="1953"/>
      <c r="F1843" s="1953"/>
      <c r="G1843" s="1953"/>
      <c r="H1843" s="1953"/>
      <c r="I1843"/>
      <c r="J1843"/>
      <c r="K1843"/>
      <c r="L1843"/>
    </row>
    <row r="1844" spans="2:12" x14ac:dyDescent="0.35">
      <c r="B1844" s="1953"/>
      <c r="C1844" s="1953"/>
      <c r="D1844" s="1953"/>
      <c r="E1844" s="1953"/>
      <c r="F1844" s="1953"/>
      <c r="G1844" s="1953"/>
      <c r="H1844" s="1953"/>
      <c r="I1844"/>
      <c r="J1844"/>
      <c r="K1844"/>
      <c r="L1844"/>
    </row>
    <row r="1845" spans="2:12" x14ac:dyDescent="0.35">
      <c r="B1845" s="1953"/>
      <c r="C1845" s="1953"/>
      <c r="D1845" s="1953"/>
      <c r="E1845" s="1953"/>
      <c r="F1845" s="1953"/>
      <c r="G1845" s="1953"/>
      <c r="H1845" s="1953"/>
      <c r="I1845"/>
      <c r="J1845"/>
      <c r="K1845"/>
      <c r="L1845"/>
    </row>
    <row r="1846" spans="2:12" x14ac:dyDescent="0.35">
      <c r="B1846" s="1953"/>
      <c r="C1846" s="1953"/>
      <c r="D1846" s="1953"/>
      <c r="E1846" s="1953"/>
      <c r="F1846" s="1953"/>
      <c r="G1846" s="1953"/>
      <c r="H1846" s="1953"/>
      <c r="I1846"/>
      <c r="J1846"/>
      <c r="K1846"/>
      <c r="L1846"/>
    </row>
    <row r="1847" spans="2:12" x14ac:dyDescent="0.35">
      <c r="B1847" s="1953"/>
      <c r="C1847" s="1953"/>
      <c r="D1847" s="1953"/>
      <c r="E1847" s="1953"/>
      <c r="F1847" s="1953"/>
      <c r="G1847" s="1953"/>
      <c r="H1847" s="1953"/>
      <c r="I1847"/>
      <c r="J1847"/>
      <c r="K1847"/>
      <c r="L1847"/>
    </row>
    <row r="1848" spans="2:12" x14ac:dyDescent="0.35">
      <c r="B1848" s="1953"/>
      <c r="C1848" s="1953"/>
      <c r="D1848" s="1953"/>
      <c r="E1848" s="1953"/>
      <c r="F1848" s="1953"/>
      <c r="G1848" s="1953"/>
      <c r="H1848" s="1953"/>
      <c r="I1848"/>
      <c r="J1848"/>
      <c r="K1848"/>
      <c r="L1848"/>
    </row>
    <row r="1849" spans="2:12" x14ac:dyDescent="0.35">
      <c r="B1849" s="1953"/>
      <c r="C1849" s="1953"/>
      <c r="D1849" s="1953"/>
      <c r="E1849" s="1953"/>
      <c r="F1849" s="1953"/>
      <c r="G1849" s="1953"/>
      <c r="H1849" s="1953"/>
      <c r="I1849"/>
      <c r="J1849"/>
      <c r="K1849"/>
      <c r="L1849"/>
    </row>
    <row r="1850" spans="2:12" x14ac:dyDescent="0.35">
      <c r="B1850" s="1953"/>
      <c r="C1850" s="1953"/>
      <c r="D1850" s="1953"/>
      <c r="E1850" s="1953"/>
      <c r="F1850" s="1953"/>
      <c r="G1850" s="1953"/>
      <c r="H1850" s="1953"/>
      <c r="I1850"/>
      <c r="J1850"/>
      <c r="K1850"/>
      <c r="L1850"/>
    </row>
    <row r="1851" spans="2:12" x14ac:dyDescent="0.35">
      <c r="B1851" s="1953"/>
      <c r="C1851" s="1953"/>
      <c r="D1851" s="1953"/>
      <c r="E1851" s="1953"/>
      <c r="F1851" s="1953"/>
      <c r="G1851" s="1953"/>
      <c r="H1851" s="1953"/>
      <c r="I1851"/>
      <c r="J1851"/>
      <c r="K1851"/>
      <c r="L1851"/>
    </row>
    <row r="1852" spans="2:12" x14ac:dyDescent="0.35">
      <c r="B1852" s="1953"/>
      <c r="C1852" s="1953"/>
      <c r="D1852" s="1953"/>
      <c r="E1852" s="1953"/>
      <c r="F1852" s="1953"/>
      <c r="G1852" s="1953"/>
      <c r="H1852" s="1953"/>
      <c r="I1852"/>
      <c r="J1852"/>
      <c r="K1852"/>
      <c r="L1852"/>
    </row>
    <row r="1853" spans="2:12" x14ac:dyDescent="0.35">
      <c r="B1853" s="1953"/>
      <c r="C1853" s="1953"/>
      <c r="D1853" s="1953"/>
      <c r="E1853" s="1953"/>
      <c r="F1853" s="1953"/>
      <c r="G1853" s="1953"/>
      <c r="H1853" s="1953"/>
      <c r="I1853"/>
      <c r="J1853"/>
      <c r="K1853"/>
      <c r="L1853"/>
    </row>
    <row r="1854" spans="2:12" x14ac:dyDescent="0.35">
      <c r="B1854" s="1953"/>
      <c r="C1854" s="1953"/>
      <c r="D1854" s="1953"/>
      <c r="E1854" s="1953"/>
      <c r="F1854" s="1953"/>
      <c r="G1854" s="1953"/>
      <c r="H1854" s="1953"/>
      <c r="I1854"/>
      <c r="J1854"/>
      <c r="K1854"/>
      <c r="L1854"/>
    </row>
    <row r="1855" spans="2:12" x14ac:dyDescent="0.35">
      <c r="B1855" s="1953"/>
      <c r="C1855" s="1953"/>
      <c r="D1855" s="1953"/>
      <c r="E1855" s="1953"/>
      <c r="F1855" s="1953"/>
      <c r="G1855" s="1953"/>
      <c r="H1855" s="1953"/>
      <c r="I1855"/>
      <c r="J1855"/>
      <c r="K1855"/>
      <c r="L1855"/>
    </row>
    <row r="1856" spans="2:12" x14ac:dyDescent="0.35">
      <c r="B1856" s="1953"/>
      <c r="C1856" s="1953"/>
      <c r="D1856" s="1953"/>
      <c r="E1856" s="1953"/>
      <c r="F1856" s="1953"/>
      <c r="G1856" s="1953"/>
      <c r="H1856" s="1953"/>
      <c r="I1856"/>
      <c r="J1856"/>
      <c r="K1856"/>
      <c r="L1856"/>
    </row>
    <row r="1857" spans="2:12" x14ac:dyDescent="0.35">
      <c r="B1857" s="1953"/>
      <c r="C1857" s="1953"/>
      <c r="D1857" s="1953"/>
      <c r="E1857" s="1953"/>
      <c r="F1857" s="1953"/>
      <c r="G1857" s="1953"/>
      <c r="H1857" s="1953"/>
      <c r="I1857"/>
      <c r="J1857"/>
      <c r="K1857"/>
      <c r="L1857"/>
    </row>
    <row r="1858" spans="2:12" x14ac:dyDescent="0.35">
      <c r="B1858" s="1953"/>
      <c r="C1858" s="1953"/>
      <c r="D1858" s="1953"/>
      <c r="E1858" s="1953"/>
      <c r="F1858" s="1953"/>
      <c r="G1858" s="1953"/>
      <c r="H1858" s="1953"/>
      <c r="I1858"/>
      <c r="J1858"/>
      <c r="K1858"/>
      <c r="L1858"/>
    </row>
    <row r="1859" spans="2:12" x14ac:dyDescent="0.35">
      <c r="B1859" s="1953"/>
      <c r="C1859" s="1953"/>
      <c r="D1859" s="1953"/>
      <c r="E1859" s="1953"/>
      <c r="F1859" s="1953"/>
      <c r="G1859" s="1953"/>
      <c r="H1859" s="1953"/>
      <c r="I1859"/>
      <c r="J1859"/>
      <c r="K1859"/>
      <c r="L1859"/>
    </row>
    <row r="1860" spans="2:12" x14ac:dyDescent="0.35">
      <c r="B1860" s="1953"/>
      <c r="C1860" s="1953"/>
      <c r="D1860" s="1953"/>
      <c r="E1860" s="1953"/>
      <c r="F1860" s="1953"/>
      <c r="G1860" s="1953"/>
      <c r="H1860" s="1953"/>
      <c r="I1860"/>
      <c r="J1860"/>
      <c r="K1860"/>
      <c r="L1860"/>
    </row>
    <row r="1861" spans="2:12" x14ac:dyDescent="0.35">
      <c r="B1861" s="1953"/>
      <c r="C1861" s="1953"/>
      <c r="D1861" s="1953"/>
      <c r="E1861" s="1953"/>
      <c r="F1861" s="1953"/>
      <c r="G1861" s="1953"/>
      <c r="H1861" s="1953"/>
      <c r="I1861"/>
      <c r="J1861"/>
      <c r="K1861"/>
      <c r="L1861"/>
    </row>
    <row r="1862" spans="2:12" x14ac:dyDescent="0.35">
      <c r="B1862" s="1953"/>
      <c r="C1862" s="1953"/>
      <c r="D1862" s="1953"/>
      <c r="E1862" s="1953"/>
      <c r="F1862" s="1953"/>
      <c r="G1862" s="1953"/>
      <c r="H1862" s="1953"/>
      <c r="I1862"/>
      <c r="J1862"/>
      <c r="K1862"/>
      <c r="L1862"/>
    </row>
    <row r="1863" spans="2:12" x14ac:dyDescent="0.35">
      <c r="B1863" s="1953"/>
      <c r="C1863" s="1953"/>
      <c r="D1863" s="1953"/>
      <c r="E1863" s="1953"/>
      <c r="F1863" s="1953"/>
      <c r="G1863" s="1953"/>
      <c r="H1863" s="1953"/>
      <c r="I1863"/>
      <c r="J1863"/>
      <c r="K1863"/>
      <c r="L1863"/>
    </row>
    <row r="1864" spans="2:12" x14ac:dyDescent="0.35">
      <c r="B1864" s="1953"/>
      <c r="C1864" s="1953"/>
      <c r="D1864" s="1953"/>
      <c r="E1864" s="1953"/>
      <c r="F1864" s="1953"/>
      <c r="G1864" s="1953"/>
      <c r="H1864" s="1953"/>
      <c r="I1864"/>
      <c r="J1864"/>
      <c r="K1864"/>
      <c r="L1864"/>
    </row>
    <row r="1865" spans="2:12" x14ac:dyDescent="0.35">
      <c r="B1865" s="1953"/>
      <c r="C1865" s="1953"/>
      <c r="D1865" s="1953"/>
      <c r="E1865" s="1953"/>
      <c r="F1865" s="1953"/>
      <c r="G1865" s="1953"/>
      <c r="H1865" s="1953"/>
      <c r="I1865"/>
      <c r="J1865"/>
      <c r="K1865"/>
      <c r="L1865"/>
    </row>
    <row r="1866" spans="2:12" x14ac:dyDescent="0.35">
      <c r="B1866" s="1953"/>
      <c r="C1866" s="1953"/>
      <c r="D1866" s="1953"/>
      <c r="E1866" s="1953"/>
      <c r="F1866" s="1953"/>
      <c r="G1866" s="1953"/>
      <c r="H1866" s="1953"/>
      <c r="I1866"/>
      <c r="J1866"/>
      <c r="K1866"/>
      <c r="L1866"/>
    </row>
    <row r="1867" spans="2:12" x14ac:dyDescent="0.35">
      <c r="B1867" s="1953"/>
      <c r="C1867" s="1953"/>
      <c r="D1867" s="1953"/>
      <c r="E1867" s="1953"/>
      <c r="F1867" s="1953"/>
      <c r="G1867" s="1953"/>
      <c r="H1867" s="1953"/>
      <c r="I1867"/>
      <c r="J1867"/>
      <c r="K1867"/>
      <c r="L1867"/>
    </row>
    <row r="1868" spans="2:12" x14ac:dyDescent="0.35">
      <c r="B1868" s="1953"/>
      <c r="C1868" s="1953"/>
      <c r="D1868" s="1953"/>
      <c r="E1868" s="1953"/>
      <c r="F1868" s="1953"/>
      <c r="G1868" s="1953"/>
      <c r="H1868" s="1953"/>
      <c r="I1868"/>
      <c r="J1868"/>
      <c r="K1868"/>
      <c r="L1868"/>
    </row>
    <row r="1869" spans="2:12" x14ac:dyDescent="0.35">
      <c r="B1869" s="1953"/>
      <c r="C1869" s="1953"/>
      <c r="D1869" s="1953"/>
      <c r="E1869" s="1953"/>
      <c r="F1869" s="1953"/>
      <c r="G1869" s="1953"/>
      <c r="H1869" s="1953"/>
      <c r="I1869"/>
      <c r="J1869"/>
      <c r="K1869"/>
      <c r="L1869"/>
    </row>
    <row r="1870" spans="2:12" x14ac:dyDescent="0.35">
      <c r="B1870" s="1953"/>
      <c r="C1870" s="1953"/>
      <c r="D1870" s="1953"/>
      <c r="E1870" s="1953"/>
      <c r="F1870" s="1953"/>
      <c r="G1870" s="1953"/>
      <c r="H1870" s="1953"/>
      <c r="I1870"/>
      <c r="J1870"/>
      <c r="K1870"/>
      <c r="L1870"/>
    </row>
    <row r="1871" spans="2:12" x14ac:dyDescent="0.35">
      <c r="B1871" s="1953"/>
      <c r="C1871" s="1953"/>
      <c r="D1871" s="1953"/>
      <c r="E1871" s="1953"/>
      <c r="F1871" s="1953"/>
      <c r="G1871" s="1953"/>
      <c r="H1871" s="1953"/>
      <c r="I1871"/>
      <c r="J1871"/>
      <c r="K1871"/>
      <c r="L1871"/>
    </row>
    <row r="1872" spans="2:12" x14ac:dyDescent="0.35">
      <c r="B1872" s="1953"/>
      <c r="C1872" s="1953"/>
      <c r="D1872" s="1953"/>
      <c r="E1872" s="1953"/>
      <c r="F1872" s="1953"/>
      <c r="G1872" s="1953"/>
      <c r="H1872" s="1953"/>
      <c r="I1872"/>
      <c r="J1872"/>
      <c r="K1872"/>
      <c r="L1872"/>
    </row>
    <row r="1873" spans="2:12" x14ac:dyDescent="0.35">
      <c r="B1873" s="1953"/>
      <c r="C1873" s="1953"/>
      <c r="D1873" s="1953"/>
      <c r="E1873" s="1953"/>
      <c r="F1873" s="1953"/>
      <c r="G1873" s="1953"/>
      <c r="H1873" s="1953"/>
      <c r="I1873"/>
      <c r="J1873"/>
      <c r="K1873"/>
      <c r="L1873"/>
    </row>
    <row r="1874" spans="2:12" x14ac:dyDescent="0.35">
      <c r="B1874" s="1953"/>
      <c r="C1874" s="1953"/>
      <c r="D1874" s="1953"/>
      <c r="E1874" s="1953"/>
      <c r="F1874" s="1953"/>
      <c r="G1874" s="1953"/>
      <c r="H1874" s="1953"/>
      <c r="I1874"/>
      <c r="J1874"/>
      <c r="K1874"/>
      <c r="L1874"/>
    </row>
    <row r="1875" spans="2:12" x14ac:dyDescent="0.35">
      <c r="B1875" s="1953"/>
      <c r="C1875" s="1953"/>
      <c r="D1875" s="1953"/>
      <c r="E1875" s="1953"/>
      <c r="F1875" s="1953"/>
      <c r="G1875" s="1953"/>
      <c r="H1875" s="1953"/>
      <c r="I1875"/>
      <c r="J1875"/>
      <c r="K1875"/>
      <c r="L1875"/>
    </row>
    <row r="1876" spans="2:12" x14ac:dyDescent="0.35">
      <c r="B1876" s="1953"/>
      <c r="C1876" s="1953"/>
      <c r="D1876" s="1953"/>
      <c r="E1876" s="1953"/>
      <c r="F1876" s="1953"/>
      <c r="G1876" s="1953"/>
      <c r="H1876" s="1953"/>
      <c r="I1876"/>
      <c r="J1876"/>
      <c r="K1876"/>
      <c r="L1876"/>
    </row>
    <row r="1877" spans="2:12" x14ac:dyDescent="0.35">
      <c r="B1877" s="1953"/>
      <c r="C1877" s="1953"/>
      <c r="D1877" s="1953"/>
      <c r="E1877" s="1953"/>
      <c r="F1877" s="1953"/>
      <c r="G1877" s="1953"/>
      <c r="H1877" s="1953"/>
      <c r="I1877"/>
      <c r="J1877"/>
      <c r="K1877"/>
      <c r="L1877"/>
    </row>
    <row r="1878" spans="2:12" x14ac:dyDescent="0.35">
      <c r="B1878" s="1953"/>
      <c r="C1878" s="1953"/>
      <c r="D1878" s="1953"/>
      <c r="E1878" s="1953"/>
      <c r="F1878" s="1953"/>
      <c r="G1878" s="1953"/>
      <c r="H1878" s="1953"/>
      <c r="I1878"/>
      <c r="J1878"/>
      <c r="K1878"/>
      <c r="L1878"/>
    </row>
    <row r="1879" spans="2:12" x14ac:dyDescent="0.35">
      <c r="B1879" s="1953"/>
      <c r="C1879" s="1953"/>
      <c r="D1879" s="1953"/>
      <c r="E1879" s="1953"/>
      <c r="F1879" s="1953"/>
      <c r="G1879" s="1953"/>
      <c r="H1879" s="1953"/>
      <c r="I1879"/>
      <c r="J1879"/>
      <c r="K1879"/>
      <c r="L1879"/>
    </row>
    <row r="1880" spans="2:12" x14ac:dyDescent="0.35">
      <c r="B1880" s="1953"/>
      <c r="C1880" s="1953"/>
      <c r="D1880" s="1953"/>
      <c r="E1880" s="1953"/>
      <c r="F1880" s="1953"/>
      <c r="G1880" s="1953"/>
      <c r="H1880" s="1953"/>
      <c r="I1880"/>
      <c r="J1880"/>
      <c r="K1880"/>
      <c r="L1880"/>
    </row>
    <row r="1881" spans="2:12" x14ac:dyDescent="0.35">
      <c r="B1881" s="1953"/>
      <c r="C1881" s="1953"/>
      <c r="D1881" s="1953"/>
      <c r="E1881" s="1953"/>
      <c r="F1881" s="1953"/>
      <c r="G1881" s="1953"/>
      <c r="H1881" s="1953"/>
      <c r="I1881"/>
      <c r="J1881"/>
      <c r="K1881"/>
      <c r="L1881"/>
    </row>
    <row r="1882" spans="2:12" x14ac:dyDescent="0.35">
      <c r="B1882" s="1953"/>
      <c r="C1882" s="1953"/>
      <c r="D1882" s="1953"/>
      <c r="E1882" s="1953"/>
      <c r="F1882" s="1953"/>
      <c r="G1882" s="1953"/>
      <c r="H1882" s="1953"/>
      <c r="I1882"/>
      <c r="J1882"/>
      <c r="K1882"/>
      <c r="L1882"/>
    </row>
    <row r="1883" spans="2:12" x14ac:dyDescent="0.35">
      <c r="B1883" s="1953"/>
      <c r="C1883" s="1953"/>
      <c r="D1883" s="1953"/>
      <c r="E1883" s="1953"/>
      <c r="F1883" s="1953"/>
      <c r="G1883" s="1953"/>
      <c r="H1883" s="1953"/>
      <c r="I1883"/>
      <c r="J1883"/>
      <c r="K1883"/>
      <c r="L1883"/>
    </row>
    <row r="1884" spans="2:12" x14ac:dyDescent="0.35">
      <c r="B1884" s="1953"/>
      <c r="C1884" s="1953"/>
      <c r="D1884" s="1953"/>
      <c r="E1884" s="1953"/>
      <c r="F1884" s="1953"/>
      <c r="G1884" s="1953"/>
      <c r="H1884" s="1953"/>
      <c r="I1884"/>
      <c r="J1884"/>
      <c r="K1884"/>
      <c r="L1884"/>
    </row>
    <row r="1885" spans="2:12" x14ac:dyDescent="0.35">
      <c r="B1885" s="1953"/>
      <c r="C1885" s="1953"/>
      <c r="D1885" s="1953"/>
      <c r="E1885" s="1953"/>
      <c r="F1885" s="1953"/>
      <c r="G1885" s="1953"/>
      <c r="H1885" s="1953"/>
      <c r="I1885"/>
      <c r="J1885"/>
      <c r="K1885"/>
      <c r="L1885"/>
    </row>
    <row r="1886" spans="2:12" x14ac:dyDescent="0.35">
      <c r="B1886" s="1953"/>
      <c r="C1886" s="1953"/>
      <c r="D1886" s="1953"/>
      <c r="E1886" s="1953"/>
      <c r="F1886" s="1953"/>
      <c r="G1886" s="1953"/>
      <c r="H1886" s="1953"/>
      <c r="I1886"/>
      <c r="J1886"/>
      <c r="K1886"/>
      <c r="L1886"/>
    </row>
    <row r="1887" spans="2:12" x14ac:dyDescent="0.35">
      <c r="B1887" s="1953"/>
      <c r="C1887" s="1953"/>
      <c r="D1887" s="1953"/>
      <c r="E1887" s="1953"/>
      <c r="F1887" s="1953"/>
      <c r="G1887" s="1953"/>
      <c r="H1887" s="1953"/>
      <c r="I1887"/>
      <c r="J1887"/>
      <c r="K1887"/>
      <c r="L1887"/>
    </row>
    <row r="1888" spans="2:12" x14ac:dyDescent="0.35">
      <c r="B1888" s="1953"/>
      <c r="C1888" s="1953"/>
      <c r="D1888" s="1953"/>
      <c r="E1888" s="1953"/>
      <c r="F1888" s="1953"/>
      <c r="G1888" s="1953"/>
      <c r="H1888" s="1953"/>
      <c r="I1888"/>
      <c r="J1888"/>
      <c r="K1888"/>
      <c r="L1888"/>
    </row>
    <row r="1889" spans="2:12" x14ac:dyDescent="0.35">
      <c r="B1889" s="1953"/>
      <c r="C1889" s="1953"/>
      <c r="D1889" s="1953"/>
      <c r="E1889" s="1953"/>
      <c r="F1889" s="1953"/>
      <c r="G1889" s="1953"/>
      <c r="H1889" s="1953"/>
      <c r="I1889"/>
      <c r="J1889"/>
      <c r="K1889"/>
      <c r="L1889"/>
    </row>
    <row r="1890" spans="2:12" x14ac:dyDescent="0.35">
      <c r="B1890" s="1953"/>
      <c r="C1890" s="1953"/>
      <c r="D1890" s="1953"/>
      <c r="E1890" s="1953"/>
      <c r="F1890" s="1953"/>
      <c r="G1890" s="1953"/>
      <c r="H1890" s="1953"/>
      <c r="I1890"/>
      <c r="J1890"/>
      <c r="K1890"/>
      <c r="L1890"/>
    </row>
    <row r="1891" spans="2:12" x14ac:dyDescent="0.35">
      <c r="B1891" s="1953"/>
      <c r="C1891" s="1953"/>
      <c r="D1891" s="1953"/>
      <c r="E1891" s="1953"/>
      <c r="F1891" s="1953"/>
      <c r="G1891" s="1953"/>
      <c r="H1891" s="1953"/>
      <c r="I1891"/>
      <c r="J1891"/>
      <c r="K1891"/>
      <c r="L1891"/>
    </row>
    <row r="1892" spans="2:12" x14ac:dyDescent="0.35">
      <c r="B1892" s="1953"/>
      <c r="C1892" s="1953"/>
      <c r="D1892" s="1953"/>
      <c r="E1892" s="1953"/>
      <c r="F1892" s="1953"/>
      <c r="G1892" s="1953"/>
      <c r="H1892" s="1953"/>
      <c r="I1892"/>
      <c r="J1892"/>
      <c r="K1892"/>
      <c r="L1892"/>
    </row>
    <row r="1893" spans="2:12" x14ac:dyDescent="0.35">
      <c r="B1893" s="1953"/>
      <c r="C1893" s="1953"/>
      <c r="D1893" s="1953"/>
      <c r="E1893" s="1953"/>
      <c r="F1893" s="1953"/>
      <c r="G1893" s="1953"/>
      <c r="H1893" s="1953"/>
      <c r="I1893"/>
      <c r="J1893"/>
      <c r="K1893"/>
      <c r="L1893"/>
    </row>
    <row r="1894" spans="2:12" x14ac:dyDescent="0.35">
      <c r="B1894" s="1953"/>
      <c r="C1894" s="1953"/>
      <c r="D1894" s="1953"/>
      <c r="E1894" s="1953"/>
      <c r="F1894" s="1953"/>
      <c r="G1894" s="1953"/>
      <c r="H1894" s="1953"/>
      <c r="I1894"/>
      <c r="J1894"/>
      <c r="K1894"/>
      <c r="L1894"/>
    </row>
    <row r="1895" spans="2:12" x14ac:dyDescent="0.35">
      <c r="B1895" s="1953"/>
      <c r="C1895" s="1953"/>
      <c r="D1895" s="1953"/>
      <c r="E1895" s="1953"/>
      <c r="F1895" s="1953"/>
      <c r="G1895" s="1953"/>
      <c r="H1895" s="1953"/>
      <c r="I1895"/>
      <c r="J1895"/>
      <c r="K1895"/>
      <c r="L1895"/>
    </row>
    <row r="1896" spans="2:12" x14ac:dyDescent="0.35">
      <c r="B1896" s="1953"/>
      <c r="C1896" s="1953"/>
      <c r="D1896" s="1953"/>
      <c r="E1896" s="1953"/>
      <c r="F1896" s="1953"/>
      <c r="G1896" s="1953"/>
      <c r="H1896" s="1953"/>
      <c r="I1896"/>
      <c r="J1896"/>
      <c r="K1896"/>
      <c r="L1896"/>
    </row>
    <row r="1897" spans="2:12" x14ac:dyDescent="0.35">
      <c r="B1897" s="1953"/>
      <c r="C1897" s="1953"/>
      <c r="D1897" s="1953"/>
      <c r="E1897" s="1953"/>
      <c r="F1897" s="1953"/>
      <c r="G1897" s="1953"/>
      <c r="H1897" s="1953"/>
      <c r="I1897"/>
      <c r="J1897"/>
      <c r="K1897"/>
      <c r="L1897"/>
    </row>
    <row r="1898" spans="2:12" x14ac:dyDescent="0.35">
      <c r="B1898" s="1953"/>
      <c r="C1898" s="1953"/>
      <c r="D1898" s="1953"/>
      <c r="E1898" s="1953"/>
      <c r="F1898" s="1953"/>
      <c r="G1898" s="1953"/>
      <c r="H1898" s="1953"/>
      <c r="I1898"/>
      <c r="J1898"/>
      <c r="K1898"/>
      <c r="L1898"/>
    </row>
    <row r="1899" spans="2:12" x14ac:dyDescent="0.35">
      <c r="B1899" s="1953"/>
      <c r="C1899" s="1953"/>
      <c r="D1899" s="1953"/>
      <c r="E1899" s="1953"/>
      <c r="F1899" s="1953"/>
      <c r="G1899" s="1953"/>
      <c r="H1899" s="1953"/>
      <c r="I1899"/>
      <c r="J1899"/>
      <c r="K1899"/>
      <c r="L1899"/>
    </row>
    <row r="1900" spans="2:12" x14ac:dyDescent="0.35">
      <c r="B1900" s="1953"/>
      <c r="C1900" s="1953"/>
      <c r="D1900" s="1953"/>
      <c r="E1900" s="1953"/>
      <c r="F1900" s="1953"/>
      <c r="G1900" s="1953"/>
      <c r="H1900" s="1953"/>
      <c r="I1900"/>
      <c r="J1900"/>
      <c r="K1900"/>
      <c r="L1900"/>
    </row>
    <row r="1901" spans="2:12" x14ac:dyDescent="0.35">
      <c r="B1901" s="1953"/>
      <c r="C1901" s="1953"/>
      <c r="D1901" s="1953"/>
      <c r="E1901" s="1953"/>
      <c r="F1901" s="1953"/>
      <c r="G1901" s="1953"/>
      <c r="H1901" s="1953"/>
      <c r="I1901"/>
      <c r="J1901"/>
      <c r="K1901"/>
      <c r="L1901"/>
    </row>
    <row r="1902" spans="2:12" x14ac:dyDescent="0.35">
      <c r="B1902" s="1953"/>
      <c r="C1902" s="1953"/>
      <c r="D1902" s="1953"/>
      <c r="E1902" s="1953"/>
      <c r="F1902" s="1953"/>
      <c r="G1902" s="1953"/>
      <c r="H1902" s="1953"/>
      <c r="I1902"/>
      <c r="J1902"/>
      <c r="K1902"/>
      <c r="L1902"/>
    </row>
    <row r="1903" spans="2:12" x14ac:dyDescent="0.35">
      <c r="B1903" s="1953"/>
      <c r="C1903" s="1953"/>
      <c r="D1903" s="1953"/>
      <c r="E1903" s="1953"/>
      <c r="F1903" s="1953"/>
      <c r="G1903" s="1953"/>
      <c r="H1903" s="1953"/>
      <c r="I1903"/>
      <c r="J1903"/>
      <c r="K1903"/>
      <c r="L1903"/>
    </row>
    <row r="1904" spans="2:12" x14ac:dyDescent="0.35">
      <c r="B1904" s="1953"/>
      <c r="C1904" s="1953"/>
      <c r="D1904" s="1953"/>
      <c r="E1904" s="1953"/>
      <c r="F1904" s="1953"/>
      <c r="G1904" s="1953"/>
      <c r="H1904" s="1953"/>
      <c r="I1904"/>
      <c r="J1904"/>
      <c r="K1904"/>
      <c r="L1904"/>
    </row>
    <row r="1905" spans="2:12" x14ac:dyDescent="0.35">
      <c r="B1905" s="1953"/>
      <c r="C1905" s="1953"/>
      <c r="D1905" s="1953"/>
      <c r="E1905" s="1953"/>
      <c r="F1905" s="1953"/>
      <c r="G1905" s="1953"/>
      <c r="H1905" s="1953"/>
      <c r="I1905"/>
      <c r="J1905"/>
      <c r="K1905"/>
      <c r="L1905"/>
    </row>
    <row r="1906" spans="2:12" x14ac:dyDescent="0.35">
      <c r="B1906" s="1953"/>
      <c r="C1906" s="1953"/>
      <c r="D1906" s="1953"/>
      <c r="E1906" s="1953"/>
      <c r="F1906" s="1953"/>
      <c r="G1906" s="1953"/>
      <c r="H1906" s="1953"/>
      <c r="I1906"/>
      <c r="J1906"/>
      <c r="K1906"/>
      <c r="L1906"/>
    </row>
    <row r="1907" spans="2:12" x14ac:dyDescent="0.35">
      <c r="B1907" s="1953"/>
      <c r="C1907" s="1953"/>
      <c r="D1907" s="1953"/>
      <c r="E1907" s="1953"/>
      <c r="F1907" s="1953"/>
      <c r="G1907" s="1953"/>
      <c r="H1907" s="1953"/>
      <c r="I1907"/>
      <c r="J1907"/>
      <c r="K1907"/>
      <c r="L1907"/>
    </row>
    <row r="1908" spans="2:12" x14ac:dyDescent="0.35">
      <c r="B1908" s="1953"/>
      <c r="C1908" s="1953"/>
      <c r="D1908" s="1953"/>
      <c r="E1908" s="1953"/>
      <c r="F1908" s="1953"/>
      <c r="G1908" s="1953"/>
      <c r="H1908" s="1953"/>
      <c r="I1908"/>
      <c r="J1908"/>
      <c r="K1908"/>
      <c r="L1908"/>
    </row>
    <row r="1909" spans="2:12" x14ac:dyDescent="0.35">
      <c r="B1909" s="1953"/>
      <c r="C1909" s="1953"/>
      <c r="D1909" s="1953"/>
      <c r="E1909" s="1953"/>
      <c r="F1909" s="1953"/>
      <c r="G1909" s="1953"/>
      <c r="H1909" s="1953"/>
      <c r="I1909"/>
      <c r="J1909"/>
      <c r="K1909"/>
      <c r="L1909"/>
    </row>
    <row r="1910" spans="2:12" x14ac:dyDescent="0.35">
      <c r="B1910" s="1953"/>
      <c r="C1910" s="1953"/>
      <c r="D1910" s="1953"/>
      <c r="E1910" s="1953"/>
      <c r="F1910" s="1953"/>
      <c r="G1910" s="1953"/>
      <c r="H1910" s="1953"/>
      <c r="I1910"/>
      <c r="J1910"/>
      <c r="K1910"/>
      <c r="L1910"/>
    </row>
    <row r="1911" spans="2:12" x14ac:dyDescent="0.35">
      <c r="B1911" s="1953"/>
      <c r="C1911" s="1953"/>
      <c r="D1911" s="1953"/>
      <c r="E1911" s="1953"/>
      <c r="F1911" s="1953"/>
      <c r="G1911" s="1953"/>
      <c r="H1911" s="1953"/>
      <c r="I1911"/>
      <c r="J1911"/>
      <c r="K1911"/>
      <c r="L1911"/>
    </row>
    <row r="1912" spans="2:12" x14ac:dyDescent="0.35">
      <c r="B1912" s="1953"/>
      <c r="C1912" s="1953"/>
      <c r="D1912" s="1953"/>
      <c r="E1912" s="1953"/>
      <c r="F1912" s="1953"/>
      <c r="G1912" s="1953"/>
      <c r="H1912" s="1953"/>
      <c r="I1912"/>
      <c r="J1912"/>
      <c r="K1912"/>
      <c r="L1912"/>
    </row>
    <row r="1913" spans="2:12" x14ac:dyDescent="0.35">
      <c r="B1913" s="1953"/>
      <c r="C1913" s="1953"/>
      <c r="D1913" s="1953"/>
      <c r="E1913" s="1953"/>
      <c r="F1913" s="1953"/>
      <c r="G1913" s="1953"/>
      <c r="H1913" s="1953"/>
      <c r="I1913"/>
      <c r="J1913"/>
      <c r="K1913"/>
      <c r="L1913"/>
    </row>
    <row r="1914" spans="2:12" x14ac:dyDescent="0.35">
      <c r="B1914" s="1953"/>
      <c r="C1914" s="1953"/>
      <c r="D1914" s="1953"/>
      <c r="E1914" s="1953"/>
      <c r="F1914" s="1953"/>
      <c r="G1914" s="1953"/>
      <c r="H1914" s="1953"/>
      <c r="I1914"/>
      <c r="J1914"/>
      <c r="K1914"/>
      <c r="L1914"/>
    </row>
    <row r="1915" spans="2:12" x14ac:dyDescent="0.35">
      <c r="B1915" s="1953"/>
      <c r="C1915" s="1953"/>
      <c r="D1915" s="1953"/>
      <c r="E1915" s="1953"/>
      <c r="F1915" s="1953"/>
      <c r="G1915" s="1953"/>
      <c r="H1915" s="1953"/>
      <c r="I1915"/>
      <c r="J1915"/>
      <c r="K1915"/>
      <c r="L1915"/>
    </row>
    <row r="1916" spans="2:12" x14ac:dyDescent="0.35">
      <c r="B1916" s="1953"/>
      <c r="C1916" s="1953"/>
      <c r="D1916" s="1953"/>
      <c r="E1916" s="1953"/>
      <c r="F1916" s="1953"/>
      <c r="G1916" s="1953"/>
      <c r="H1916" s="1953"/>
      <c r="I1916"/>
      <c r="J1916"/>
      <c r="K1916"/>
      <c r="L1916"/>
    </row>
    <row r="1917" spans="2:12" x14ac:dyDescent="0.35">
      <c r="B1917" s="1953"/>
      <c r="C1917" s="1953"/>
      <c r="D1917" s="1953"/>
      <c r="E1917" s="1953"/>
      <c r="F1917" s="1953"/>
      <c r="G1917" s="1953"/>
      <c r="H1917" s="1953"/>
      <c r="I1917"/>
      <c r="J1917"/>
      <c r="K1917"/>
      <c r="L1917"/>
    </row>
    <row r="1918" spans="2:12" x14ac:dyDescent="0.35">
      <c r="B1918" s="1953"/>
      <c r="C1918" s="1953"/>
      <c r="D1918" s="1953"/>
      <c r="E1918" s="1953"/>
      <c r="F1918" s="1953"/>
      <c r="G1918" s="1953"/>
      <c r="H1918" s="1953"/>
      <c r="I1918"/>
      <c r="J1918"/>
      <c r="K1918"/>
      <c r="L1918"/>
    </row>
    <row r="1919" spans="2:12" x14ac:dyDescent="0.35">
      <c r="B1919" s="1953"/>
      <c r="C1919" s="1953"/>
      <c r="D1919" s="1953"/>
      <c r="E1919" s="1953"/>
      <c r="F1919" s="1953"/>
      <c r="G1919" s="1953"/>
      <c r="H1919" s="1953"/>
      <c r="I1919"/>
      <c r="J1919"/>
      <c r="K1919"/>
      <c r="L1919"/>
    </row>
    <row r="1920" spans="2:12" x14ac:dyDescent="0.35">
      <c r="B1920" s="1953"/>
      <c r="C1920" s="1953"/>
      <c r="D1920" s="1953"/>
      <c r="E1920" s="1953"/>
      <c r="F1920" s="1953"/>
      <c r="G1920" s="1953"/>
      <c r="H1920" s="1953"/>
      <c r="I1920"/>
      <c r="J1920"/>
      <c r="K1920"/>
      <c r="L1920"/>
    </row>
    <row r="1921" spans="2:12" x14ac:dyDescent="0.35">
      <c r="B1921" s="1953"/>
      <c r="C1921" s="1953"/>
      <c r="D1921" s="1953"/>
      <c r="E1921" s="1953"/>
      <c r="F1921" s="1953"/>
      <c r="G1921" s="1953"/>
      <c r="H1921" s="1953"/>
      <c r="I1921"/>
      <c r="J1921"/>
      <c r="K1921"/>
      <c r="L1921"/>
    </row>
    <row r="1922" spans="2:12" x14ac:dyDescent="0.35">
      <c r="B1922" s="1953"/>
      <c r="C1922" s="1953"/>
      <c r="D1922" s="1953"/>
      <c r="E1922" s="1953"/>
      <c r="F1922" s="1953"/>
      <c r="G1922" s="1953"/>
      <c r="H1922" s="1953"/>
      <c r="I1922"/>
      <c r="J1922"/>
      <c r="K1922"/>
      <c r="L1922"/>
    </row>
    <row r="1923" spans="2:12" x14ac:dyDescent="0.35">
      <c r="B1923" s="1953"/>
      <c r="C1923" s="1953"/>
      <c r="D1923" s="1953"/>
      <c r="E1923" s="1953"/>
      <c r="F1923" s="1953"/>
      <c r="G1923" s="1953"/>
      <c r="H1923" s="1953"/>
      <c r="I1923"/>
      <c r="J1923"/>
      <c r="K1923"/>
      <c r="L1923"/>
    </row>
    <row r="1924" spans="2:12" x14ac:dyDescent="0.35">
      <c r="B1924" s="1953"/>
      <c r="C1924" s="1953"/>
      <c r="D1924" s="1953"/>
      <c r="E1924" s="1953"/>
      <c r="F1924" s="1953"/>
      <c r="G1924" s="1953"/>
      <c r="H1924" s="1953"/>
      <c r="I1924"/>
      <c r="J1924"/>
      <c r="K1924"/>
      <c r="L1924"/>
    </row>
    <row r="1925" spans="2:12" x14ac:dyDescent="0.35">
      <c r="B1925" s="1953"/>
      <c r="C1925" s="1953"/>
      <c r="D1925" s="1953"/>
      <c r="E1925" s="1953"/>
      <c r="F1925" s="1953"/>
      <c r="G1925" s="1953"/>
      <c r="H1925" s="1953"/>
      <c r="I1925"/>
      <c r="J1925"/>
      <c r="K1925"/>
      <c r="L1925"/>
    </row>
    <row r="1926" spans="2:12" x14ac:dyDescent="0.35">
      <c r="B1926" s="1953"/>
      <c r="C1926" s="1953"/>
      <c r="D1926" s="1953"/>
      <c r="E1926" s="1953"/>
      <c r="F1926" s="1953"/>
      <c r="G1926" s="1953"/>
      <c r="H1926" s="1953"/>
      <c r="I1926"/>
      <c r="J1926"/>
      <c r="K1926"/>
      <c r="L1926"/>
    </row>
    <row r="1927" spans="2:12" x14ac:dyDescent="0.35">
      <c r="B1927" s="1953"/>
      <c r="C1927" s="1953"/>
      <c r="D1927" s="1953"/>
      <c r="E1927" s="1953"/>
      <c r="F1927" s="1953"/>
      <c r="G1927" s="1953"/>
      <c r="H1927" s="1953"/>
      <c r="I1927"/>
      <c r="J1927"/>
      <c r="K1927"/>
      <c r="L1927"/>
    </row>
    <row r="1928" spans="2:12" x14ac:dyDescent="0.35">
      <c r="B1928" s="1953"/>
      <c r="C1928" s="1953"/>
      <c r="D1928" s="1953"/>
      <c r="E1928" s="1953"/>
      <c r="F1928" s="1953"/>
      <c r="G1928" s="1953"/>
      <c r="H1928" s="1953"/>
      <c r="I1928"/>
      <c r="J1928"/>
      <c r="K1928"/>
      <c r="L1928"/>
    </row>
    <row r="1929" spans="2:12" x14ac:dyDescent="0.35">
      <c r="B1929" s="1953"/>
      <c r="C1929" s="1953"/>
      <c r="D1929" s="1953"/>
      <c r="E1929" s="1953"/>
      <c r="F1929" s="1953"/>
      <c r="G1929" s="1953"/>
      <c r="H1929" s="1953"/>
      <c r="I1929"/>
      <c r="J1929"/>
      <c r="K1929"/>
      <c r="L1929"/>
    </row>
    <row r="1930" spans="2:12" x14ac:dyDescent="0.35">
      <c r="B1930" s="1953"/>
      <c r="C1930" s="1953"/>
      <c r="D1930" s="1953"/>
      <c r="E1930" s="1953"/>
      <c r="F1930" s="1953"/>
      <c r="G1930" s="1953"/>
      <c r="H1930" s="1953"/>
      <c r="I1930"/>
      <c r="J1930"/>
      <c r="K1930"/>
      <c r="L1930"/>
    </row>
    <row r="1931" spans="2:12" x14ac:dyDescent="0.35">
      <c r="B1931" s="1953"/>
      <c r="C1931" s="1953"/>
      <c r="D1931" s="1953"/>
      <c r="E1931" s="1953"/>
      <c r="F1931" s="1953"/>
      <c r="G1931" s="1953"/>
      <c r="H1931" s="1953"/>
      <c r="I1931"/>
      <c r="J1931"/>
      <c r="K1931"/>
      <c r="L1931"/>
    </row>
    <row r="1932" spans="2:12" x14ac:dyDescent="0.35">
      <c r="B1932" s="1953"/>
      <c r="C1932" s="1953"/>
      <c r="D1932" s="1953"/>
      <c r="E1932" s="1953"/>
      <c r="F1932" s="1953"/>
      <c r="G1932" s="1953"/>
      <c r="H1932" s="1953"/>
      <c r="I1932"/>
      <c r="J1932"/>
      <c r="K1932"/>
      <c r="L1932"/>
    </row>
    <row r="1933" spans="2:12" x14ac:dyDescent="0.35">
      <c r="B1933" s="1953"/>
      <c r="C1933" s="1953"/>
      <c r="D1933" s="1953"/>
      <c r="E1933" s="1953"/>
      <c r="F1933" s="1953"/>
      <c r="G1933" s="1953"/>
      <c r="H1933" s="1953"/>
      <c r="I1933"/>
      <c r="J1933"/>
      <c r="K1933"/>
      <c r="L1933"/>
    </row>
    <row r="1934" spans="2:12" x14ac:dyDescent="0.35">
      <c r="B1934" s="1953"/>
      <c r="C1934" s="1953"/>
      <c r="D1934" s="1953"/>
      <c r="E1934" s="1953"/>
      <c r="F1934" s="1953"/>
      <c r="G1934" s="1953"/>
      <c r="H1934" s="1953"/>
      <c r="I1934"/>
      <c r="J1934"/>
      <c r="K1934"/>
      <c r="L1934"/>
    </row>
    <row r="1935" spans="2:12" x14ac:dyDescent="0.35">
      <c r="B1935" s="1953"/>
      <c r="C1935" s="1953"/>
      <c r="D1935" s="1953"/>
      <c r="E1935" s="1953"/>
      <c r="F1935" s="1953"/>
      <c r="G1935" s="1953"/>
      <c r="H1935" s="1953"/>
      <c r="I1935"/>
      <c r="J1935"/>
      <c r="K1935"/>
      <c r="L1935"/>
    </row>
    <row r="1936" spans="2:12" x14ac:dyDescent="0.35">
      <c r="B1936" s="1953"/>
      <c r="C1936" s="1953"/>
      <c r="D1936" s="1953"/>
      <c r="E1936" s="1953"/>
      <c r="F1936" s="1953"/>
      <c r="G1936" s="1953"/>
      <c r="H1936" s="1953"/>
      <c r="I1936"/>
      <c r="J1936"/>
      <c r="K1936"/>
      <c r="L1936"/>
    </row>
    <row r="1937" spans="2:12" x14ac:dyDescent="0.35">
      <c r="B1937" s="1953"/>
      <c r="C1937" s="1953"/>
      <c r="D1937" s="1953"/>
      <c r="E1937" s="1953"/>
      <c r="F1937" s="1953"/>
      <c r="G1937" s="1953"/>
      <c r="H1937" s="1953"/>
      <c r="I1937"/>
      <c r="J1937"/>
      <c r="K1937"/>
      <c r="L1937"/>
    </row>
    <row r="1938" spans="2:12" x14ac:dyDescent="0.35">
      <c r="B1938" s="1953"/>
      <c r="C1938" s="1953"/>
      <c r="D1938" s="1953"/>
      <c r="E1938" s="1953"/>
      <c r="F1938" s="1953"/>
      <c r="G1938" s="1953"/>
      <c r="H1938" s="1953"/>
      <c r="I1938"/>
      <c r="J1938"/>
      <c r="K1938"/>
      <c r="L1938"/>
    </row>
    <row r="1939" spans="2:12" x14ac:dyDescent="0.35">
      <c r="B1939" s="1953"/>
      <c r="C1939" s="1953"/>
      <c r="D1939" s="1953"/>
      <c r="E1939" s="1953"/>
      <c r="F1939" s="1953"/>
      <c r="G1939" s="1953"/>
      <c r="H1939" s="1953"/>
      <c r="I1939"/>
      <c r="J1939"/>
      <c r="K1939"/>
      <c r="L1939"/>
    </row>
    <row r="1940" spans="2:12" x14ac:dyDescent="0.35">
      <c r="B1940" s="1953"/>
      <c r="C1940" s="1953"/>
      <c r="D1940" s="1953"/>
      <c r="E1940" s="1953"/>
      <c r="F1940" s="1953"/>
      <c r="G1940" s="1953"/>
      <c r="H1940" s="1953"/>
      <c r="I1940"/>
      <c r="J1940"/>
      <c r="K1940"/>
      <c r="L1940"/>
    </row>
    <row r="1941" spans="2:12" x14ac:dyDescent="0.35">
      <c r="B1941" s="1953"/>
      <c r="C1941" s="1953"/>
      <c r="D1941" s="1953"/>
      <c r="E1941" s="1953"/>
      <c r="F1941" s="1953"/>
      <c r="G1941" s="1953"/>
      <c r="H1941" s="1953"/>
      <c r="I1941"/>
      <c r="J1941"/>
      <c r="K1941"/>
      <c r="L1941"/>
    </row>
    <row r="1942" spans="2:12" x14ac:dyDescent="0.35">
      <c r="B1942" s="1953"/>
      <c r="C1942" s="1953"/>
      <c r="D1942" s="1953"/>
      <c r="E1942" s="1953"/>
      <c r="F1942" s="1953"/>
      <c r="G1942" s="1953"/>
      <c r="H1942" s="1953"/>
      <c r="I1942"/>
      <c r="J1942"/>
      <c r="K1942"/>
      <c r="L1942"/>
    </row>
    <row r="1943" spans="2:12" x14ac:dyDescent="0.35">
      <c r="B1943" s="1953"/>
      <c r="C1943" s="1953"/>
      <c r="D1943" s="1953"/>
      <c r="E1943" s="1953"/>
      <c r="F1943" s="1953"/>
      <c r="G1943" s="1953"/>
      <c r="H1943" s="1953"/>
      <c r="I1943"/>
      <c r="J1943"/>
      <c r="K1943"/>
      <c r="L1943"/>
    </row>
    <row r="1944" spans="2:12" x14ac:dyDescent="0.35">
      <c r="B1944" s="1953"/>
      <c r="C1944" s="1953"/>
      <c r="D1944" s="1953"/>
      <c r="E1944" s="1953"/>
      <c r="F1944" s="1953"/>
      <c r="G1944" s="1953"/>
      <c r="H1944" s="1953"/>
      <c r="I1944"/>
      <c r="J1944"/>
      <c r="K1944"/>
      <c r="L1944"/>
    </row>
    <row r="1945" spans="2:12" x14ac:dyDescent="0.35">
      <c r="B1945" s="1953"/>
      <c r="C1945" s="1953"/>
      <c r="D1945" s="1953"/>
      <c r="E1945" s="1953"/>
      <c r="F1945" s="1953"/>
      <c r="G1945" s="1953"/>
      <c r="H1945" s="1953"/>
      <c r="I1945"/>
      <c r="J1945"/>
      <c r="K1945"/>
      <c r="L1945"/>
    </row>
    <row r="1946" spans="2:12" x14ac:dyDescent="0.35">
      <c r="B1946" s="1953"/>
      <c r="C1946" s="1953"/>
      <c r="D1946" s="1953"/>
      <c r="E1946" s="1953"/>
      <c r="F1946" s="1953"/>
      <c r="G1946" s="1953"/>
      <c r="H1946" s="1953"/>
      <c r="I1946"/>
      <c r="J1946"/>
      <c r="K1946"/>
      <c r="L1946"/>
    </row>
    <row r="1947" spans="2:12" x14ac:dyDescent="0.35">
      <c r="B1947" s="1953"/>
      <c r="C1947" s="1953"/>
      <c r="D1947" s="1953"/>
      <c r="E1947" s="1953"/>
      <c r="F1947" s="1953"/>
      <c r="G1947" s="1953"/>
      <c r="H1947" s="1953"/>
      <c r="I1947"/>
      <c r="J1947"/>
      <c r="K1947"/>
      <c r="L1947"/>
    </row>
    <row r="1948" spans="2:12" x14ac:dyDescent="0.35">
      <c r="B1948" s="1953"/>
      <c r="C1948" s="1953"/>
      <c r="D1948" s="1953"/>
      <c r="E1948" s="1953"/>
      <c r="F1948" s="1953"/>
      <c r="G1948" s="1953"/>
      <c r="H1948" s="1953"/>
      <c r="I1948"/>
      <c r="J1948"/>
      <c r="K1948"/>
      <c r="L1948"/>
    </row>
    <row r="1949" spans="2:12" x14ac:dyDescent="0.35">
      <c r="B1949" s="1953"/>
      <c r="C1949" s="1953"/>
      <c r="D1949" s="1953"/>
      <c r="E1949" s="1953"/>
      <c r="F1949" s="1953"/>
      <c r="G1949" s="1953"/>
      <c r="H1949" s="1953"/>
      <c r="I1949"/>
      <c r="J1949"/>
      <c r="K1949"/>
      <c r="L1949"/>
    </row>
    <row r="1950" spans="2:12" x14ac:dyDescent="0.35">
      <c r="B1950" s="1953"/>
      <c r="C1950" s="1953"/>
      <c r="D1950" s="1953"/>
      <c r="E1950" s="1953"/>
      <c r="F1950" s="1953"/>
      <c r="G1950" s="1953"/>
      <c r="H1950" s="1953"/>
      <c r="I1950"/>
      <c r="J1950"/>
      <c r="K1950"/>
      <c r="L1950"/>
    </row>
    <row r="1951" spans="2:12" x14ac:dyDescent="0.35">
      <c r="B1951" s="1953"/>
      <c r="C1951" s="1953"/>
      <c r="D1951" s="1953"/>
      <c r="E1951" s="1953"/>
      <c r="F1951" s="1953"/>
      <c r="G1951" s="1953"/>
      <c r="H1951" s="1953"/>
      <c r="I1951"/>
      <c r="J1951"/>
      <c r="K1951"/>
      <c r="L1951"/>
    </row>
    <row r="1952" spans="2:12" x14ac:dyDescent="0.35">
      <c r="B1952" s="1953"/>
      <c r="C1952" s="1953"/>
      <c r="D1952" s="1953"/>
      <c r="E1952" s="1953"/>
      <c r="F1952" s="1953"/>
      <c r="G1952" s="1953"/>
      <c r="H1952" s="1953"/>
      <c r="I1952"/>
      <c r="J1952"/>
      <c r="K1952"/>
      <c r="L1952"/>
    </row>
    <row r="1953" spans="2:12" x14ac:dyDescent="0.35">
      <c r="B1953" s="1953"/>
      <c r="C1953" s="1953"/>
      <c r="D1953" s="1953"/>
      <c r="E1953" s="1953"/>
      <c r="F1953" s="1953"/>
      <c r="G1953" s="1953"/>
      <c r="H1953" s="1953"/>
      <c r="I1953"/>
      <c r="J1953"/>
      <c r="K1953"/>
      <c r="L1953"/>
    </row>
    <row r="1954" spans="2:12" x14ac:dyDescent="0.35">
      <c r="B1954" s="1953"/>
      <c r="C1954" s="1953"/>
      <c r="D1954" s="1953"/>
      <c r="E1954" s="1953"/>
      <c r="F1954" s="1953"/>
      <c r="G1954" s="1953"/>
      <c r="H1954" s="1953"/>
      <c r="I1954"/>
      <c r="J1954"/>
      <c r="K1954"/>
      <c r="L1954"/>
    </row>
    <row r="1955" spans="2:12" x14ac:dyDescent="0.35">
      <c r="B1955" s="1953"/>
      <c r="C1955" s="1953"/>
      <c r="D1955" s="1953"/>
      <c r="E1955" s="1953"/>
      <c r="F1955" s="1953"/>
      <c r="G1955" s="1953"/>
      <c r="H1955" s="1953"/>
      <c r="I1955"/>
      <c r="J1955"/>
      <c r="K1955"/>
      <c r="L1955"/>
    </row>
    <row r="1956" spans="2:12" x14ac:dyDescent="0.35">
      <c r="B1956" s="1953"/>
      <c r="C1956" s="1953"/>
      <c r="D1956" s="1953"/>
      <c r="E1956" s="1953"/>
      <c r="F1956" s="1953"/>
      <c r="G1956" s="1953"/>
      <c r="H1956" s="1953"/>
      <c r="I1956"/>
      <c r="J1956"/>
      <c r="K1956"/>
      <c r="L1956"/>
    </row>
    <row r="1957" spans="2:12" x14ac:dyDescent="0.35">
      <c r="B1957" s="1953"/>
      <c r="C1957" s="1953"/>
      <c r="D1957" s="1953"/>
      <c r="E1957" s="1953"/>
      <c r="F1957" s="1953"/>
      <c r="G1957" s="1953"/>
      <c r="H1957" s="1953"/>
      <c r="I1957"/>
      <c r="J1957"/>
      <c r="K1957"/>
      <c r="L1957"/>
    </row>
    <row r="1958" spans="2:12" x14ac:dyDescent="0.35">
      <c r="B1958" s="1953"/>
      <c r="C1958" s="1953"/>
      <c r="D1958" s="1953"/>
      <c r="E1958" s="1953"/>
      <c r="F1958" s="1953"/>
      <c r="G1958" s="1953"/>
      <c r="H1958" s="1953"/>
      <c r="I1958"/>
      <c r="J1958"/>
      <c r="K1958"/>
      <c r="L1958"/>
    </row>
    <row r="1959" spans="2:12" x14ac:dyDescent="0.35">
      <c r="B1959" s="1953"/>
      <c r="C1959" s="1953"/>
      <c r="D1959" s="1953"/>
      <c r="E1959" s="1953"/>
      <c r="F1959" s="1953"/>
      <c r="G1959" s="1953"/>
      <c r="H1959" s="1953"/>
      <c r="I1959"/>
      <c r="J1959"/>
      <c r="K1959"/>
      <c r="L1959"/>
    </row>
    <row r="1960" spans="2:12" x14ac:dyDescent="0.35">
      <c r="B1960" s="1953"/>
      <c r="C1960" s="1953"/>
      <c r="D1960" s="1953"/>
      <c r="E1960" s="1953"/>
      <c r="F1960" s="1953"/>
      <c r="G1960" s="1953"/>
      <c r="H1960" s="1953"/>
      <c r="I1960"/>
      <c r="J1960"/>
      <c r="K1960"/>
      <c r="L1960"/>
    </row>
    <row r="1961" spans="2:12" x14ac:dyDescent="0.35">
      <c r="B1961" s="1953"/>
      <c r="C1961" s="1953"/>
      <c r="D1961" s="1953"/>
      <c r="E1961" s="1953"/>
      <c r="F1961" s="1953"/>
      <c r="G1961" s="1953"/>
      <c r="H1961" s="1953"/>
      <c r="I1961"/>
      <c r="J1961"/>
      <c r="K1961"/>
      <c r="L1961"/>
    </row>
    <row r="1962" spans="2:12" x14ac:dyDescent="0.35">
      <c r="B1962" s="1953"/>
      <c r="C1962" s="1953"/>
      <c r="D1962" s="1953"/>
      <c r="E1962" s="1953"/>
      <c r="F1962" s="1953"/>
      <c r="G1962" s="1953"/>
      <c r="H1962" s="1953"/>
      <c r="I1962"/>
      <c r="J1962"/>
      <c r="K1962"/>
      <c r="L1962"/>
    </row>
    <row r="1963" spans="2:12" x14ac:dyDescent="0.35">
      <c r="B1963" s="1953"/>
      <c r="C1963" s="1953"/>
      <c r="D1963" s="1953"/>
      <c r="E1963" s="1953"/>
      <c r="F1963" s="1953"/>
      <c r="G1963" s="1953"/>
      <c r="H1963" s="1953"/>
      <c r="I1963"/>
      <c r="J1963"/>
      <c r="K1963"/>
      <c r="L1963"/>
    </row>
    <row r="1964" spans="2:12" x14ac:dyDescent="0.35">
      <c r="B1964" s="1953"/>
      <c r="C1964" s="1953"/>
      <c r="D1964" s="1953"/>
      <c r="E1964" s="1953"/>
      <c r="F1964" s="1953"/>
      <c r="G1964" s="1953"/>
      <c r="H1964" s="1953"/>
      <c r="I1964"/>
      <c r="J1964"/>
      <c r="K1964"/>
      <c r="L1964"/>
    </row>
    <row r="1965" spans="2:12" x14ac:dyDescent="0.35">
      <c r="B1965" s="1953"/>
      <c r="C1965" s="1953"/>
      <c r="D1965" s="1953"/>
      <c r="E1965" s="1953"/>
      <c r="F1965" s="1953"/>
      <c r="G1965" s="1953"/>
      <c r="H1965" s="1953"/>
      <c r="I1965"/>
      <c r="J1965"/>
      <c r="K1965"/>
      <c r="L1965"/>
    </row>
    <row r="1966" spans="2:12" x14ac:dyDescent="0.35">
      <c r="B1966" s="1953"/>
      <c r="C1966" s="1953"/>
      <c r="D1966" s="1953"/>
      <c r="E1966" s="1953"/>
      <c r="F1966" s="1953"/>
      <c r="G1966" s="1953"/>
      <c r="H1966" s="1953"/>
      <c r="I1966"/>
      <c r="J1966"/>
      <c r="K1966"/>
      <c r="L1966"/>
    </row>
    <row r="1967" spans="2:12" x14ac:dyDescent="0.35">
      <c r="B1967" s="1953"/>
      <c r="C1967" s="1953"/>
      <c r="D1967" s="1953"/>
      <c r="E1967" s="1953"/>
      <c r="F1967" s="1953"/>
      <c r="G1967" s="1953"/>
      <c r="H1967" s="1953"/>
      <c r="I1967"/>
      <c r="J1967"/>
      <c r="K1967"/>
      <c r="L1967"/>
    </row>
    <row r="1968" spans="2:12" x14ac:dyDescent="0.35">
      <c r="B1968" s="1953"/>
      <c r="C1968" s="1953"/>
      <c r="D1968" s="1953"/>
      <c r="E1968" s="1953"/>
      <c r="F1968" s="1953"/>
      <c r="G1968" s="1953"/>
      <c r="H1968" s="1953"/>
      <c r="I1968"/>
      <c r="J1968"/>
      <c r="K1968"/>
      <c r="L1968"/>
    </row>
    <row r="1969" spans="2:12" x14ac:dyDescent="0.35">
      <c r="B1969" s="1953"/>
      <c r="C1969" s="1953"/>
      <c r="D1969" s="1953"/>
      <c r="E1969" s="1953"/>
      <c r="F1969" s="1953"/>
      <c r="G1969" s="1953"/>
      <c r="H1969" s="1953"/>
      <c r="I1969"/>
      <c r="J1969"/>
      <c r="K1969"/>
      <c r="L1969"/>
    </row>
    <row r="1970" spans="2:12" x14ac:dyDescent="0.35">
      <c r="B1970" s="1953"/>
      <c r="C1970" s="1953"/>
      <c r="D1970" s="1953"/>
      <c r="E1970" s="1953"/>
      <c r="F1970" s="1953"/>
      <c r="G1970" s="1953"/>
      <c r="H1970" s="1953"/>
      <c r="I1970"/>
      <c r="J1970"/>
      <c r="K1970"/>
      <c r="L1970"/>
    </row>
    <row r="1971" spans="2:12" x14ac:dyDescent="0.35">
      <c r="B1971" s="1953"/>
      <c r="C1971" s="1953"/>
      <c r="D1971" s="1953"/>
      <c r="E1971" s="1953"/>
      <c r="F1971" s="1953"/>
      <c r="G1971" s="1953"/>
      <c r="H1971" s="1953"/>
      <c r="I1971"/>
      <c r="J1971"/>
      <c r="K1971"/>
      <c r="L1971"/>
    </row>
    <row r="1972" spans="2:12" x14ac:dyDescent="0.35">
      <c r="B1972" s="1953"/>
      <c r="C1972" s="1953"/>
      <c r="D1972" s="1953"/>
      <c r="E1972" s="1953"/>
      <c r="F1972" s="1953"/>
      <c r="G1972" s="1953"/>
      <c r="H1972" s="1953"/>
      <c r="I1972"/>
      <c r="J1972"/>
      <c r="K1972"/>
      <c r="L1972"/>
    </row>
    <row r="1973" spans="2:12" x14ac:dyDescent="0.35">
      <c r="B1973" s="1953"/>
      <c r="C1973" s="1953"/>
      <c r="D1973" s="1953"/>
      <c r="E1973" s="1953"/>
      <c r="F1973" s="1953"/>
      <c r="G1973" s="1953"/>
      <c r="H1973" s="1953"/>
      <c r="I1973"/>
      <c r="J1973"/>
      <c r="K1973"/>
      <c r="L1973"/>
    </row>
    <row r="1974" spans="2:12" x14ac:dyDescent="0.35">
      <c r="B1974" s="1953"/>
      <c r="C1974" s="1953"/>
      <c r="D1974" s="1953"/>
      <c r="E1974" s="1953"/>
      <c r="F1974" s="1953"/>
      <c r="G1974" s="1953"/>
      <c r="H1974" s="1953"/>
      <c r="I1974"/>
      <c r="J1974"/>
      <c r="K1974"/>
      <c r="L1974"/>
    </row>
    <row r="1975" spans="2:12" x14ac:dyDescent="0.35">
      <c r="B1975" s="1953"/>
      <c r="C1975" s="1953"/>
      <c r="D1975" s="1953"/>
      <c r="E1975" s="1953"/>
      <c r="F1975" s="1953"/>
      <c r="G1975" s="1953"/>
      <c r="H1975" s="1953"/>
      <c r="I1975"/>
      <c r="J1975"/>
      <c r="K1975"/>
      <c r="L1975"/>
    </row>
    <row r="1976" spans="2:12" x14ac:dyDescent="0.35">
      <c r="B1976" s="1953"/>
      <c r="C1976" s="1953"/>
      <c r="D1976" s="1953"/>
      <c r="E1976" s="1953"/>
      <c r="F1976" s="1953"/>
      <c r="G1976" s="1953"/>
      <c r="H1976" s="1953"/>
      <c r="I1976"/>
      <c r="J1976"/>
      <c r="K1976"/>
      <c r="L1976"/>
    </row>
    <row r="1977" spans="2:12" x14ac:dyDescent="0.35">
      <c r="B1977" s="1953"/>
      <c r="C1977" s="1953"/>
      <c r="D1977" s="1953"/>
      <c r="E1977" s="1953"/>
      <c r="F1977" s="1953"/>
      <c r="G1977" s="1953"/>
      <c r="H1977" s="1953"/>
      <c r="I1977"/>
      <c r="J1977"/>
      <c r="K1977"/>
      <c r="L1977"/>
    </row>
    <row r="1978" spans="2:12" x14ac:dyDescent="0.35">
      <c r="B1978" s="1953"/>
      <c r="C1978" s="1953"/>
      <c r="D1978" s="1953"/>
      <c r="E1978" s="1953"/>
      <c r="F1978" s="1953"/>
      <c r="G1978" s="1953"/>
      <c r="H1978" s="1953"/>
      <c r="I1978"/>
      <c r="J1978"/>
      <c r="K1978"/>
      <c r="L1978"/>
    </row>
    <row r="1979" spans="2:12" x14ac:dyDescent="0.35">
      <c r="B1979" s="1953"/>
      <c r="C1979" s="1953"/>
      <c r="D1979" s="1953"/>
      <c r="E1979" s="1953"/>
      <c r="F1979" s="1953"/>
      <c r="G1979" s="1953"/>
      <c r="H1979" s="1953"/>
      <c r="I1979"/>
      <c r="J1979"/>
      <c r="K1979"/>
      <c r="L1979"/>
    </row>
    <row r="1980" spans="2:12" x14ac:dyDescent="0.35">
      <c r="B1980" s="1953"/>
      <c r="C1980" s="1953"/>
      <c r="D1980" s="1953"/>
      <c r="E1980" s="1953"/>
      <c r="F1980" s="1953"/>
      <c r="G1980" s="1953"/>
      <c r="H1980" s="1953"/>
      <c r="I1980"/>
      <c r="J1980"/>
      <c r="K1980"/>
      <c r="L1980"/>
    </row>
    <row r="1981" spans="2:12" x14ac:dyDescent="0.35">
      <c r="B1981" s="1953"/>
      <c r="C1981" s="1953"/>
      <c r="D1981" s="1953"/>
      <c r="E1981" s="1953"/>
      <c r="F1981" s="1953"/>
      <c r="G1981" s="1953"/>
      <c r="H1981" s="1953"/>
      <c r="I1981"/>
      <c r="J1981"/>
      <c r="K1981"/>
      <c r="L1981"/>
    </row>
    <row r="1982" spans="2:12" x14ac:dyDescent="0.35">
      <c r="B1982" s="1953"/>
      <c r="C1982" s="1953"/>
      <c r="D1982" s="1953"/>
      <c r="E1982" s="1953"/>
      <c r="F1982" s="1953"/>
      <c r="G1982" s="1953"/>
      <c r="H1982" s="1953"/>
      <c r="I1982"/>
      <c r="J1982"/>
      <c r="K1982"/>
      <c r="L1982"/>
    </row>
    <row r="1983" spans="2:12" x14ac:dyDescent="0.35">
      <c r="B1983" s="1953"/>
      <c r="C1983" s="1953"/>
      <c r="D1983" s="1953"/>
      <c r="E1983" s="1953"/>
      <c r="F1983" s="1953"/>
      <c r="G1983" s="1953"/>
      <c r="H1983" s="1953"/>
      <c r="I1983"/>
      <c r="J1983"/>
      <c r="K1983"/>
      <c r="L1983"/>
    </row>
    <row r="1984" spans="2:12" x14ac:dyDescent="0.35">
      <c r="B1984" s="1953"/>
      <c r="C1984" s="1953"/>
      <c r="D1984" s="1953"/>
      <c r="E1984" s="1953"/>
      <c r="F1984" s="1953"/>
      <c r="G1984" s="1953"/>
      <c r="H1984" s="1953"/>
      <c r="I1984"/>
      <c r="J1984"/>
      <c r="K1984"/>
      <c r="L1984"/>
    </row>
    <row r="1985" spans="2:12" x14ac:dyDescent="0.35">
      <c r="B1985" s="1953"/>
      <c r="C1985" s="1953"/>
      <c r="D1985" s="1953"/>
      <c r="E1985" s="1953"/>
      <c r="F1985" s="1953"/>
      <c r="G1985" s="1953"/>
      <c r="H1985" s="1953"/>
      <c r="I1985"/>
      <c r="J1985"/>
      <c r="K1985"/>
      <c r="L1985"/>
    </row>
    <row r="1986" spans="2:12" x14ac:dyDescent="0.35">
      <c r="B1986" s="1953"/>
      <c r="C1986" s="1953"/>
      <c r="D1986" s="1953"/>
      <c r="E1986" s="1953"/>
      <c r="F1986" s="1953"/>
      <c r="G1986" s="1953"/>
      <c r="H1986" s="1953"/>
      <c r="I1986"/>
      <c r="J1986"/>
      <c r="K1986"/>
      <c r="L1986"/>
    </row>
    <row r="1987" spans="2:12" x14ac:dyDescent="0.35">
      <c r="B1987" s="1953"/>
      <c r="C1987" s="1953"/>
      <c r="D1987" s="1953"/>
      <c r="E1987" s="1953"/>
      <c r="F1987" s="1953"/>
      <c r="G1987" s="1953"/>
      <c r="H1987" s="1953"/>
      <c r="I1987"/>
      <c r="J1987"/>
      <c r="K1987"/>
      <c r="L1987"/>
    </row>
    <row r="1988" spans="2:12" x14ac:dyDescent="0.35">
      <c r="B1988" s="1953"/>
      <c r="C1988" s="1953"/>
      <c r="D1988" s="1953"/>
      <c r="E1988" s="1953"/>
      <c r="F1988" s="1953"/>
      <c r="G1988" s="1953"/>
      <c r="H1988" s="1953"/>
      <c r="I1988"/>
      <c r="J1988"/>
      <c r="K1988"/>
      <c r="L1988"/>
    </row>
    <row r="1989" spans="2:12" x14ac:dyDescent="0.35">
      <c r="B1989" s="1953"/>
      <c r="C1989" s="1953"/>
      <c r="D1989" s="1953"/>
      <c r="E1989" s="1953"/>
      <c r="F1989" s="1953"/>
      <c r="G1989" s="1953"/>
      <c r="H1989" s="1953"/>
      <c r="I1989"/>
      <c r="J1989"/>
      <c r="K1989"/>
      <c r="L1989"/>
    </row>
    <row r="1990" spans="2:12" x14ac:dyDescent="0.35">
      <c r="B1990" s="1953"/>
      <c r="C1990" s="1953"/>
      <c r="D1990" s="1953"/>
      <c r="E1990" s="1953"/>
      <c r="F1990" s="1953"/>
      <c r="G1990" s="1953"/>
      <c r="H1990" s="1953"/>
      <c r="I1990"/>
      <c r="J1990"/>
      <c r="K1990"/>
      <c r="L1990"/>
    </row>
    <row r="1991" spans="2:12" x14ac:dyDescent="0.35">
      <c r="B1991" s="1953"/>
      <c r="C1991" s="1953"/>
      <c r="D1991" s="1953"/>
      <c r="E1991" s="1953"/>
      <c r="F1991" s="1953"/>
      <c r="G1991" s="1953"/>
      <c r="H1991" s="1953"/>
      <c r="I1991"/>
      <c r="J1991"/>
      <c r="K1991"/>
      <c r="L1991"/>
    </row>
    <row r="1992" spans="2:12" x14ac:dyDescent="0.35">
      <c r="B1992" s="1953"/>
      <c r="C1992" s="1953"/>
      <c r="D1992" s="1953"/>
      <c r="E1992" s="1953"/>
      <c r="F1992" s="1953"/>
      <c r="G1992" s="1953"/>
      <c r="H1992" s="1953"/>
      <c r="I1992"/>
      <c r="J1992"/>
      <c r="K1992"/>
      <c r="L1992"/>
    </row>
    <row r="1993" spans="2:12" x14ac:dyDescent="0.35">
      <c r="B1993" s="1953"/>
      <c r="C1993" s="1953"/>
      <c r="D1993" s="1953"/>
      <c r="E1993" s="1953"/>
      <c r="F1993" s="1953"/>
      <c r="G1993" s="1953"/>
      <c r="H1993" s="1953"/>
      <c r="I1993"/>
      <c r="J1993"/>
      <c r="K1993"/>
      <c r="L1993"/>
    </row>
    <row r="1994" spans="2:12" x14ac:dyDescent="0.35">
      <c r="B1994" s="1953"/>
      <c r="C1994" s="1953"/>
      <c r="D1994" s="1953"/>
      <c r="E1994" s="1953"/>
      <c r="F1994" s="1953"/>
      <c r="G1994" s="1953"/>
      <c r="H1994" s="1953"/>
      <c r="I1994"/>
      <c r="J1994"/>
      <c r="K1994"/>
      <c r="L1994"/>
    </row>
    <row r="1995" spans="2:12" x14ac:dyDescent="0.35">
      <c r="B1995" s="1953"/>
      <c r="C1995" s="1953"/>
      <c r="D1995" s="1953"/>
      <c r="E1995" s="1953"/>
      <c r="F1995" s="1953"/>
      <c r="G1995" s="1953"/>
      <c r="H1995" s="1953"/>
      <c r="I1995"/>
      <c r="J1995"/>
      <c r="K1995"/>
      <c r="L1995"/>
    </row>
    <row r="1996" spans="2:12" x14ac:dyDescent="0.35">
      <c r="B1996" s="1953"/>
      <c r="C1996" s="1953"/>
      <c r="D1996" s="1953"/>
      <c r="E1996" s="1953"/>
      <c r="F1996" s="1953"/>
      <c r="G1996" s="1953"/>
      <c r="H1996" s="1953"/>
      <c r="I1996"/>
      <c r="J1996"/>
      <c r="K1996"/>
      <c r="L1996"/>
    </row>
    <row r="1997" spans="2:12" x14ac:dyDescent="0.35">
      <c r="B1997" s="1953"/>
      <c r="C1997" s="1953"/>
      <c r="D1997" s="1953"/>
      <c r="E1997" s="1953"/>
      <c r="F1997" s="1953"/>
      <c r="G1997" s="1953"/>
      <c r="H1997" s="1953"/>
      <c r="I1997"/>
      <c r="J1997"/>
      <c r="K1997"/>
      <c r="L1997"/>
    </row>
    <row r="1998" spans="2:12" x14ac:dyDescent="0.35">
      <c r="B1998" s="1953"/>
      <c r="C1998" s="1953"/>
      <c r="D1998" s="1953"/>
      <c r="E1998" s="1953"/>
      <c r="F1998" s="1953"/>
      <c r="G1998" s="1953"/>
      <c r="H1998" s="1953"/>
      <c r="I1998"/>
      <c r="J1998"/>
      <c r="K1998"/>
      <c r="L1998"/>
    </row>
    <row r="1999" spans="2:12" x14ac:dyDescent="0.35">
      <c r="B1999" s="1953"/>
      <c r="C1999" s="1953"/>
      <c r="D1999" s="1953"/>
      <c r="E1999" s="1953"/>
      <c r="F1999" s="1953"/>
      <c r="G1999" s="1953"/>
      <c r="H1999" s="1953"/>
      <c r="I1999"/>
      <c r="J1999"/>
      <c r="K1999"/>
      <c r="L1999"/>
    </row>
    <row r="2000" spans="2:12" x14ac:dyDescent="0.35">
      <c r="B2000" s="1953"/>
      <c r="C2000" s="1953"/>
      <c r="D2000" s="1953"/>
      <c r="E2000" s="1953"/>
      <c r="F2000" s="1953"/>
      <c r="G2000" s="1953"/>
      <c r="H2000" s="1953"/>
      <c r="I2000"/>
      <c r="J2000"/>
      <c r="K2000"/>
      <c r="L2000"/>
    </row>
    <row r="2001" spans="2:12" x14ac:dyDescent="0.35">
      <c r="B2001" s="1953"/>
      <c r="C2001" s="1953"/>
      <c r="D2001" s="1953"/>
      <c r="E2001" s="1953"/>
      <c r="F2001" s="1953"/>
      <c r="G2001" s="1953"/>
      <c r="H2001" s="1953"/>
      <c r="I2001"/>
      <c r="J2001"/>
      <c r="K2001"/>
      <c r="L2001"/>
    </row>
    <row r="2002" spans="2:12" x14ac:dyDescent="0.35">
      <c r="B2002" s="1953"/>
      <c r="C2002" s="1953"/>
      <c r="D2002" s="1953"/>
      <c r="E2002" s="1953"/>
      <c r="F2002" s="1953"/>
      <c r="G2002" s="1953"/>
      <c r="H2002" s="1953"/>
      <c r="I2002"/>
      <c r="J2002"/>
      <c r="K2002"/>
      <c r="L2002"/>
    </row>
    <row r="2003" spans="2:12" x14ac:dyDescent="0.35">
      <c r="B2003" s="1953"/>
      <c r="C2003" s="1953"/>
      <c r="D2003" s="1953"/>
      <c r="E2003" s="1953"/>
      <c r="F2003" s="1953"/>
      <c r="G2003" s="1953"/>
      <c r="H2003" s="1953"/>
      <c r="I2003"/>
      <c r="J2003"/>
      <c r="K2003"/>
      <c r="L2003"/>
    </row>
    <row r="2004" spans="2:12" x14ac:dyDescent="0.35">
      <c r="B2004" s="1953"/>
      <c r="C2004" s="1953"/>
      <c r="D2004" s="1953"/>
      <c r="E2004" s="1953"/>
      <c r="F2004" s="1953"/>
      <c r="G2004" s="1953"/>
      <c r="H2004" s="1953"/>
      <c r="I2004"/>
      <c r="J2004"/>
      <c r="K2004"/>
      <c r="L2004"/>
    </row>
    <row r="2005" spans="2:12" x14ac:dyDescent="0.35">
      <c r="B2005" s="1953"/>
      <c r="C2005" s="1953"/>
      <c r="D2005" s="1953"/>
      <c r="E2005" s="1953"/>
      <c r="F2005" s="1953"/>
      <c r="G2005" s="1953"/>
      <c r="H2005" s="1953"/>
      <c r="I2005"/>
      <c r="J2005"/>
      <c r="K2005"/>
      <c r="L2005"/>
    </row>
    <row r="2006" spans="2:12" x14ac:dyDescent="0.35">
      <c r="B2006" s="1953"/>
      <c r="C2006" s="1953"/>
      <c r="D2006" s="1953"/>
      <c r="E2006" s="1953"/>
      <c r="F2006" s="1953"/>
      <c r="G2006" s="1953"/>
      <c r="H2006" s="1953"/>
      <c r="I2006"/>
      <c r="J2006"/>
      <c r="K2006"/>
      <c r="L2006"/>
    </row>
    <row r="2007" spans="2:12" x14ac:dyDescent="0.35">
      <c r="B2007" s="1953"/>
      <c r="C2007" s="1953"/>
      <c r="D2007" s="1953"/>
      <c r="E2007" s="1953"/>
      <c r="F2007" s="1953"/>
      <c r="G2007" s="1953"/>
      <c r="H2007" s="1953"/>
      <c r="I2007"/>
      <c r="J2007"/>
      <c r="K2007"/>
      <c r="L2007"/>
    </row>
    <row r="2008" spans="2:12" x14ac:dyDescent="0.35">
      <c r="B2008" s="1953"/>
      <c r="C2008" s="1953"/>
      <c r="D2008" s="1953"/>
      <c r="E2008" s="1953"/>
      <c r="F2008" s="1953"/>
      <c r="G2008" s="1953"/>
      <c r="H2008" s="1953"/>
      <c r="I2008"/>
      <c r="J2008"/>
      <c r="K2008"/>
      <c r="L2008"/>
    </row>
    <row r="2009" spans="2:12" x14ac:dyDescent="0.35">
      <c r="B2009" s="1953"/>
      <c r="C2009" s="1953"/>
      <c r="D2009" s="1953"/>
      <c r="E2009" s="1953"/>
      <c r="F2009" s="1953"/>
      <c r="G2009" s="1953"/>
      <c r="H2009" s="1953"/>
      <c r="I2009"/>
      <c r="J2009"/>
      <c r="K2009"/>
      <c r="L2009"/>
    </row>
    <row r="2010" spans="2:12" x14ac:dyDescent="0.35">
      <c r="B2010" s="1953"/>
      <c r="C2010" s="1953"/>
      <c r="D2010" s="1953"/>
      <c r="E2010" s="1953"/>
      <c r="F2010" s="1953"/>
      <c r="G2010" s="1953"/>
      <c r="H2010" s="1953"/>
      <c r="I2010"/>
      <c r="J2010"/>
      <c r="K2010"/>
      <c r="L2010"/>
    </row>
    <row r="2011" spans="2:12" x14ac:dyDescent="0.35">
      <c r="B2011" s="1953"/>
      <c r="C2011" s="1953"/>
      <c r="D2011" s="1953"/>
      <c r="E2011" s="1953"/>
      <c r="F2011" s="1953"/>
      <c r="G2011" s="1953"/>
      <c r="H2011" s="1953"/>
      <c r="I2011"/>
      <c r="J2011"/>
      <c r="K2011"/>
      <c r="L2011"/>
    </row>
    <row r="2012" spans="2:12" x14ac:dyDescent="0.35">
      <c r="B2012" s="1953"/>
      <c r="C2012" s="1953"/>
      <c r="D2012" s="1953"/>
      <c r="E2012" s="1953"/>
      <c r="F2012" s="1953"/>
      <c r="G2012" s="1953"/>
      <c r="H2012" s="1953"/>
      <c r="I2012"/>
      <c r="J2012"/>
      <c r="K2012"/>
      <c r="L2012"/>
    </row>
    <row r="2013" spans="2:12" x14ac:dyDescent="0.35">
      <c r="B2013" s="1953"/>
      <c r="C2013" s="1953"/>
      <c r="D2013" s="1953"/>
      <c r="E2013" s="1953"/>
      <c r="F2013" s="1953"/>
      <c r="G2013" s="1953"/>
      <c r="H2013" s="1953"/>
      <c r="I2013"/>
      <c r="J2013"/>
      <c r="K2013"/>
      <c r="L2013"/>
    </row>
    <row r="2014" spans="2:12" x14ac:dyDescent="0.35">
      <c r="B2014" s="1953"/>
      <c r="C2014" s="1953"/>
      <c r="D2014" s="1953"/>
      <c r="E2014" s="1953"/>
      <c r="F2014" s="1953"/>
      <c r="G2014" s="1953"/>
      <c r="H2014" s="1953"/>
      <c r="I2014"/>
      <c r="J2014"/>
      <c r="K2014"/>
      <c r="L2014"/>
    </row>
    <row r="2015" spans="2:12" x14ac:dyDescent="0.35">
      <c r="B2015" s="1953"/>
      <c r="C2015" s="1953"/>
      <c r="D2015" s="1953"/>
      <c r="E2015" s="1953"/>
      <c r="F2015" s="1953"/>
      <c r="G2015" s="1953"/>
      <c r="H2015" s="1953"/>
      <c r="I2015"/>
      <c r="J2015"/>
      <c r="K2015"/>
      <c r="L2015"/>
    </row>
    <row r="2016" spans="2:12" x14ac:dyDescent="0.35">
      <c r="B2016" s="1953"/>
      <c r="C2016" s="1953"/>
      <c r="D2016" s="1953"/>
      <c r="E2016" s="1953"/>
      <c r="F2016" s="1953"/>
      <c r="G2016" s="1953"/>
      <c r="H2016" s="1953"/>
      <c r="I2016"/>
      <c r="J2016"/>
      <c r="K2016"/>
      <c r="L2016"/>
    </row>
    <row r="2017" spans="2:12" x14ac:dyDescent="0.35">
      <c r="B2017" s="1953"/>
      <c r="C2017" s="1953"/>
      <c r="D2017" s="1953"/>
      <c r="E2017" s="1953"/>
      <c r="F2017" s="1953"/>
      <c r="G2017" s="1953"/>
      <c r="H2017" s="1953"/>
      <c r="I2017"/>
      <c r="J2017"/>
      <c r="K2017"/>
      <c r="L2017"/>
    </row>
    <row r="2018" spans="2:12" x14ac:dyDescent="0.35">
      <c r="B2018" s="1953"/>
      <c r="C2018" s="1953"/>
      <c r="D2018" s="1953"/>
      <c r="E2018" s="1953"/>
      <c r="F2018" s="1953"/>
      <c r="G2018" s="1953"/>
      <c r="H2018" s="1953"/>
      <c r="I2018"/>
      <c r="J2018"/>
      <c r="K2018"/>
      <c r="L2018"/>
    </row>
    <row r="2019" spans="2:12" x14ac:dyDescent="0.35">
      <c r="B2019" s="1953"/>
      <c r="C2019" s="1953"/>
      <c r="D2019" s="1953"/>
      <c r="E2019" s="1953"/>
      <c r="F2019" s="1953"/>
      <c r="G2019" s="1953"/>
      <c r="H2019" s="1953"/>
      <c r="I2019"/>
      <c r="J2019"/>
      <c r="K2019"/>
      <c r="L2019"/>
    </row>
    <row r="2020" spans="2:12" x14ac:dyDescent="0.35">
      <c r="B2020" s="1953"/>
      <c r="C2020" s="1953"/>
      <c r="D2020" s="1953"/>
      <c r="E2020" s="1953"/>
      <c r="F2020" s="1953"/>
      <c r="G2020" s="1953"/>
      <c r="H2020" s="1953"/>
      <c r="I2020"/>
      <c r="J2020"/>
      <c r="K2020"/>
      <c r="L2020"/>
    </row>
    <row r="2021" spans="2:12" x14ac:dyDescent="0.35">
      <c r="B2021" s="1953"/>
      <c r="C2021" s="1953"/>
      <c r="D2021" s="1953"/>
      <c r="E2021" s="1953"/>
      <c r="F2021" s="1953"/>
      <c r="G2021" s="1953"/>
      <c r="H2021" s="1953"/>
      <c r="I2021"/>
      <c r="J2021"/>
      <c r="K2021"/>
      <c r="L2021"/>
    </row>
    <row r="2022" spans="2:12" x14ac:dyDescent="0.35">
      <c r="B2022" s="1953"/>
      <c r="C2022" s="1953"/>
      <c r="D2022" s="1953"/>
      <c r="E2022" s="1953"/>
      <c r="F2022" s="1953"/>
      <c r="G2022" s="1953"/>
      <c r="H2022" s="1953"/>
      <c r="I2022"/>
      <c r="J2022"/>
      <c r="K2022"/>
      <c r="L2022"/>
    </row>
    <row r="2023" spans="2:12" x14ac:dyDescent="0.35">
      <c r="B2023" s="1953"/>
      <c r="C2023" s="1953"/>
      <c r="D2023" s="1953"/>
      <c r="E2023" s="1953"/>
      <c r="F2023" s="1953"/>
      <c r="G2023" s="1953"/>
      <c r="H2023" s="1953"/>
      <c r="I2023"/>
      <c r="J2023"/>
      <c r="K2023"/>
      <c r="L2023"/>
    </row>
    <row r="2024" spans="2:12" x14ac:dyDescent="0.35">
      <c r="B2024" s="1953"/>
      <c r="C2024" s="1953"/>
      <c r="D2024" s="1953"/>
      <c r="E2024" s="1953"/>
      <c r="F2024" s="1953"/>
      <c r="G2024" s="1953"/>
      <c r="H2024" s="1953"/>
      <c r="I2024"/>
      <c r="J2024"/>
      <c r="K2024"/>
      <c r="L2024"/>
    </row>
    <row r="2025" spans="2:12" x14ac:dyDescent="0.35">
      <c r="B2025" s="1953"/>
      <c r="C2025" s="1953"/>
      <c r="D2025" s="1953"/>
      <c r="E2025" s="1953"/>
      <c r="F2025" s="1953"/>
      <c r="G2025" s="1953"/>
      <c r="H2025" s="1953"/>
      <c r="I2025"/>
      <c r="J2025"/>
      <c r="K2025"/>
      <c r="L2025"/>
    </row>
    <row r="2026" spans="2:12" x14ac:dyDescent="0.35">
      <c r="B2026" s="1953"/>
      <c r="C2026" s="1953"/>
      <c r="D2026" s="1953"/>
      <c r="E2026" s="1953"/>
      <c r="F2026" s="1953"/>
      <c r="G2026" s="1953"/>
      <c r="H2026" s="1953"/>
      <c r="I2026"/>
      <c r="J2026"/>
      <c r="K2026"/>
      <c r="L2026"/>
    </row>
    <row r="2027" spans="2:12" x14ac:dyDescent="0.35">
      <c r="B2027" s="1953"/>
      <c r="C2027" s="1953"/>
      <c r="D2027" s="1953"/>
      <c r="E2027" s="1953"/>
      <c r="F2027" s="1953"/>
      <c r="G2027" s="1953"/>
      <c r="H2027" s="1953"/>
      <c r="I2027"/>
      <c r="J2027"/>
      <c r="K2027"/>
      <c r="L2027"/>
    </row>
    <row r="2028" spans="2:12" x14ac:dyDescent="0.35">
      <c r="B2028" s="1953"/>
      <c r="C2028" s="1953"/>
      <c r="D2028" s="1953"/>
      <c r="E2028" s="1953"/>
      <c r="F2028" s="1953"/>
      <c r="G2028" s="1953"/>
      <c r="H2028" s="1953"/>
      <c r="I2028"/>
      <c r="J2028"/>
      <c r="K2028"/>
      <c r="L2028"/>
    </row>
    <row r="2029" spans="2:12" x14ac:dyDescent="0.35">
      <c r="B2029" s="1953"/>
      <c r="C2029" s="1953"/>
      <c r="D2029" s="1953"/>
      <c r="E2029" s="1953"/>
      <c r="F2029" s="1953"/>
      <c r="G2029" s="1953"/>
      <c r="H2029" s="1953"/>
      <c r="I2029"/>
      <c r="J2029"/>
      <c r="K2029"/>
      <c r="L2029"/>
    </row>
    <row r="2030" spans="2:12" x14ac:dyDescent="0.35">
      <c r="B2030" s="1953"/>
      <c r="C2030" s="1953"/>
      <c r="D2030" s="1953"/>
      <c r="E2030" s="1953"/>
      <c r="F2030" s="1953"/>
      <c r="G2030" s="1953"/>
      <c r="H2030" s="1953"/>
      <c r="I2030"/>
      <c r="J2030"/>
      <c r="K2030"/>
      <c r="L2030"/>
    </row>
    <row r="2031" spans="2:12" x14ac:dyDescent="0.35">
      <c r="B2031" s="1953"/>
      <c r="C2031" s="1953"/>
      <c r="D2031" s="1953"/>
      <c r="E2031" s="1953"/>
      <c r="F2031" s="1953"/>
      <c r="G2031" s="1953"/>
      <c r="H2031" s="1953"/>
      <c r="I2031"/>
      <c r="J2031"/>
      <c r="K2031"/>
      <c r="L2031"/>
    </row>
    <row r="2032" spans="2:12" x14ac:dyDescent="0.35">
      <c r="B2032" s="1953"/>
      <c r="C2032" s="1953"/>
      <c r="D2032" s="1953"/>
      <c r="E2032" s="1953"/>
      <c r="F2032" s="1953"/>
      <c r="G2032" s="1953"/>
      <c r="H2032" s="1953"/>
      <c r="I2032"/>
      <c r="J2032"/>
      <c r="K2032"/>
      <c r="L2032"/>
    </row>
    <row r="2033" spans="2:12" x14ac:dyDescent="0.35">
      <c r="B2033" s="1953"/>
      <c r="C2033" s="1953"/>
      <c r="D2033" s="1953"/>
      <c r="E2033" s="1953"/>
      <c r="F2033" s="1953"/>
      <c r="G2033" s="1953"/>
      <c r="H2033" s="1953"/>
      <c r="I2033"/>
      <c r="J2033"/>
      <c r="K2033"/>
      <c r="L2033"/>
    </row>
    <row r="2034" spans="2:12" x14ac:dyDescent="0.35">
      <c r="B2034" s="1953"/>
      <c r="C2034" s="1953"/>
      <c r="D2034" s="1953"/>
      <c r="E2034" s="1953"/>
      <c r="F2034" s="1953"/>
      <c r="G2034" s="1953"/>
      <c r="H2034" s="1953"/>
      <c r="I2034"/>
      <c r="J2034"/>
      <c r="K2034"/>
      <c r="L2034"/>
    </row>
    <row r="2035" spans="2:12" x14ac:dyDescent="0.35">
      <c r="B2035" s="1953"/>
      <c r="C2035" s="1953"/>
      <c r="D2035" s="1953"/>
      <c r="E2035" s="1953"/>
      <c r="F2035" s="1953"/>
      <c r="G2035" s="1953"/>
      <c r="H2035" s="1953"/>
      <c r="I2035"/>
      <c r="J2035"/>
      <c r="K2035"/>
      <c r="L2035"/>
    </row>
    <row r="2036" spans="2:12" x14ac:dyDescent="0.35">
      <c r="B2036" s="1953"/>
      <c r="C2036" s="1953"/>
      <c r="D2036" s="1953"/>
      <c r="E2036" s="1953"/>
      <c r="F2036" s="1953"/>
      <c r="G2036" s="1953"/>
      <c r="H2036" s="1953"/>
      <c r="I2036"/>
      <c r="J2036"/>
      <c r="K2036"/>
      <c r="L2036"/>
    </row>
    <row r="2037" spans="2:12" x14ac:dyDescent="0.35">
      <c r="B2037" s="1953"/>
      <c r="C2037" s="1953"/>
      <c r="D2037" s="1953"/>
      <c r="E2037" s="1953"/>
      <c r="F2037" s="1953"/>
      <c r="G2037" s="1953"/>
      <c r="H2037" s="1953"/>
      <c r="I2037"/>
      <c r="J2037"/>
      <c r="K2037"/>
      <c r="L2037"/>
    </row>
    <row r="2038" spans="2:12" x14ac:dyDescent="0.35">
      <c r="B2038" s="1953"/>
      <c r="C2038" s="1953"/>
      <c r="D2038" s="1953"/>
      <c r="E2038" s="1953"/>
      <c r="F2038" s="1953"/>
      <c r="G2038" s="1953"/>
      <c r="H2038" s="1953"/>
      <c r="I2038"/>
      <c r="J2038"/>
      <c r="K2038"/>
      <c r="L2038"/>
    </row>
    <row r="2039" spans="2:12" x14ac:dyDescent="0.35">
      <c r="B2039" s="1953"/>
      <c r="C2039" s="1953"/>
      <c r="D2039" s="1953"/>
      <c r="E2039" s="1953"/>
      <c r="F2039" s="1953"/>
      <c r="G2039" s="1953"/>
      <c r="H2039" s="1953"/>
      <c r="I2039"/>
      <c r="J2039"/>
      <c r="K2039"/>
      <c r="L2039"/>
    </row>
    <row r="2040" spans="2:12" x14ac:dyDescent="0.35">
      <c r="B2040" s="1953"/>
      <c r="C2040" s="1953"/>
      <c r="D2040" s="1953"/>
      <c r="E2040" s="1953"/>
      <c r="F2040" s="1953"/>
      <c r="G2040" s="1953"/>
      <c r="H2040" s="1953"/>
      <c r="I2040"/>
      <c r="J2040"/>
      <c r="K2040"/>
      <c r="L2040"/>
    </row>
    <row r="2041" spans="2:12" x14ac:dyDescent="0.35">
      <c r="B2041" s="1953"/>
      <c r="C2041" s="1953"/>
      <c r="D2041" s="1953"/>
      <c r="E2041" s="1953"/>
      <c r="F2041" s="1953"/>
      <c r="G2041" s="1953"/>
      <c r="H2041" s="1953"/>
      <c r="I2041"/>
      <c r="J2041"/>
      <c r="K2041"/>
      <c r="L2041"/>
    </row>
    <row r="2042" spans="2:12" x14ac:dyDescent="0.35">
      <c r="B2042" s="1953"/>
      <c r="C2042" s="1953"/>
      <c r="D2042" s="1953"/>
      <c r="E2042" s="1953"/>
      <c r="F2042" s="1953"/>
      <c r="G2042" s="1953"/>
      <c r="H2042" s="1953"/>
      <c r="I2042"/>
      <c r="J2042"/>
      <c r="K2042"/>
      <c r="L2042"/>
    </row>
    <row r="2043" spans="2:12" x14ac:dyDescent="0.35">
      <c r="B2043" s="1953"/>
      <c r="C2043" s="1953"/>
      <c r="D2043" s="1953"/>
      <c r="E2043" s="1953"/>
      <c r="F2043" s="1953"/>
      <c r="G2043" s="1953"/>
      <c r="H2043" s="1953"/>
      <c r="I2043"/>
      <c r="J2043"/>
      <c r="K2043"/>
      <c r="L2043"/>
    </row>
    <row r="2044" spans="2:12" x14ac:dyDescent="0.35">
      <c r="B2044" s="1953"/>
      <c r="C2044" s="1953"/>
      <c r="D2044" s="1953"/>
      <c r="E2044" s="1953"/>
      <c r="F2044" s="1953"/>
      <c r="G2044" s="1953"/>
      <c r="H2044" s="1953"/>
      <c r="I2044"/>
      <c r="J2044"/>
      <c r="K2044"/>
      <c r="L2044"/>
    </row>
    <row r="2045" spans="2:12" x14ac:dyDescent="0.35">
      <c r="B2045" s="1953"/>
      <c r="C2045" s="1953"/>
      <c r="D2045" s="1953"/>
      <c r="E2045" s="1953"/>
      <c r="F2045" s="1953"/>
      <c r="G2045" s="1953"/>
      <c r="H2045" s="1953"/>
      <c r="I2045"/>
      <c r="J2045"/>
      <c r="K2045"/>
      <c r="L2045"/>
    </row>
    <row r="2046" spans="2:12" x14ac:dyDescent="0.35">
      <c r="B2046" s="1953"/>
      <c r="C2046" s="1953"/>
      <c r="D2046" s="1953"/>
      <c r="E2046" s="1953"/>
      <c r="F2046" s="1953"/>
      <c r="G2046" s="1953"/>
      <c r="H2046" s="1953"/>
      <c r="I2046"/>
      <c r="J2046"/>
      <c r="K2046"/>
      <c r="L2046"/>
    </row>
    <row r="2047" spans="2:12" x14ac:dyDescent="0.35">
      <c r="B2047" s="1953"/>
      <c r="C2047" s="1953"/>
      <c r="D2047" s="1953"/>
      <c r="E2047" s="1953"/>
      <c r="F2047" s="1953"/>
      <c r="G2047" s="1953"/>
      <c r="H2047" s="1953"/>
      <c r="I2047"/>
      <c r="J2047"/>
      <c r="K2047"/>
      <c r="L2047"/>
    </row>
    <row r="2048" spans="2:12" x14ac:dyDescent="0.35">
      <c r="B2048" s="1953"/>
      <c r="C2048" s="1953"/>
      <c r="D2048" s="1953"/>
      <c r="E2048" s="1953"/>
      <c r="F2048" s="1953"/>
      <c r="G2048" s="1953"/>
      <c r="H2048" s="1953"/>
      <c r="I2048"/>
      <c r="J2048"/>
      <c r="K2048"/>
      <c r="L2048"/>
    </row>
    <row r="2049" spans="2:12" x14ac:dyDescent="0.35">
      <c r="B2049" s="1953"/>
      <c r="C2049" s="1953"/>
      <c r="D2049" s="1953"/>
      <c r="E2049" s="1953"/>
      <c r="F2049" s="1953"/>
      <c r="G2049" s="1953"/>
      <c r="H2049" s="1953"/>
      <c r="I2049"/>
      <c r="J2049"/>
      <c r="K2049"/>
      <c r="L2049"/>
    </row>
    <row r="2050" spans="2:12" x14ac:dyDescent="0.35">
      <c r="B2050" s="1953"/>
      <c r="C2050" s="1953"/>
      <c r="D2050" s="1953"/>
      <c r="E2050" s="1953"/>
      <c r="F2050" s="1953"/>
      <c r="G2050" s="1953"/>
      <c r="H2050" s="1953"/>
      <c r="I2050"/>
      <c r="J2050"/>
      <c r="K2050"/>
      <c r="L2050"/>
    </row>
    <row r="2051" spans="2:12" x14ac:dyDescent="0.35">
      <c r="B2051" s="1953"/>
      <c r="C2051" s="1953"/>
      <c r="D2051" s="1953"/>
      <c r="E2051" s="1953"/>
      <c r="F2051" s="1953"/>
      <c r="G2051" s="1953"/>
      <c r="H2051" s="1953"/>
      <c r="I2051"/>
      <c r="J2051"/>
      <c r="K2051"/>
      <c r="L2051"/>
    </row>
    <row r="2052" spans="2:12" x14ac:dyDescent="0.35">
      <c r="B2052" s="1953"/>
      <c r="C2052" s="1953"/>
      <c r="D2052" s="1953"/>
      <c r="E2052" s="1953"/>
      <c r="F2052" s="1953"/>
      <c r="G2052" s="1953"/>
      <c r="H2052" s="1953"/>
      <c r="I2052"/>
      <c r="J2052"/>
      <c r="K2052"/>
      <c r="L2052"/>
    </row>
    <row r="2053" spans="2:12" x14ac:dyDescent="0.35">
      <c r="B2053" s="1953"/>
      <c r="C2053" s="1953"/>
      <c r="D2053" s="1953"/>
      <c r="E2053" s="1953"/>
      <c r="F2053" s="1953"/>
      <c r="G2053" s="1953"/>
      <c r="H2053" s="1953"/>
      <c r="I2053"/>
      <c r="J2053"/>
      <c r="K2053"/>
      <c r="L2053"/>
    </row>
    <row r="2054" spans="2:12" x14ac:dyDescent="0.35">
      <c r="B2054" s="1953"/>
      <c r="C2054" s="1953"/>
      <c r="D2054" s="1953"/>
      <c r="E2054" s="1953"/>
      <c r="F2054" s="1953"/>
      <c r="G2054" s="1953"/>
      <c r="H2054" s="1953"/>
      <c r="I2054"/>
      <c r="J2054"/>
      <c r="K2054"/>
      <c r="L2054"/>
    </row>
    <row r="2055" spans="2:12" x14ac:dyDescent="0.35">
      <c r="B2055" s="1953"/>
      <c r="C2055" s="1953"/>
      <c r="D2055" s="1953"/>
      <c r="E2055" s="1953"/>
      <c r="F2055" s="1953"/>
      <c r="G2055" s="1953"/>
      <c r="H2055" s="1953"/>
      <c r="I2055"/>
      <c r="J2055"/>
      <c r="K2055"/>
      <c r="L2055"/>
    </row>
    <row r="2056" spans="2:12" x14ac:dyDescent="0.35">
      <c r="B2056" s="1953"/>
      <c r="C2056" s="1953"/>
      <c r="D2056" s="1953"/>
      <c r="E2056" s="1953"/>
      <c r="F2056" s="1953"/>
      <c r="G2056" s="1953"/>
      <c r="H2056" s="1953"/>
      <c r="I2056"/>
      <c r="J2056"/>
      <c r="K2056"/>
      <c r="L2056"/>
    </row>
    <row r="2057" spans="2:12" x14ac:dyDescent="0.35">
      <c r="B2057" s="1953"/>
      <c r="C2057" s="1953"/>
      <c r="D2057" s="1953"/>
      <c r="E2057" s="1953"/>
      <c r="F2057" s="1953"/>
      <c r="G2057" s="1953"/>
      <c r="H2057" s="1953"/>
      <c r="I2057"/>
      <c r="J2057"/>
      <c r="K2057"/>
      <c r="L2057"/>
    </row>
    <row r="2058" spans="2:12" x14ac:dyDescent="0.35">
      <c r="B2058" s="1953"/>
      <c r="C2058" s="1953"/>
      <c r="D2058" s="1953"/>
      <c r="E2058" s="1953"/>
      <c r="F2058" s="1953"/>
      <c r="G2058" s="1953"/>
      <c r="H2058" s="1953"/>
      <c r="I2058"/>
      <c r="J2058"/>
      <c r="K2058"/>
      <c r="L2058"/>
    </row>
    <row r="2059" spans="2:12" x14ac:dyDescent="0.35">
      <c r="B2059" s="1953"/>
      <c r="C2059" s="1953"/>
      <c r="D2059" s="1953"/>
      <c r="E2059" s="1953"/>
      <c r="F2059" s="1953"/>
      <c r="G2059" s="1953"/>
      <c r="H2059" s="1953"/>
      <c r="I2059"/>
      <c r="J2059"/>
      <c r="K2059"/>
      <c r="L2059"/>
    </row>
    <row r="2060" spans="2:12" x14ac:dyDescent="0.35">
      <c r="B2060" s="1953"/>
      <c r="C2060" s="1953"/>
      <c r="D2060" s="1953"/>
      <c r="E2060" s="1953"/>
      <c r="F2060" s="1953"/>
      <c r="G2060" s="1953"/>
      <c r="H2060" s="1953"/>
      <c r="I2060"/>
      <c r="J2060"/>
      <c r="K2060"/>
      <c r="L2060"/>
    </row>
    <row r="2061" spans="2:12" x14ac:dyDescent="0.35">
      <c r="B2061" s="1953"/>
      <c r="C2061" s="1953"/>
      <c r="D2061" s="1953"/>
      <c r="E2061" s="1953"/>
      <c r="F2061" s="1953"/>
      <c r="G2061" s="1953"/>
      <c r="H2061" s="1953"/>
      <c r="I2061"/>
      <c r="J2061"/>
      <c r="K2061"/>
      <c r="L2061"/>
    </row>
    <row r="2062" spans="2:12" x14ac:dyDescent="0.35">
      <c r="B2062" s="1953"/>
      <c r="C2062" s="1953"/>
      <c r="D2062" s="1953"/>
      <c r="E2062" s="1953"/>
      <c r="F2062" s="1953"/>
      <c r="G2062" s="1953"/>
      <c r="H2062" s="1953"/>
      <c r="I2062"/>
      <c r="J2062"/>
      <c r="K2062"/>
      <c r="L2062"/>
    </row>
    <row r="2063" spans="2:12" x14ac:dyDescent="0.35">
      <c r="B2063" s="1953"/>
      <c r="C2063" s="1953"/>
      <c r="D2063" s="1953"/>
      <c r="E2063" s="1953"/>
      <c r="F2063" s="1953"/>
      <c r="G2063" s="1953"/>
      <c r="H2063" s="1953"/>
      <c r="I2063"/>
      <c r="J2063"/>
      <c r="K2063"/>
      <c r="L2063"/>
    </row>
    <row r="2064" spans="2:12" x14ac:dyDescent="0.35">
      <c r="B2064" s="1953"/>
      <c r="C2064" s="1953"/>
      <c r="D2064" s="1953"/>
      <c r="E2064" s="1953"/>
      <c r="F2064" s="1953"/>
      <c r="G2064" s="1953"/>
      <c r="H2064" s="1953"/>
      <c r="I2064"/>
      <c r="J2064"/>
      <c r="K2064"/>
      <c r="L2064"/>
    </row>
    <row r="2065" spans="2:12" x14ac:dyDescent="0.35">
      <c r="B2065" s="1953"/>
      <c r="C2065" s="1953"/>
      <c r="D2065" s="1953"/>
      <c r="E2065" s="1953"/>
      <c r="F2065" s="1953"/>
      <c r="G2065" s="1953"/>
      <c r="H2065" s="1953"/>
      <c r="I2065"/>
      <c r="J2065"/>
      <c r="K2065"/>
      <c r="L2065"/>
    </row>
    <row r="2066" spans="2:12" x14ac:dyDescent="0.35">
      <c r="B2066" s="1953"/>
      <c r="C2066" s="1953"/>
      <c r="D2066" s="1953"/>
      <c r="E2066" s="1953"/>
      <c r="F2066" s="1953"/>
      <c r="G2066" s="1953"/>
      <c r="H2066" s="1953"/>
      <c r="I2066"/>
      <c r="J2066"/>
      <c r="K2066"/>
      <c r="L2066"/>
    </row>
    <row r="2067" spans="2:12" x14ac:dyDescent="0.35">
      <c r="B2067" s="1953"/>
      <c r="C2067" s="1953"/>
      <c r="D2067" s="1953"/>
      <c r="E2067" s="1953"/>
      <c r="F2067" s="1953"/>
      <c r="G2067" s="1953"/>
      <c r="H2067" s="1953"/>
      <c r="I2067"/>
      <c r="J2067"/>
      <c r="K2067"/>
      <c r="L2067"/>
    </row>
    <row r="2068" spans="2:12" x14ac:dyDescent="0.35">
      <c r="B2068" s="1953"/>
      <c r="C2068" s="1953"/>
      <c r="D2068" s="1953"/>
      <c r="E2068" s="1953"/>
      <c r="F2068" s="1953"/>
      <c r="G2068" s="1953"/>
      <c r="H2068" s="1953"/>
      <c r="I2068"/>
      <c r="J2068"/>
      <c r="K2068"/>
      <c r="L2068"/>
    </row>
    <row r="2069" spans="2:12" x14ac:dyDescent="0.35">
      <c r="B2069" s="1953"/>
      <c r="C2069" s="1953"/>
      <c r="D2069" s="1953"/>
      <c r="E2069" s="1953"/>
      <c r="F2069" s="1953"/>
      <c r="G2069" s="1953"/>
      <c r="H2069" s="1953"/>
      <c r="I2069"/>
      <c r="J2069"/>
      <c r="K2069"/>
      <c r="L2069"/>
    </row>
    <row r="2070" spans="2:12" x14ac:dyDescent="0.35">
      <c r="B2070" s="1953"/>
      <c r="C2070" s="1953"/>
      <c r="D2070" s="1953"/>
      <c r="E2070" s="1953"/>
      <c r="F2070" s="1953"/>
      <c r="G2070" s="1953"/>
      <c r="H2070" s="1953"/>
      <c r="I2070"/>
      <c r="J2070"/>
      <c r="K2070"/>
      <c r="L2070"/>
    </row>
    <row r="2071" spans="2:12" x14ac:dyDescent="0.35">
      <c r="B2071" s="1953"/>
      <c r="C2071" s="1953"/>
      <c r="D2071" s="1953"/>
      <c r="E2071" s="1953"/>
      <c r="F2071" s="1953"/>
      <c r="G2071" s="1953"/>
      <c r="H2071" s="1953"/>
      <c r="I2071"/>
      <c r="J2071"/>
      <c r="K2071"/>
      <c r="L2071"/>
    </row>
    <row r="2072" spans="2:12" x14ac:dyDescent="0.35">
      <c r="B2072" s="1953"/>
      <c r="C2072" s="1953"/>
      <c r="D2072" s="1953"/>
      <c r="E2072" s="1953"/>
      <c r="F2072" s="1953"/>
      <c r="G2072" s="1953"/>
      <c r="H2072" s="1953"/>
      <c r="I2072"/>
      <c r="J2072"/>
      <c r="K2072"/>
      <c r="L2072"/>
    </row>
    <row r="2073" spans="2:12" x14ac:dyDescent="0.35">
      <c r="B2073" s="1953"/>
      <c r="C2073" s="1953"/>
      <c r="D2073" s="1953"/>
      <c r="E2073" s="1953"/>
      <c r="F2073" s="1953"/>
      <c r="G2073" s="1953"/>
      <c r="H2073" s="1953"/>
      <c r="I2073"/>
      <c r="J2073"/>
      <c r="K2073"/>
      <c r="L2073"/>
    </row>
    <row r="2074" spans="2:12" x14ac:dyDescent="0.35">
      <c r="B2074" s="1953"/>
      <c r="C2074" s="1953"/>
      <c r="D2074" s="1953"/>
      <c r="E2074" s="1953"/>
      <c r="F2074" s="1953"/>
      <c r="G2074" s="1953"/>
      <c r="H2074" s="1953"/>
      <c r="I2074"/>
      <c r="J2074"/>
      <c r="K2074"/>
      <c r="L2074"/>
    </row>
    <row r="2075" spans="2:12" x14ac:dyDescent="0.35">
      <c r="B2075" s="1953"/>
      <c r="C2075" s="1953"/>
      <c r="D2075" s="1953"/>
      <c r="E2075" s="1953"/>
      <c r="F2075" s="1953"/>
      <c r="G2075" s="1953"/>
      <c r="H2075" s="1953"/>
      <c r="I2075"/>
      <c r="J2075"/>
      <c r="K2075"/>
      <c r="L2075"/>
    </row>
    <row r="2076" spans="2:12" x14ac:dyDescent="0.35">
      <c r="B2076" s="1953"/>
      <c r="C2076" s="1953"/>
      <c r="D2076" s="1953"/>
      <c r="E2076" s="1953"/>
      <c r="F2076" s="1953"/>
      <c r="G2076" s="1953"/>
      <c r="H2076" s="1953"/>
      <c r="I2076"/>
      <c r="J2076"/>
      <c r="K2076"/>
      <c r="L2076"/>
    </row>
    <row r="2077" spans="2:12" x14ac:dyDescent="0.35">
      <c r="B2077" s="1953"/>
      <c r="C2077" s="1953"/>
      <c r="D2077" s="1953"/>
      <c r="E2077" s="1953"/>
      <c r="F2077" s="1953"/>
      <c r="G2077" s="1953"/>
      <c r="H2077" s="1953"/>
      <c r="I2077"/>
      <c r="J2077"/>
      <c r="K2077"/>
      <c r="L2077"/>
    </row>
    <row r="2078" spans="2:12" x14ac:dyDescent="0.35">
      <c r="B2078" s="1953"/>
      <c r="C2078" s="1953"/>
      <c r="D2078" s="1953"/>
      <c r="E2078" s="1953"/>
      <c r="F2078" s="1953"/>
      <c r="G2078" s="1953"/>
      <c r="H2078" s="1953"/>
      <c r="I2078"/>
      <c r="J2078"/>
      <c r="K2078"/>
      <c r="L2078"/>
    </row>
    <row r="2079" spans="2:12" x14ac:dyDescent="0.35">
      <c r="B2079" s="1953"/>
      <c r="C2079" s="1953"/>
      <c r="D2079" s="1953"/>
      <c r="E2079" s="1953"/>
      <c r="F2079" s="1953"/>
      <c r="G2079" s="1953"/>
      <c r="H2079" s="1953"/>
      <c r="I2079"/>
      <c r="J2079"/>
      <c r="K2079"/>
      <c r="L2079"/>
    </row>
    <row r="2080" spans="2:12" x14ac:dyDescent="0.35">
      <c r="B2080" s="1953"/>
      <c r="C2080" s="1953"/>
      <c r="D2080" s="1953"/>
      <c r="E2080" s="1953"/>
      <c r="F2080" s="1953"/>
      <c r="G2080" s="1953"/>
      <c r="H2080" s="1953"/>
      <c r="I2080"/>
      <c r="J2080"/>
      <c r="K2080"/>
      <c r="L2080"/>
    </row>
    <row r="2081" spans="2:12" x14ac:dyDescent="0.35">
      <c r="B2081" s="1953"/>
      <c r="C2081" s="1953"/>
      <c r="D2081" s="1953"/>
      <c r="E2081" s="1953"/>
      <c r="F2081" s="1953"/>
      <c r="G2081" s="1953"/>
      <c r="H2081" s="1953"/>
      <c r="I2081"/>
      <c r="J2081"/>
      <c r="K2081"/>
      <c r="L2081"/>
    </row>
    <row r="2082" spans="2:12" x14ac:dyDescent="0.35">
      <c r="B2082" s="1953"/>
      <c r="C2082" s="1953"/>
      <c r="D2082" s="1953"/>
      <c r="E2082" s="1953"/>
      <c r="F2082" s="1953"/>
      <c r="G2082" s="1953"/>
      <c r="H2082" s="1953"/>
      <c r="I2082"/>
      <c r="J2082"/>
      <c r="K2082"/>
      <c r="L2082"/>
    </row>
    <row r="2083" spans="2:12" x14ac:dyDescent="0.35">
      <c r="B2083" s="1953"/>
      <c r="C2083" s="1953"/>
      <c r="D2083" s="1953"/>
      <c r="E2083" s="1953"/>
      <c r="F2083" s="1953"/>
      <c r="G2083" s="1953"/>
      <c r="H2083" s="1953"/>
      <c r="I2083"/>
      <c r="J2083"/>
      <c r="K2083"/>
      <c r="L2083"/>
    </row>
    <row r="2084" spans="2:12" x14ac:dyDescent="0.35">
      <c r="B2084" s="1953"/>
      <c r="C2084" s="1953"/>
      <c r="D2084" s="1953"/>
      <c r="E2084" s="1953"/>
      <c r="F2084" s="1953"/>
      <c r="G2084" s="1953"/>
      <c r="H2084" s="1953"/>
      <c r="I2084"/>
      <c r="J2084"/>
      <c r="K2084"/>
      <c r="L2084"/>
    </row>
    <row r="2085" spans="2:12" x14ac:dyDescent="0.35">
      <c r="B2085" s="1953"/>
      <c r="C2085" s="1953"/>
      <c r="D2085" s="1953"/>
      <c r="E2085" s="1953"/>
      <c r="F2085" s="1953"/>
      <c r="G2085" s="1953"/>
      <c r="H2085" s="1953"/>
      <c r="I2085"/>
      <c r="J2085"/>
      <c r="K2085"/>
      <c r="L2085"/>
    </row>
    <row r="2086" spans="2:12" x14ac:dyDescent="0.35">
      <c r="B2086" s="1953"/>
      <c r="C2086" s="1953"/>
      <c r="D2086" s="1953"/>
      <c r="E2086" s="1953"/>
      <c r="F2086" s="1953"/>
      <c r="G2086" s="1953"/>
      <c r="H2086" s="1953"/>
      <c r="I2086"/>
      <c r="J2086"/>
      <c r="K2086"/>
      <c r="L2086"/>
    </row>
    <row r="2087" spans="2:12" x14ac:dyDescent="0.35">
      <c r="B2087" s="1953"/>
      <c r="C2087" s="1953"/>
      <c r="D2087" s="1953"/>
      <c r="E2087" s="1953"/>
      <c r="F2087" s="1953"/>
      <c r="G2087" s="1953"/>
      <c r="H2087" s="1953"/>
      <c r="I2087"/>
      <c r="J2087"/>
      <c r="K2087"/>
      <c r="L2087"/>
    </row>
    <row r="2088" spans="2:12" x14ac:dyDescent="0.35">
      <c r="B2088" s="1953"/>
      <c r="C2088" s="1953"/>
      <c r="D2088" s="1953"/>
      <c r="E2088" s="1953"/>
      <c r="F2088" s="1953"/>
      <c r="G2088" s="1953"/>
      <c r="H2088" s="1953"/>
      <c r="I2088"/>
      <c r="J2088"/>
      <c r="K2088"/>
      <c r="L2088"/>
    </row>
    <row r="2089" spans="2:12" x14ac:dyDescent="0.35">
      <c r="B2089" s="1953"/>
      <c r="C2089" s="1953"/>
      <c r="D2089" s="1953"/>
      <c r="E2089" s="1953"/>
      <c r="F2089" s="1953"/>
      <c r="G2089" s="1953"/>
      <c r="H2089" s="1953"/>
      <c r="I2089"/>
      <c r="J2089"/>
      <c r="K2089"/>
      <c r="L2089"/>
    </row>
    <row r="2090" spans="2:12" x14ac:dyDescent="0.35">
      <c r="B2090" s="1953"/>
      <c r="C2090" s="1953"/>
      <c r="D2090" s="1953"/>
      <c r="E2090" s="1953"/>
      <c r="F2090" s="1953"/>
      <c r="G2090" s="1953"/>
      <c r="H2090" s="1953"/>
      <c r="I2090"/>
      <c r="J2090"/>
      <c r="K2090"/>
      <c r="L2090"/>
    </row>
    <row r="2091" spans="2:12" x14ac:dyDescent="0.35">
      <c r="B2091" s="1953"/>
      <c r="C2091" s="1953"/>
      <c r="D2091" s="1953"/>
      <c r="E2091" s="1953"/>
      <c r="F2091" s="1953"/>
      <c r="G2091" s="1953"/>
      <c r="H2091" s="1953"/>
      <c r="I2091"/>
      <c r="J2091"/>
      <c r="K2091"/>
      <c r="L2091"/>
    </row>
    <row r="2092" spans="2:12" x14ac:dyDescent="0.35">
      <c r="B2092" s="1953"/>
      <c r="C2092" s="1953"/>
      <c r="D2092" s="1953"/>
      <c r="E2092" s="1953"/>
      <c r="F2092" s="1953"/>
      <c r="G2092" s="1953"/>
      <c r="H2092" s="1953"/>
      <c r="I2092"/>
      <c r="J2092"/>
      <c r="K2092"/>
      <c r="L2092"/>
    </row>
    <row r="2093" spans="2:12" x14ac:dyDescent="0.35">
      <c r="B2093" s="1953"/>
      <c r="C2093" s="1953"/>
      <c r="D2093" s="1953"/>
      <c r="E2093" s="1953"/>
      <c r="F2093" s="1953"/>
      <c r="G2093" s="1953"/>
      <c r="H2093" s="1953"/>
      <c r="I2093"/>
      <c r="J2093"/>
      <c r="K2093"/>
      <c r="L2093"/>
    </row>
    <row r="2094" spans="2:12" x14ac:dyDescent="0.35">
      <c r="B2094" s="1953"/>
      <c r="C2094" s="1953"/>
      <c r="D2094" s="1953"/>
      <c r="E2094" s="1953"/>
      <c r="F2094" s="1953"/>
      <c r="G2094" s="1953"/>
      <c r="H2094" s="1953"/>
      <c r="I2094"/>
      <c r="J2094"/>
      <c r="K2094"/>
      <c r="L2094"/>
    </row>
    <row r="2095" spans="2:12" x14ac:dyDescent="0.35">
      <c r="B2095" s="1953"/>
      <c r="C2095" s="1953"/>
      <c r="D2095" s="1953"/>
      <c r="E2095" s="1953"/>
      <c r="F2095" s="1953"/>
      <c r="G2095" s="1953"/>
      <c r="H2095" s="1953"/>
      <c r="I2095"/>
      <c r="J2095"/>
      <c r="K2095"/>
      <c r="L2095"/>
    </row>
    <row r="2096" spans="2:12" x14ac:dyDescent="0.35">
      <c r="B2096" s="1953"/>
      <c r="C2096" s="1953"/>
      <c r="D2096" s="1953"/>
      <c r="E2096" s="1953"/>
      <c r="F2096" s="1953"/>
      <c r="G2096" s="1953"/>
      <c r="H2096" s="1953"/>
      <c r="I2096"/>
      <c r="J2096"/>
      <c r="K2096"/>
      <c r="L2096"/>
    </row>
    <row r="2097" spans="2:12" x14ac:dyDescent="0.35">
      <c r="B2097" s="1953"/>
      <c r="C2097" s="1953"/>
      <c r="D2097" s="1953"/>
      <c r="E2097" s="1953"/>
      <c r="F2097" s="1953"/>
      <c r="G2097" s="1953"/>
      <c r="H2097" s="1953"/>
      <c r="I2097"/>
      <c r="J2097"/>
      <c r="K2097"/>
      <c r="L2097"/>
    </row>
    <row r="2098" spans="2:12" x14ac:dyDescent="0.35">
      <c r="B2098" s="1953"/>
      <c r="C2098" s="1953"/>
      <c r="D2098" s="1953"/>
      <c r="E2098" s="1953"/>
      <c r="F2098" s="1953"/>
      <c r="G2098" s="1953"/>
      <c r="H2098" s="1953"/>
      <c r="I2098"/>
      <c r="J2098"/>
      <c r="K2098"/>
      <c r="L2098"/>
    </row>
    <row r="2099" spans="2:12" x14ac:dyDescent="0.35">
      <c r="B2099" s="1953"/>
      <c r="C2099" s="1953"/>
      <c r="D2099" s="1953"/>
      <c r="E2099" s="1953"/>
      <c r="F2099" s="1953"/>
      <c r="G2099" s="1953"/>
      <c r="H2099" s="1953"/>
      <c r="I2099"/>
      <c r="J2099"/>
      <c r="K2099"/>
      <c r="L2099"/>
    </row>
    <row r="2100" spans="2:12" x14ac:dyDescent="0.35">
      <c r="B2100" s="1953"/>
      <c r="C2100" s="1953"/>
      <c r="D2100" s="1953"/>
      <c r="E2100" s="1953"/>
      <c r="F2100" s="1953"/>
      <c r="G2100" s="1953"/>
      <c r="H2100" s="1953"/>
      <c r="I2100"/>
      <c r="J2100"/>
      <c r="K2100"/>
      <c r="L2100"/>
    </row>
    <row r="2101" spans="2:12" x14ac:dyDescent="0.35">
      <c r="B2101" s="1953"/>
      <c r="C2101" s="1953"/>
      <c r="D2101" s="1953"/>
      <c r="E2101" s="1953"/>
      <c r="F2101" s="1953"/>
      <c r="G2101" s="1953"/>
      <c r="H2101" s="1953"/>
      <c r="I2101"/>
      <c r="J2101"/>
      <c r="K2101"/>
      <c r="L2101"/>
    </row>
    <row r="2102" spans="2:12" x14ac:dyDescent="0.35">
      <c r="B2102" s="1953"/>
      <c r="C2102" s="1953"/>
      <c r="D2102" s="1953"/>
      <c r="E2102" s="1953"/>
      <c r="F2102" s="1953"/>
      <c r="G2102" s="1953"/>
      <c r="H2102" s="1953"/>
      <c r="I2102"/>
      <c r="J2102"/>
      <c r="K2102"/>
      <c r="L2102"/>
    </row>
    <row r="2103" spans="2:12" x14ac:dyDescent="0.35">
      <c r="B2103" s="1953"/>
      <c r="C2103" s="1953"/>
      <c r="D2103" s="1953"/>
      <c r="E2103" s="1953"/>
      <c r="F2103" s="1953"/>
      <c r="G2103" s="1953"/>
      <c r="H2103" s="1953"/>
      <c r="I2103"/>
      <c r="J2103"/>
      <c r="K2103"/>
      <c r="L2103"/>
    </row>
  </sheetData>
  <sheetProtection selectLockedCells="1"/>
  <protectedRanges>
    <protectedRange sqref="M22 L1:N10 L57:N1048576 L23:M56 O10:O40 L11:M21 O49 N11:N56" name="Range1"/>
  </protectedRanges>
  <pageMargins left="0.7" right="0.7" top="0.75" bottom="0.75" header="0.3" footer="0.3"/>
  <pageSetup paperSize="9" scale="93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J49"/>
  <sheetViews>
    <sheetView workbookViewId="0">
      <selection activeCell="O56" sqref="O56"/>
    </sheetView>
  </sheetViews>
  <sheetFormatPr defaultColWidth="8.86328125" defaultRowHeight="10.15" x14ac:dyDescent="0.3"/>
  <cols>
    <col min="1" max="1" width="33.1328125" style="108" customWidth="1"/>
    <col min="2" max="2" width="13.1328125" style="108" customWidth="1"/>
    <col min="3" max="3" width="0.6640625" style="108" customWidth="1"/>
    <col min="4" max="4" width="16.1328125" style="108" customWidth="1"/>
    <col min="5" max="5" width="4.46484375" style="108" customWidth="1"/>
    <col min="6" max="6" width="33.1328125" style="108" customWidth="1"/>
    <col min="7" max="7" width="12.33203125" style="108" customWidth="1"/>
    <col min="8" max="8" width="13.46484375" style="108" customWidth="1"/>
    <col min="9" max="16384" width="8.86328125" style="108"/>
  </cols>
  <sheetData>
    <row r="1" spans="1:10" ht="11.65" x14ac:dyDescent="0.35">
      <c r="B1" s="486" t="s">
        <v>79</v>
      </c>
      <c r="C1" s="487"/>
      <c r="D1" s="487"/>
      <c r="E1" s="487"/>
      <c r="F1" s="487"/>
      <c r="G1" s="487"/>
      <c r="H1" s="507"/>
      <c r="I1" s="494"/>
      <c r="J1" s="493"/>
    </row>
    <row r="2" spans="1:10" ht="11.65" x14ac:dyDescent="0.35">
      <c r="B2" s="490" t="s">
        <v>395</v>
      </c>
      <c r="C2" s="491"/>
      <c r="D2" s="492"/>
      <c r="E2" s="492"/>
      <c r="F2" s="492"/>
      <c r="G2" s="492"/>
      <c r="H2" s="508"/>
      <c r="I2" s="494"/>
      <c r="J2" s="493"/>
    </row>
    <row r="3" spans="1:10" ht="12" thickBot="1" x14ac:dyDescent="0.4">
      <c r="B3" s="495" t="s">
        <v>99</v>
      </c>
      <c r="C3" s="496"/>
      <c r="D3" s="497"/>
      <c r="E3" s="497"/>
      <c r="F3" s="497"/>
      <c r="G3" s="497"/>
      <c r="H3" s="509"/>
      <c r="I3" s="494"/>
      <c r="J3" s="493"/>
    </row>
    <row r="4" spans="1:10" ht="12.75" x14ac:dyDescent="0.35">
      <c r="A4" s="128" t="s">
        <v>339</v>
      </c>
      <c r="B4" s="129"/>
      <c r="C4" s="129"/>
      <c r="D4" s="129"/>
      <c r="E4" s="130"/>
      <c r="F4" s="129"/>
      <c r="G4" s="129"/>
      <c r="H4" s="129"/>
      <c r="I4" s="129"/>
    </row>
    <row r="5" spans="1:10" ht="12.75" x14ac:dyDescent="0.35">
      <c r="A5" s="131" t="s">
        <v>340</v>
      </c>
      <c r="B5" s="129"/>
      <c r="C5" s="129"/>
      <c r="D5" s="129"/>
      <c r="E5" s="130"/>
      <c r="F5" s="131" t="s">
        <v>205</v>
      </c>
      <c r="G5" s="129"/>
      <c r="H5" s="129"/>
      <c r="I5" s="129"/>
    </row>
    <row r="6" spans="1:10" ht="13.15" thickBot="1" x14ac:dyDescent="0.4">
      <c r="A6" s="129"/>
      <c r="B6" s="129"/>
      <c r="C6" s="129"/>
      <c r="D6" s="129"/>
      <c r="E6" s="130"/>
      <c r="F6" s="129"/>
      <c r="G6" s="129"/>
      <c r="H6" s="129"/>
      <c r="I6" s="129"/>
    </row>
    <row r="7" spans="1:10" x14ac:dyDescent="0.3">
      <c r="A7" s="165" t="s">
        <v>53</v>
      </c>
      <c r="B7" s="132" t="s">
        <v>420</v>
      </c>
      <c r="C7" s="132"/>
      <c r="D7" s="133" t="s">
        <v>421</v>
      </c>
      <c r="F7" s="134" t="s">
        <v>213</v>
      </c>
      <c r="G7" s="135"/>
      <c r="H7" s="135"/>
      <c r="I7" s="136"/>
    </row>
    <row r="8" spans="1:10" x14ac:dyDescent="0.3">
      <c r="A8" s="166" t="s">
        <v>495</v>
      </c>
      <c r="B8" s="137" t="s">
        <v>194</v>
      </c>
      <c r="C8" s="137"/>
      <c r="D8" s="138" t="s">
        <v>806</v>
      </c>
      <c r="F8" s="103"/>
      <c r="I8" s="127"/>
    </row>
    <row r="9" spans="1:10" x14ac:dyDescent="0.3">
      <c r="A9" s="167" t="s">
        <v>297</v>
      </c>
      <c r="B9" s="139" t="s">
        <v>375</v>
      </c>
      <c r="C9" s="139"/>
      <c r="D9" s="140" t="s">
        <v>376</v>
      </c>
      <c r="F9" s="103" t="s">
        <v>7</v>
      </c>
      <c r="I9" s="127"/>
    </row>
    <row r="10" spans="1:10" x14ac:dyDescent="0.3">
      <c r="A10" s="141" t="s">
        <v>239</v>
      </c>
      <c r="B10" s="142"/>
      <c r="C10" s="143"/>
      <c r="D10" s="144"/>
      <c r="F10" s="103" t="s">
        <v>275</v>
      </c>
      <c r="I10" s="127"/>
    </row>
    <row r="11" spans="1:10" x14ac:dyDescent="0.3">
      <c r="A11" s="141"/>
      <c r="B11" s="142" t="s">
        <v>160</v>
      </c>
      <c r="C11" s="143"/>
      <c r="D11" s="144"/>
      <c r="F11" s="103" t="s">
        <v>240</v>
      </c>
      <c r="G11" s="145"/>
      <c r="I11" s="127"/>
    </row>
    <row r="12" spans="1:10" x14ac:dyDescent="0.3">
      <c r="A12" s="141" t="s">
        <v>241</v>
      </c>
      <c r="B12" s="146"/>
      <c r="C12" s="143"/>
      <c r="D12" s="147">
        <f>I29</f>
        <v>27550</v>
      </c>
      <c r="F12" s="103" t="s">
        <v>242</v>
      </c>
      <c r="G12" s="145">
        <v>27550</v>
      </c>
      <c r="I12" s="127"/>
    </row>
    <row r="13" spans="1:10" x14ac:dyDescent="0.3">
      <c r="A13" s="141" t="s">
        <v>372</v>
      </c>
      <c r="B13" s="146"/>
      <c r="C13" s="143"/>
      <c r="D13" s="147"/>
      <c r="F13" s="103" t="s">
        <v>500</v>
      </c>
      <c r="G13" s="145" t="s">
        <v>160</v>
      </c>
      <c r="I13" s="127"/>
    </row>
    <row r="14" spans="1:10" x14ac:dyDescent="0.3">
      <c r="A14" s="141" t="s">
        <v>628</v>
      </c>
      <c r="B14" s="146"/>
      <c r="C14" s="143"/>
      <c r="D14" s="147"/>
      <c r="F14" s="103" t="s">
        <v>629</v>
      </c>
      <c r="G14" s="145" t="s">
        <v>160</v>
      </c>
      <c r="I14" s="127"/>
    </row>
    <row r="15" spans="1:10" x14ac:dyDescent="0.3">
      <c r="A15" s="141" t="s">
        <v>634</v>
      </c>
      <c r="B15" s="146"/>
      <c r="C15" s="143"/>
      <c r="D15" s="147"/>
      <c r="F15" s="103" t="s">
        <v>820</v>
      </c>
      <c r="G15" s="145"/>
      <c r="I15" s="127"/>
    </row>
    <row r="16" spans="1:10" ht="10.5" thickBot="1" x14ac:dyDescent="0.35">
      <c r="A16" s="141" t="s">
        <v>35</v>
      </c>
      <c r="B16" s="148">
        <f>SUM(B12:B15)</f>
        <v>0</v>
      </c>
      <c r="C16" s="143"/>
      <c r="D16" s="149">
        <f>SUM(D12:D15)</f>
        <v>27550</v>
      </c>
      <c r="F16" s="103" t="s">
        <v>36</v>
      </c>
      <c r="G16" s="145"/>
      <c r="H16" s="123">
        <f>SUM(G11:G16)</f>
        <v>27550</v>
      </c>
      <c r="I16" s="127"/>
    </row>
    <row r="17" spans="1:9" ht="13.15" thickTop="1" x14ac:dyDescent="0.35">
      <c r="A17" s="141"/>
      <c r="B17" s="142"/>
      <c r="C17" s="143"/>
      <c r="D17" s="151"/>
      <c r="F17" s="152" t="s">
        <v>37</v>
      </c>
      <c r="G17" s="145">
        <v>0</v>
      </c>
      <c r="H17" s="129"/>
      <c r="I17" s="127"/>
    </row>
    <row r="18" spans="1:9" x14ac:dyDescent="0.3">
      <c r="A18" s="141" t="s">
        <v>699</v>
      </c>
      <c r="B18" s="146">
        <v>37000</v>
      </c>
      <c r="C18" s="143"/>
      <c r="D18" s="449">
        <v>0</v>
      </c>
      <c r="F18" s="103" t="s">
        <v>635</v>
      </c>
      <c r="G18" s="123"/>
      <c r="H18" s="145">
        <f>SUM(G11:G17)</f>
        <v>27550</v>
      </c>
      <c r="I18" s="127"/>
    </row>
    <row r="19" spans="1:9" x14ac:dyDescent="0.3">
      <c r="A19" s="141" t="s">
        <v>766</v>
      </c>
      <c r="B19" s="146"/>
      <c r="C19" s="143"/>
      <c r="D19" s="147"/>
      <c r="F19" s="103" t="s">
        <v>767</v>
      </c>
      <c r="G19" s="123"/>
      <c r="H19" s="108" t="s">
        <v>768</v>
      </c>
      <c r="I19" s="127"/>
    </row>
    <row r="20" spans="1:9" x14ac:dyDescent="0.3">
      <c r="A20" s="141" t="s">
        <v>512</v>
      </c>
      <c r="B20" s="146"/>
      <c r="C20" s="143"/>
      <c r="D20" s="147"/>
      <c r="F20" s="103" t="s">
        <v>639</v>
      </c>
      <c r="G20" s="123"/>
      <c r="H20" s="108" t="s">
        <v>638</v>
      </c>
      <c r="I20" s="127"/>
    </row>
    <row r="21" spans="1:9" ht="10.5" thickBot="1" x14ac:dyDescent="0.35">
      <c r="A21" s="141" t="s">
        <v>519</v>
      </c>
      <c r="B21" s="153">
        <f>SUM(B16,B18:B20)</f>
        <v>37000</v>
      </c>
      <c r="C21" s="143"/>
      <c r="D21" s="526">
        <f>SUM(D16,D18:D20)</f>
        <v>27550</v>
      </c>
      <c r="F21" s="103" t="s">
        <v>520</v>
      </c>
      <c r="G21" s="123"/>
      <c r="I21" s="127"/>
    </row>
    <row r="22" spans="1:9" ht="10.9" thickTop="1" thickBot="1" x14ac:dyDescent="0.35">
      <c r="A22" s="117"/>
      <c r="B22" s="154"/>
      <c r="C22" s="155"/>
      <c r="D22" s="168"/>
      <c r="F22" s="103" t="s">
        <v>641</v>
      </c>
      <c r="G22" s="145"/>
      <c r="I22" s="127"/>
    </row>
    <row r="23" spans="1:9" x14ac:dyDescent="0.3">
      <c r="F23" s="103" t="s">
        <v>645</v>
      </c>
      <c r="G23" s="145"/>
      <c r="I23" s="127"/>
    </row>
    <row r="24" spans="1:9" x14ac:dyDescent="0.3">
      <c r="A24" s="157" t="s">
        <v>828</v>
      </c>
      <c r="B24" s="157"/>
      <c r="C24" s="157"/>
      <c r="D24" s="157"/>
      <c r="F24" s="103" t="s">
        <v>515</v>
      </c>
      <c r="G24" s="145"/>
      <c r="I24" s="127"/>
    </row>
    <row r="25" spans="1:9" ht="12.75" x14ac:dyDescent="0.35">
      <c r="A25" s="129"/>
      <c r="F25" s="103" t="s">
        <v>649</v>
      </c>
      <c r="G25" s="145"/>
      <c r="I25" s="127"/>
    </row>
    <row r="26" spans="1:9" x14ac:dyDescent="0.3">
      <c r="A26" s="108" t="s">
        <v>661</v>
      </c>
      <c r="F26" s="103" t="s">
        <v>405</v>
      </c>
      <c r="G26" s="145"/>
      <c r="I26" s="127"/>
    </row>
    <row r="27" spans="1:9" x14ac:dyDescent="0.3">
      <c r="A27" s="108" t="s">
        <v>406</v>
      </c>
      <c r="F27" s="103" t="s">
        <v>531</v>
      </c>
      <c r="G27" s="145"/>
      <c r="I27" s="127"/>
    </row>
    <row r="28" spans="1:9" x14ac:dyDescent="0.3">
      <c r="F28" s="103" t="s">
        <v>532</v>
      </c>
      <c r="H28" s="145">
        <f>SUM(G22:G27)</f>
        <v>0</v>
      </c>
      <c r="I28" s="127"/>
    </row>
    <row r="29" spans="1:9" x14ac:dyDescent="0.3">
      <c r="F29" s="103"/>
      <c r="I29" s="150">
        <f>SUM(H16,H28)</f>
        <v>27550</v>
      </c>
    </row>
    <row r="30" spans="1:9" ht="10.5" thickBot="1" x14ac:dyDescent="0.35">
      <c r="F30" s="158" t="s">
        <v>540</v>
      </c>
      <c r="H30" s="452">
        <f>SUM(H28 +H18)</f>
        <v>27550</v>
      </c>
      <c r="I30" s="127"/>
    </row>
    <row r="31" spans="1:9" ht="10.5" thickTop="1" x14ac:dyDescent="0.3">
      <c r="F31" s="160"/>
      <c r="G31" s="161"/>
      <c r="H31" s="161"/>
      <c r="I31" s="162"/>
    </row>
    <row r="32" spans="1:9" x14ac:dyDescent="0.3">
      <c r="F32" s="103" t="s">
        <v>410</v>
      </c>
      <c r="I32" s="127"/>
    </row>
    <row r="33" spans="6:9" x14ac:dyDescent="0.3">
      <c r="F33" s="103"/>
      <c r="I33" s="127"/>
    </row>
    <row r="34" spans="6:9" x14ac:dyDescent="0.3">
      <c r="F34" s="103" t="s">
        <v>404</v>
      </c>
      <c r="G34" s="145">
        <f>SUM(D21)</f>
        <v>27550</v>
      </c>
      <c r="H34" s="108" t="s">
        <v>516</v>
      </c>
      <c r="I34" s="127"/>
    </row>
    <row r="35" spans="6:9" x14ac:dyDescent="0.3">
      <c r="F35" s="103" t="s">
        <v>517</v>
      </c>
      <c r="G35" s="145">
        <f>SUM(H30)</f>
        <v>27550</v>
      </c>
      <c r="H35" s="108" t="s">
        <v>390</v>
      </c>
      <c r="I35" s="127"/>
    </row>
    <row r="36" spans="6:9" x14ac:dyDescent="0.3">
      <c r="F36" s="103" t="s">
        <v>391</v>
      </c>
      <c r="G36" s="161">
        <v>0</v>
      </c>
      <c r="H36" s="108" t="s">
        <v>643</v>
      </c>
      <c r="I36" s="127"/>
    </row>
    <row r="37" spans="6:9" x14ac:dyDescent="0.3">
      <c r="F37" s="103"/>
      <c r="H37" s="108" t="s">
        <v>644</v>
      </c>
      <c r="I37" s="127"/>
    </row>
    <row r="38" spans="6:9" x14ac:dyDescent="0.3">
      <c r="F38" s="103" t="s">
        <v>271</v>
      </c>
      <c r="G38" s="161"/>
      <c r="I38" s="127"/>
    </row>
    <row r="39" spans="6:9" x14ac:dyDescent="0.3">
      <c r="F39" s="160"/>
      <c r="G39" s="161"/>
      <c r="H39" s="161"/>
      <c r="I39" s="162"/>
    </row>
    <row r="40" spans="6:9" x14ac:dyDescent="0.3">
      <c r="F40" s="103" t="s">
        <v>523</v>
      </c>
      <c r="I40" s="127"/>
    </row>
    <row r="41" spans="6:9" x14ac:dyDescent="0.3">
      <c r="F41" s="103" t="s">
        <v>402</v>
      </c>
      <c r="I41" s="127"/>
    </row>
    <row r="42" spans="6:9" x14ac:dyDescent="0.3">
      <c r="F42" s="103"/>
      <c r="I42" s="127"/>
    </row>
    <row r="43" spans="6:9" x14ac:dyDescent="0.3">
      <c r="F43" s="103" t="s">
        <v>144</v>
      </c>
      <c r="G43" s="145">
        <f>SUM(H30-H28)</f>
        <v>27550</v>
      </c>
      <c r="H43" s="108" t="s">
        <v>45</v>
      </c>
      <c r="I43" s="127"/>
    </row>
    <row r="44" spans="6:9" x14ac:dyDescent="0.3">
      <c r="F44" s="103" t="s">
        <v>143</v>
      </c>
      <c r="G44" s="161"/>
      <c r="I44" s="127"/>
    </row>
    <row r="45" spans="6:9" x14ac:dyDescent="0.3">
      <c r="F45" s="103" t="s">
        <v>180</v>
      </c>
      <c r="G45" s="161"/>
      <c r="I45" s="127"/>
    </row>
    <row r="46" spans="6:9" x14ac:dyDescent="0.3">
      <c r="F46" s="103" t="s">
        <v>181</v>
      </c>
      <c r="G46" s="161"/>
      <c r="I46" s="127"/>
    </row>
    <row r="47" spans="6:9" x14ac:dyDescent="0.3">
      <c r="F47" s="103"/>
      <c r="I47" s="127"/>
    </row>
    <row r="48" spans="6:9" x14ac:dyDescent="0.3">
      <c r="F48" s="103" t="s">
        <v>130</v>
      </c>
      <c r="I48" s="127"/>
    </row>
    <row r="49" spans="6:9" ht="10.5" thickBot="1" x14ac:dyDescent="0.35">
      <c r="F49" s="117" t="s">
        <v>128</v>
      </c>
      <c r="G49" s="163">
        <f>SUM(G43:G46)</f>
        <v>27550</v>
      </c>
      <c r="H49" s="155" t="s">
        <v>161</v>
      </c>
      <c r="I49" s="164"/>
    </row>
  </sheetData>
  <phoneticPr fontId="39" type="noConversion"/>
  <printOptions gridLines="1"/>
  <pageMargins left="0.25" right="0.25" top="0.65" bottom="0" header="0.19" footer="0"/>
  <pageSetup scale="77" orientation="portrait" horizontalDpi="300" verticalDpi="300" r:id="rId1"/>
  <headerFooter alignWithMargins="0">
    <oddHeader>&amp;L&amp;D
&amp;A&amp;CTOWN OF TOPSFIELD FINANCE COMMITTEE
BUDGET WORKSHEETS TAX RECAP SUMMARY
&amp;R&amp;"Arial,Bold"&amp;12VERSION 3.0
FY2019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F15"/>
  <sheetViews>
    <sheetView workbookViewId="0">
      <selection activeCell="O56" sqref="O56"/>
    </sheetView>
  </sheetViews>
  <sheetFormatPr defaultColWidth="8.86328125" defaultRowHeight="12.75" x14ac:dyDescent="0.35"/>
  <cols>
    <col min="1" max="1" width="38.6640625" style="129" customWidth="1"/>
    <col min="2" max="2" width="12" style="129" customWidth="1"/>
    <col min="3" max="3" width="11.33203125" style="129" customWidth="1"/>
    <col min="4" max="5" width="8.33203125" style="129" customWidth="1"/>
    <col min="6" max="6" width="8.6640625" style="129" customWidth="1"/>
    <col min="7" max="16384" width="8.86328125" style="129"/>
  </cols>
  <sheetData>
    <row r="1" spans="1:6" x14ac:dyDescent="0.35">
      <c r="A1" s="180" t="s">
        <v>703</v>
      </c>
      <c r="B1" s="132" t="s">
        <v>691</v>
      </c>
      <c r="C1" s="132" t="s">
        <v>692</v>
      </c>
      <c r="D1" s="132" t="s">
        <v>693</v>
      </c>
      <c r="E1" s="132" t="s">
        <v>694</v>
      </c>
      <c r="F1" s="169" t="s">
        <v>695</v>
      </c>
    </row>
    <row r="2" spans="1:6" x14ac:dyDescent="0.35">
      <c r="A2" s="181" t="s">
        <v>165</v>
      </c>
      <c r="B2" s="137" t="s">
        <v>166</v>
      </c>
      <c r="C2" s="137" t="s">
        <v>301</v>
      </c>
      <c r="D2" s="137" t="s">
        <v>302</v>
      </c>
      <c r="E2" s="137" t="s">
        <v>496</v>
      </c>
      <c r="F2" s="170" t="s">
        <v>437</v>
      </c>
    </row>
    <row r="3" spans="1:6" x14ac:dyDescent="0.35">
      <c r="A3" s="182"/>
      <c r="B3" s="137"/>
      <c r="C3" s="137" t="s">
        <v>428</v>
      </c>
      <c r="D3" s="137" t="s">
        <v>429</v>
      </c>
      <c r="E3" s="137" t="s">
        <v>430</v>
      </c>
      <c r="F3" s="170" t="s">
        <v>553</v>
      </c>
    </row>
    <row r="4" spans="1:6" ht="13.15" thickBot="1" x14ac:dyDescent="0.4">
      <c r="A4" s="183"/>
      <c r="B4" s="171"/>
      <c r="C4" s="171" t="s">
        <v>554</v>
      </c>
      <c r="D4" s="171" t="s">
        <v>432</v>
      </c>
      <c r="E4" s="171" t="s">
        <v>429</v>
      </c>
      <c r="F4" s="172" t="s">
        <v>164</v>
      </c>
    </row>
    <row r="5" spans="1:6" x14ac:dyDescent="0.35">
      <c r="A5" s="173" t="s">
        <v>195</v>
      </c>
      <c r="B5" s="174"/>
      <c r="C5" s="174"/>
      <c r="D5" s="174"/>
      <c r="E5" s="174"/>
      <c r="F5" s="175">
        <f>SUM('PROJECTED SCH. B'!H17)</f>
        <v>0</v>
      </c>
    </row>
    <row r="6" spans="1:6" x14ac:dyDescent="0.35">
      <c r="A6" s="173" t="s">
        <v>196</v>
      </c>
      <c r="B6" s="375"/>
      <c r="C6" s="174"/>
      <c r="D6" s="174"/>
      <c r="E6" s="174"/>
      <c r="F6" s="175">
        <f>SUM('PROJECTED SCH. B'!H18)</f>
        <v>0</v>
      </c>
    </row>
    <row r="7" spans="1:6" x14ac:dyDescent="0.35">
      <c r="A7" s="376" t="s">
        <v>470</v>
      </c>
      <c r="B7" s="174"/>
      <c r="C7" s="374"/>
      <c r="D7" s="176"/>
      <c r="E7" s="176"/>
      <c r="F7" s="177" t="e">
        <f>SUM('PROJECTED SCH. B'!#REF!)</f>
        <v>#REF!</v>
      </c>
    </row>
    <row r="8" spans="1:6" x14ac:dyDescent="0.35">
      <c r="A8" s="160" t="s">
        <v>160</v>
      </c>
      <c r="B8" s="176"/>
      <c r="C8" s="176"/>
      <c r="D8" s="176"/>
      <c r="E8" s="176"/>
      <c r="F8" s="177" t="s">
        <v>160</v>
      </c>
    </row>
    <row r="9" spans="1:6" x14ac:dyDescent="0.35">
      <c r="A9" s="160"/>
      <c r="B9" s="176"/>
      <c r="C9" s="176"/>
      <c r="D9" s="176"/>
      <c r="E9" s="176"/>
      <c r="F9" s="177"/>
    </row>
    <row r="10" spans="1:6" x14ac:dyDescent="0.35">
      <c r="A10" s="160"/>
      <c r="B10" s="176"/>
      <c r="C10" s="176"/>
      <c r="D10" s="176"/>
      <c r="E10" s="176"/>
      <c r="F10" s="177"/>
    </row>
    <row r="11" spans="1:6" ht="13.15" thickBot="1" x14ac:dyDescent="0.4">
      <c r="A11" s="117" t="s">
        <v>707</v>
      </c>
      <c r="B11" s="178"/>
      <c r="C11" s="178"/>
      <c r="D11" s="178"/>
      <c r="E11" s="178"/>
      <c r="F11" s="179" t="e">
        <f>SUM(F5:F10)</f>
        <v>#REF!</v>
      </c>
    </row>
    <row r="12" spans="1:6" x14ac:dyDescent="0.35">
      <c r="A12" s="108"/>
      <c r="B12" s="108"/>
      <c r="C12" s="108"/>
      <c r="D12" s="108"/>
      <c r="E12" s="108"/>
      <c r="F12" s="108"/>
    </row>
    <row r="13" spans="1:6" x14ac:dyDescent="0.35">
      <c r="A13" s="157" t="s">
        <v>576</v>
      </c>
      <c r="B13" s="157"/>
      <c r="C13" s="108"/>
      <c r="D13" s="108"/>
      <c r="E13" s="108"/>
      <c r="F13" s="108"/>
    </row>
    <row r="14" spans="1:6" x14ac:dyDescent="0.35">
      <c r="A14" s="108"/>
      <c r="B14" s="108"/>
      <c r="C14" s="108"/>
      <c r="D14" s="108"/>
      <c r="E14" s="108"/>
      <c r="F14" s="108"/>
    </row>
    <row r="15" spans="1:6" x14ac:dyDescent="0.35">
      <c r="A15" s="108" t="s">
        <v>566</v>
      </c>
      <c r="B15" s="108"/>
      <c r="C15" s="108"/>
      <c r="D15" s="108"/>
      <c r="E15" s="108"/>
      <c r="F15" s="108"/>
    </row>
  </sheetData>
  <phoneticPr fontId="39" type="noConversion"/>
  <printOptions gridLines="1"/>
  <pageMargins left="0.25" right="0.25" top="0.65" bottom="0" header="0.19" footer="0"/>
  <pageSetup orientation="portrait" horizontalDpi="300" verticalDpi="300" r:id="rId1"/>
  <headerFooter alignWithMargins="0">
    <oddHeader>&amp;L2/15/12 9:01 PM_x000D_K. Dow File&amp;CTOWN OF TOPSFIELD FINANCE COMMITTEE_x000D_BUDGET WORKSHEETS TAX RECAP SUMMARY_x000D_&amp;R&amp;P_x000D_&amp;"Arial,Bold"&amp;12VERSION 2.0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39"/>
  <sheetViews>
    <sheetView workbookViewId="0">
      <selection activeCell="O56" sqref="O56"/>
    </sheetView>
  </sheetViews>
  <sheetFormatPr defaultColWidth="8.86328125" defaultRowHeight="10.15" x14ac:dyDescent="0.3"/>
  <cols>
    <col min="1" max="3" width="8.86328125" style="108"/>
    <col min="4" max="4" width="10.86328125" style="108" customWidth="1"/>
    <col min="5" max="5" width="12.33203125" style="108" customWidth="1"/>
    <col min="6" max="6" width="1.6640625" style="108" customWidth="1"/>
    <col min="7" max="7" width="40.1328125" style="108" customWidth="1"/>
    <col min="8" max="16384" width="8.86328125" style="108"/>
  </cols>
  <sheetData>
    <row r="1" spans="1:7" s="186" customFormat="1" x14ac:dyDescent="0.3">
      <c r="A1" s="180" t="s">
        <v>855</v>
      </c>
      <c r="B1" s="198"/>
      <c r="C1" s="198"/>
      <c r="D1" s="199"/>
      <c r="E1" s="184"/>
      <c r="F1" s="184"/>
      <c r="G1" s="185"/>
    </row>
    <row r="2" spans="1:7" s="186" customFormat="1" x14ac:dyDescent="0.3">
      <c r="A2" s="181" t="s">
        <v>704</v>
      </c>
      <c r="B2" s="200"/>
      <c r="C2" s="200"/>
      <c r="D2" s="201"/>
      <c r="E2" s="187"/>
      <c r="F2" s="187"/>
      <c r="G2" s="188"/>
    </row>
    <row r="3" spans="1:7" s="186" customFormat="1" ht="10.5" thickBot="1" x14ac:dyDescent="0.35">
      <c r="A3" s="202" t="s">
        <v>446</v>
      </c>
      <c r="B3" s="203"/>
      <c r="C3" s="203"/>
      <c r="D3" s="204"/>
      <c r="E3" s="189" t="s">
        <v>710</v>
      </c>
      <c r="F3" s="190"/>
      <c r="G3" s="191" t="s">
        <v>350</v>
      </c>
    </row>
    <row r="4" spans="1:7" x14ac:dyDescent="0.3">
      <c r="A4" s="103"/>
      <c r="D4" s="192"/>
      <c r="E4" s="192"/>
      <c r="F4" s="192"/>
      <c r="G4" s="127"/>
    </row>
    <row r="5" spans="1:7" x14ac:dyDescent="0.3">
      <c r="A5" s="193" t="s">
        <v>711</v>
      </c>
      <c r="D5" s="192"/>
      <c r="E5" s="194"/>
      <c r="F5" s="192"/>
      <c r="G5" s="127"/>
    </row>
    <row r="6" spans="1:7" x14ac:dyDescent="0.3">
      <c r="A6" s="103" t="s">
        <v>450</v>
      </c>
      <c r="D6" s="192"/>
      <c r="E6" s="195">
        <v>1300000</v>
      </c>
      <c r="F6" s="192"/>
      <c r="G6" s="127" t="s">
        <v>556</v>
      </c>
    </row>
    <row r="7" spans="1:7" x14ac:dyDescent="0.3">
      <c r="A7" s="103" t="s">
        <v>712</v>
      </c>
      <c r="D7" s="192"/>
      <c r="E7" s="194"/>
      <c r="F7" s="192"/>
      <c r="G7" s="127"/>
    </row>
    <row r="8" spans="1:7" x14ac:dyDescent="0.3">
      <c r="A8" s="103" t="s">
        <v>574</v>
      </c>
      <c r="D8" s="192"/>
      <c r="E8" s="195"/>
      <c r="F8" s="192"/>
      <c r="G8" s="127"/>
    </row>
    <row r="9" spans="1:7" x14ac:dyDescent="0.3">
      <c r="A9" s="103"/>
      <c r="D9" s="192"/>
      <c r="E9" s="194"/>
      <c r="F9" s="192"/>
      <c r="G9" s="127"/>
    </row>
    <row r="10" spans="1:7" x14ac:dyDescent="0.3">
      <c r="A10" s="193" t="s">
        <v>575</v>
      </c>
      <c r="D10" s="192"/>
      <c r="E10" s="195">
        <f>SUM(E6:E8)</f>
        <v>1300000</v>
      </c>
      <c r="F10" s="192"/>
      <c r="G10" s="127"/>
    </row>
    <row r="11" spans="1:7" x14ac:dyDescent="0.3">
      <c r="A11" s="103"/>
      <c r="D11" s="192"/>
      <c r="E11" s="194"/>
      <c r="F11" s="192"/>
      <c r="G11" s="127"/>
    </row>
    <row r="12" spans="1:7" x14ac:dyDescent="0.3">
      <c r="A12" s="103" t="s">
        <v>728</v>
      </c>
      <c r="D12" s="192"/>
      <c r="E12" s="194"/>
      <c r="F12" s="192"/>
      <c r="G12" s="127"/>
    </row>
    <row r="13" spans="1:7" x14ac:dyDescent="0.3">
      <c r="A13" s="103" t="s">
        <v>713</v>
      </c>
      <c r="D13" s="192"/>
      <c r="E13" s="194"/>
      <c r="F13" s="192"/>
      <c r="G13" s="127"/>
    </row>
    <row r="14" spans="1:7" x14ac:dyDescent="0.3">
      <c r="A14" s="103"/>
      <c r="D14" s="192"/>
      <c r="E14" s="194"/>
      <c r="F14" s="192"/>
      <c r="G14" s="127"/>
    </row>
    <row r="15" spans="1:7" x14ac:dyDescent="0.3">
      <c r="A15" s="103" t="s">
        <v>857</v>
      </c>
      <c r="D15" s="192"/>
      <c r="E15" s="195">
        <v>0</v>
      </c>
      <c r="F15" s="192"/>
      <c r="G15" s="127" t="s">
        <v>856</v>
      </c>
    </row>
    <row r="16" spans="1:7" x14ac:dyDescent="0.3">
      <c r="A16" s="103" t="s">
        <v>858</v>
      </c>
      <c r="C16" s="108" t="s">
        <v>160</v>
      </c>
      <c r="D16" s="192"/>
      <c r="E16" s="194"/>
      <c r="F16" s="192"/>
      <c r="G16" s="127"/>
    </row>
    <row r="17" spans="1:7" x14ac:dyDescent="0.3">
      <c r="A17" s="103" t="s">
        <v>448</v>
      </c>
      <c r="D17" s="192"/>
      <c r="E17" s="195">
        <f>SUM('RECAP SUMMARY'!I45)</f>
        <v>380778</v>
      </c>
      <c r="F17" s="192"/>
      <c r="G17" s="127" t="s">
        <v>570</v>
      </c>
    </row>
    <row r="18" spans="1:7" x14ac:dyDescent="0.3">
      <c r="A18" s="103" t="s">
        <v>571</v>
      </c>
      <c r="D18" s="192"/>
      <c r="E18" s="195">
        <f>SUM('RECAP SUMMARY'!I47)</f>
        <v>408469</v>
      </c>
      <c r="F18" s="192"/>
      <c r="G18" s="127" t="s">
        <v>731</v>
      </c>
    </row>
    <row r="19" spans="1:7" x14ac:dyDescent="0.3">
      <c r="A19" s="103"/>
      <c r="D19" s="192"/>
      <c r="E19" s="194"/>
      <c r="F19" s="192"/>
      <c r="G19" s="127"/>
    </row>
    <row r="20" spans="1:7" x14ac:dyDescent="0.3">
      <c r="A20" s="193" t="s">
        <v>584</v>
      </c>
      <c r="D20" s="192"/>
      <c r="E20" s="195">
        <f>SUM(E10-E15-E17-E18)</f>
        <v>510753</v>
      </c>
      <c r="F20" s="192"/>
      <c r="G20" s="127" t="s">
        <v>585</v>
      </c>
    </row>
    <row r="21" spans="1:7" x14ac:dyDescent="0.3">
      <c r="A21" s="103"/>
      <c r="D21" s="192"/>
      <c r="E21" s="194"/>
      <c r="F21" s="192"/>
      <c r="G21" s="127"/>
    </row>
    <row r="22" spans="1:7" x14ac:dyDescent="0.3">
      <c r="A22" s="193" t="s">
        <v>586</v>
      </c>
      <c r="D22" s="192"/>
      <c r="E22" s="194"/>
      <c r="F22" s="192"/>
      <c r="G22" s="127"/>
    </row>
    <row r="23" spans="1:7" x14ac:dyDescent="0.3">
      <c r="A23" s="103"/>
      <c r="D23" s="192"/>
      <c r="E23" s="194"/>
      <c r="F23" s="192"/>
      <c r="G23" s="127"/>
    </row>
    <row r="24" spans="1:7" x14ac:dyDescent="0.3">
      <c r="A24" s="103" t="s">
        <v>471</v>
      </c>
      <c r="D24" s="192"/>
      <c r="E24" s="195">
        <v>0</v>
      </c>
      <c r="F24" s="192"/>
      <c r="G24" s="127"/>
    </row>
    <row r="25" spans="1:7" x14ac:dyDescent="0.3">
      <c r="A25" s="103" t="s">
        <v>712</v>
      </c>
      <c r="D25" s="192"/>
      <c r="E25" s="194"/>
      <c r="F25" s="192"/>
      <c r="G25" s="127"/>
    </row>
    <row r="26" spans="1:7" x14ac:dyDescent="0.3">
      <c r="A26" s="103" t="s">
        <v>574</v>
      </c>
      <c r="D26" s="192"/>
      <c r="E26" s="195">
        <v>0</v>
      </c>
      <c r="F26" s="192"/>
      <c r="G26" s="127"/>
    </row>
    <row r="27" spans="1:7" x14ac:dyDescent="0.3">
      <c r="A27" s="103"/>
      <c r="D27" s="192"/>
      <c r="E27" s="194"/>
      <c r="F27" s="192"/>
      <c r="G27" s="127"/>
    </row>
    <row r="28" spans="1:7" x14ac:dyDescent="0.3">
      <c r="A28" s="193" t="s">
        <v>320</v>
      </c>
      <c r="D28" s="192"/>
      <c r="E28" s="195">
        <f>SUM(E24+E26)</f>
        <v>0</v>
      </c>
      <c r="F28" s="192"/>
      <c r="G28" s="127"/>
    </row>
    <row r="29" spans="1:7" x14ac:dyDescent="0.3">
      <c r="A29" s="103"/>
      <c r="D29" s="192"/>
      <c r="E29" s="194"/>
      <c r="F29" s="192"/>
      <c r="G29" s="127"/>
    </row>
    <row r="30" spans="1:7" x14ac:dyDescent="0.3">
      <c r="A30" s="103" t="s">
        <v>459</v>
      </c>
      <c r="D30" s="192"/>
      <c r="E30" s="194"/>
      <c r="F30" s="192"/>
      <c r="G30" s="127"/>
    </row>
    <row r="31" spans="1:7" x14ac:dyDescent="0.3">
      <c r="A31" s="103" t="s">
        <v>597</v>
      </c>
      <c r="D31" s="192"/>
      <c r="E31" s="194"/>
      <c r="F31" s="192"/>
      <c r="G31" s="127"/>
    </row>
    <row r="32" spans="1:7" x14ac:dyDescent="0.3">
      <c r="A32" s="103"/>
      <c r="D32" s="192"/>
      <c r="E32" s="194"/>
      <c r="F32" s="192"/>
      <c r="G32" s="127"/>
    </row>
    <row r="33" spans="1:7" x14ac:dyDescent="0.3">
      <c r="A33" s="103" t="s">
        <v>342</v>
      </c>
      <c r="D33" s="192"/>
      <c r="E33" s="195" t="s">
        <v>157</v>
      </c>
      <c r="F33" s="192"/>
      <c r="G33" s="127"/>
    </row>
    <row r="34" spans="1:7" x14ac:dyDescent="0.3">
      <c r="A34" s="103"/>
      <c r="D34" s="192"/>
      <c r="E34" s="195"/>
      <c r="F34" s="192"/>
      <c r="G34" s="127"/>
    </row>
    <row r="35" spans="1:7" x14ac:dyDescent="0.3">
      <c r="A35" s="193" t="s">
        <v>584</v>
      </c>
      <c r="D35" s="192"/>
      <c r="E35" s="195" t="s">
        <v>157</v>
      </c>
      <c r="F35" s="192"/>
      <c r="G35" s="127"/>
    </row>
    <row r="36" spans="1:7" ht="10.5" thickBot="1" x14ac:dyDescent="0.35">
      <c r="A36" s="117"/>
      <c r="B36" s="155"/>
      <c r="C36" s="155"/>
      <c r="D36" s="155"/>
      <c r="E36" s="196"/>
      <c r="F36" s="155"/>
      <c r="G36" s="164"/>
    </row>
    <row r="37" spans="1:7" x14ac:dyDescent="0.3">
      <c r="E37" s="197"/>
    </row>
    <row r="38" spans="1:7" x14ac:dyDescent="0.3">
      <c r="E38" s="197"/>
    </row>
    <row r="39" spans="1:7" x14ac:dyDescent="0.3">
      <c r="E39" s="197"/>
    </row>
  </sheetData>
  <phoneticPr fontId="39" type="noConversion"/>
  <printOptions gridLines="1"/>
  <pageMargins left="0.25" right="0.25" top="0.65" bottom="0" header="0.19" footer="0"/>
  <pageSetup orientation="portrait" horizontalDpi="300" verticalDpi="300" r:id="rId1"/>
  <headerFooter alignWithMargins="0">
    <oddHeader>&amp;L2/15/12 9:01 PM_x000D_K. Dow File&amp;CTOWN OF TOPSFIELD FINANCE COMMITTEE_x000D_BUDGET WORKSHEETS TAX RECAP SUMMARY_x000D_&amp;R&amp;P_x000D_&amp;"Arial,Bold"&amp;12VERSION 2.0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2063"/>
  <sheetViews>
    <sheetView workbookViewId="0">
      <selection activeCell="O56" sqref="O56"/>
    </sheetView>
  </sheetViews>
  <sheetFormatPr defaultColWidth="8.86328125" defaultRowHeight="10.15" x14ac:dyDescent="0.3"/>
  <cols>
    <col min="1" max="1" width="3.46484375" style="7" customWidth="1"/>
    <col min="2" max="2" width="35.1328125" style="257" customWidth="1"/>
    <col min="3" max="3" width="10.6640625" style="7" customWidth="1"/>
    <col min="4" max="4" width="9.46484375" style="258" customWidth="1"/>
    <col min="5" max="5" width="8" style="258" customWidth="1"/>
    <col min="6" max="6" width="8.86328125" style="258"/>
    <col min="7" max="7" width="11.46484375" style="258" customWidth="1"/>
    <col min="8" max="8" width="10.33203125" style="258" customWidth="1"/>
    <col min="9" max="9" width="9.46484375" style="258" customWidth="1"/>
    <col min="10" max="10" width="26" style="1" customWidth="1"/>
    <col min="11" max="16384" width="8.86328125" style="7"/>
  </cols>
  <sheetData>
    <row r="1" spans="1:10" s="1" customFormat="1" ht="9.4" thickBot="1" x14ac:dyDescent="0.3">
      <c r="A1" s="205"/>
      <c r="B1" s="205"/>
      <c r="C1" s="206" t="s">
        <v>418</v>
      </c>
      <c r="D1" s="207"/>
      <c r="E1" s="207"/>
      <c r="F1" s="208"/>
      <c r="G1" s="207"/>
      <c r="H1" s="206" t="s">
        <v>419</v>
      </c>
      <c r="I1" s="206"/>
      <c r="J1" s="209"/>
    </row>
    <row r="2" spans="1:10" s="1" customFormat="1" ht="9.4" thickBot="1" x14ac:dyDescent="0.3">
      <c r="A2" s="210" t="s">
        <v>160</v>
      </c>
      <c r="B2" s="211" t="s">
        <v>160</v>
      </c>
      <c r="C2" s="212" t="s">
        <v>420</v>
      </c>
      <c r="D2" s="212" t="s">
        <v>421</v>
      </c>
      <c r="E2" s="213" t="s">
        <v>422</v>
      </c>
      <c r="F2" s="212" t="s">
        <v>283</v>
      </c>
      <c r="G2" s="212" t="s">
        <v>147</v>
      </c>
      <c r="H2" s="214" t="s">
        <v>274</v>
      </c>
      <c r="I2" s="214"/>
      <c r="J2" s="215"/>
    </row>
    <row r="3" spans="1:10" s="1" customFormat="1" ht="9" x14ac:dyDescent="0.25">
      <c r="A3" s="210" t="s">
        <v>275</v>
      </c>
      <c r="B3" s="211" t="s">
        <v>307</v>
      </c>
      <c r="C3" s="211" t="s">
        <v>308</v>
      </c>
      <c r="D3" s="213" t="s">
        <v>309</v>
      </c>
      <c r="E3" s="213" t="s">
        <v>310</v>
      </c>
      <c r="F3" s="213" t="s">
        <v>311</v>
      </c>
      <c r="G3" s="213" t="s">
        <v>561</v>
      </c>
      <c r="H3" s="212" t="s">
        <v>562</v>
      </c>
      <c r="I3" s="212" t="s">
        <v>568</v>
      </c>
      <c r="J3" s="215"/>
    </row>
    <row r="4" spans="1:10" s="1" customFormat="1" ht="9" x14ac:dyDescent="0.25">
      <c r="A4" s="210" t="s">
        <v>275</v>
      </c>
      <c r="B4" s="211" t="s">
        <v>306</v>
      </c>
      <c r="C4" s="211" t="s">
        <v>787</v>
      </c>
      <c r="D4" s="213" t="s">
        <v>763</v>
      </c>
      <c r="E4" s="213" t="s">
        <v>764</v>
      </c>
      <c r="F4" s="213" t="s">
        <v>765</v>
      </c>
      <c r="G4" s="213" t="s">
        <v>651</v>
      </c>
      <c r="H4" s="213" t="s">
        <v>652</v>
      </c>
      <c r="I4" s="213" t="s">
        <v>654</v>
      </c>
      <c r="J4" s="216" t="s">
        <v>160</v>
      </c>
    </row>
    <row r="5" spans="1:10" s="1" customFormat="1" ht="9" x14ac:dyDescent="0.25">
      <c r="A5" s="210" t="s">
        <v>831</v>
      </c>
      <c r="B5" s="217" t="s">
        <v>341</v>
      </c>
      <c r="C5" s="211" t="s">
        <v>832</v>
      </c>
      <c r="D5" s="213" t="s">
        <v>833</v>
      </c>
      <c r="E5" s="218" t="s">
        <v>431</v>
      </c>
      <c r="F5" s="213" t="s">
        <v>303</v>
      </c>
      <c r="G5" s="213" t="s">
        <v>304</v>
      </c>
      <c r="H5" s="213" t="s">
        <v>303</v>
      </c>
      <c r="I5" s="213" t="s">
        <v>563</v>
      </c>
      <c r="J5" s="216" t="s">
        <v>564</v>
      </c>
    </row>
    <row r="6" spans="1:10" s="1" customFormat="1" ht="9.4" thickBot="1" x14ac:dyDescent="0.3">
      <c r="A6" s="219" t="s">
        <v>565</v>
      </c>
      <c r="B6" s="220" t="s">
        <v>569</v>
      </c>
      <c r="C6" s="221" t="s">
        <v>668</v>
      </c>
      <c r="D6" s="222"/>
      <c r="E6" s="222"/>
      <c r="F6" s="223" t="s">
        <v>669</v>
      </c>
      <c r="G6" s="224" t="s">
        <v>670</v>
      </c>
      <c r="H6" s="223" t="s">
        <v>602</v>
      </c>
      <c r="I6" s="223"/>
      <c r="J6" s="225" t="s">
        <v>603</v>
      </c>
    </row>
    <row r="7" spans="1:10" x14ac:dyDescent="0.3">
      <c r="A7" s="226">
        <v>2</v>
      </c>
      <c r="B7" s="227" t="s">
        <v>604</v>
      </c>
      <c r="C7" s="228">
        <f t="shared" ref="C7:C32" si="0">SUM(D7:G7)</f>
        <v>0</v>
      </c>
      <c r="D7" s="226"/>
      <c r="E7" s="226"/>
      <c r="F7" s="226"/>
      <c r="G7" s="226"/>
      <c r="H7" s="226"/>
      <c r="I7" s="226"/>
      <c r="J7" s="229" t="s">
        <v>605</v>
      </c>
    </row>
    <row r="8" spans="1:10" x14ac:dyDescent="0.3">
      <c r="A8" s="228">
        <v>3</v>
      </c>
      <c r="B8" s="230" t="s">
        <v>606</v>
      </c>
      <c r="C8" s="228" t="e">
        <f t="shared" si="0"/>
        <v>#REF!</v>
      </c>
      <c r="D8" s="228" t="e">
        <f>SUM(BUDGET!#REF!)</f>
        <v>#REF!</v>
      </c>
      <c r="E8" s="228"/>
      <c r="F8" s="228"/>
      <c r="G8" s="228"/>
      <c r="H8" s="228"/>
      <c r="I8" s="228"/>
      <c r="J8" s="229" t="s">
        <v>665</v>
      </c>
    </row>
    <row r="9" spans="1:10" x14ac:dyDescent="0.3">
      <c r="A9" s="228">
        <v>5</v>
      </c>
      <c r="B9" s="230" t="s">
        <v>714</v>
      </c>
      <c r="C9" s="228" t="e">
        <f t="shared" si="0"/>
        <v>#REF!</v>
      </c>
      <c r="D9" s="228"/>
      <c r="E9" s="228"/>
      <c r="F9" s="228"/>
      <c r="G9" s="231" t="e">
        <f>SUM(BUDGET!#REF!)</f>
        <v>#REF!</v>
      </c>
      <c r="H9" s="228"/>
      <c r="I9" s="228"/>
      <c r="J9" s="229"/>
    </row>
    <row r="10" spans="1:10" x14ac:dyDescent="0.3">
      <c r="A10" s="228">
        <v>6</v>
      </c>
      <c r="B10" s="230" t="s">
        <v>715</v>
      </c>
      <c r="C10" s="228" t="e">
        <f t="shared" si="0"/>
        <v>#REF!</v>
      </c>
      <c r="D10" s="228" t="e">
        <f>SUM(BUDGET!#REF!)</f>
        <v>#REF!</v>
      </c>
      <c r="E10" s="228"/>
      <c r="F10" s="228"/>
      <c r="G10" s="228"/>
      <c r="H10" s="228"/>
      <c r="I10" s="228"/>
      <c r="J10" s="229" t="s">
        <v>640</v>
      </c>
    </row>
    <row r="11" spans="1:10" x14ac:dyDescent="0.3">
      <c r="A11" s="228"/>
      <c r="B11" s="230" t="s">
        <v>795</v>
      </c>
      <c r="C11" s="228">
        <f t="shared" si="0"/>
        <v>0</v>
      </c>
      <c r="D11" s="228"/>
      <c r="E11" s="228"/>
      <c r="F11" s="228"/>
      <c r="G11" s="228"/>
      <c r="H11" s="228"/>
      <c r="I11" s="228"/>
      <c r="J11" s="229"/>
    </row>
    <row r="12" spans="1:10" x14ac:dyDescent="0.3">
      <c r="A12" s="228"/>
      <c r="B12" s="230" t="s">
        <v>587</v>
      </c>
      <c r="C12" s="228" t="e">
        <f t="shared" si="0"/>
        <v>#REF!</v>
      </c>
      <c r="D12" s="228" t="e">
        <f>SUM(BUDGET!#REF!)</f>
        <v>#REF!</v>
      </c>
      <c r="E12" s="228"/>
      <c r="F12" s="228"/>
      <c r="G12" s="228"/>
      <c r="H12" s="228"/>
      <c r="I12" s="228"/>
      <c r="J12" s="229"/>
    </row>
    <row r="13" spans="1:10" x14ac:dyDescent="0.3">
      <c r="A13" s="228"/>
      <c r="B13" s="230" t="s">
        <v>588</v>
      </c>
      <c r="C13" s="228">
        <f t="shared" si="0"/>
        <v>0</v>
      </c>
      <c r="D13" s="228"/>
      <c r="E13" s="228"/>
      <c r="F13" s="228"/>
      <c r="G13" s="228"/>
      <c r="H13" s="228"/>
      <c r="I13" s="228"/>
      <c r="J13" s="229"/>
    </row>
    <row r="14" spans="1:10" x14ac:dyDescent="0.3">
      <c r="A14" s="228"/>
      <c r="B14" s="230" t="s">
        <v>470</v>
      </c>
      <c r="C14" s="228">
        <f t="shared" si="0"/>
        <v>0</v>
      </c>
      <c r="D14" s="228"/>
      <c r="E14" s="228"/>
      <c r="F14" s="228"/>
      <c r="G14" s="228"/>
      <c r="H14" s="231"/>
      <c r="I14" s="228"/>
      <c r="J14" s="229"/>
    </row>
    <row r="15" spans="1:10" x14ac:dyDescent="0.3">
      <c r="A15" s="228"/>
      <c r="B15" s="230" t="s">
        <v>479</v>
      </c>
      <c r="C15" s="228">
        <f t="shared" si="0"/>
        <v>0</v>
      </c>
      <c r="D15" s="228"/>
      <c r="E15" s="228" t="s">
        <v>160</v>
      </c>
      <c r="F15" s="228"/>
      <c r="G15" s="228"/>
      <c r="H15" s="231"/>
      <c r="I15" s="228"/>
      <c r="J15" s="229" t="s">
        <v>480</v>
      </c>
    </row>
    <row r="16" spans="1:10" x14ac:dyDescent="0.3">
      <c r="A16" s="228"/>
      <c r="B16" s="230" t="s">
        <v>481</v>
      </c>
      <c r="C16" s="228">
        <f t="shared" si="0"/>
        <v>0</v>
      </c>
      <c r="D16" s="228"/>
      <c r="E16" s="228"/>
      <c r="F16" s="228"/>
      <c r="G16" s="228"/>
      <c r="H16" s="231"/>
      <c r="I16" s="228"/>
      <c r="J16" s="229"/>
    </row>
    <row r="17" spans="1:10" x14ac:dyDescent="0.3">
      <c r="A17" s="228"/>
      <c r="B17" s="230" t="s">
        <v>482</v>
      </c>
      <c r="C17" s="228">
        <f t="shared" si="0"/>
        <v>0</v>
      </c>
      <c r="D17" s="228"/>
      <c r="E17" s="228"/>
      <c r="F17" s="228"/>
      <c r="G17" s="231"/>
      <c r="H17" s="228"/>
      <c r="I17" s="228"/>
      <c r="J17" s="229"/>
    </row>
    <row r="18" spans="1:10" x14ac:dyDescent="0.3">
      <c r="A18" s="228"/>
      <c r="B18" s="230"/>
      <c r="C18" s="228">
        <f t="shared" si="0"/>
        <v>0</v>
      </c>
      <c r="D18" s="228"/>
      <c r="E18" s="228"/>
      <c r="F18" s="228"/>
      <c r="G18" s="228"/>
      <c r="H18" s="228"/>
      <c r="I18" s="228"/>
      <c r="J18" s="229"/>
    </row>
    <row r="19" spans="1:10" x14ac:dyDescent="0.3">
      <c r="A19" s="228"/>
      <c r="B19" s="230"/>
      <c r="C19" s="228">
        <f t="shared" si="0"/>
        <v>0</v>
      </c>
      <c r="D19" s="228"/>
      <c r="E19" s="228"/>
      <c r="F19" s="228"/>
      <c r="G19" s="228"/>
      <c r="H19" s="228"/>
      <c r="I19" s="228"/>
      <c r="J19" s="229"/>
    </row>
    <row r="20" spans="1:10" x14ac:dyDescent="0.3">
      <c r="A20" s="228"/>
      <c r="B20" s="230"/>
      <c r="C20" s="228">
        <f t="shared" si="0"/>
        <v>0</v>
      </c>
      <c r="D20" s="228"/>
      <c r="E20" s="228"/>
      <c r="F20" s="228"/>
      <c r="G20" s="228"/>
      <c r="H20" s="228"/>
      <c r="I20" s="228"/>
      <c r="J20" s="229"/>
    </row>
    <row r="21" spans="1:10" x14ac:dyDescent="0.3">
      <c r="A21" s="228"/>
      <c r="B21" s="230"/>
      <c r="C21" s="228">
        <f t="shared" si="0"/>
        <v>0</v>
      </c>
      <c r="D21" s="228"/>
      <c r="E21" s="228"/>
      <c r="F21" s="228"/>
      <c r="G21" s="228"/>
      <c r="H21" s="228"/>
      <c r="I21" s="228"/>
      <c r="J21" s="229"/>
    </row>
    <row r="22" spans="1:10" x14ac:dyDescent="0.3">
      <c r="A22" s="228"/>
      <c r="B22" s="230"/>
      <c r="C22" s="228">
        <f t="shared" si="0"/>
        <v>0</v>
      </c>
      <c r="D22" s="228"/>
      <c r="E22" s="228"/>
      <c r="F22" s="228"/>
      <c r="G22" s="228"/>
      <c r="H22" s="228"/>
      <c r="I22" s="228"/>
      <c r="J22" s="229"/>
    </row>
    <row r="23" spans="1:10" x14ac:dyDescent="0.3">
      <c r="A23" s="228"/>
      <c r="B23" s="230"/>
      <c r="C23" s="228">
        <f t="shared" si="0"/>
        <v>0</v>
      </c>
      <c r="D23" s="228"/>
      <c r="E23" s="228"/>
      <c r="F23" s="228"/>
      <c r="G23" s="228"/>
      <c r="H23" s="228"/>
      <c r="I23" s="228"/>
      <c r="J23" s="229"/>
    </row>
    <row r="24" spans="1:10" x14ac:dyDescent="0.3">
      <c r="A24" s="228"/>
      <c r="B24" s="230"/>
      <c r="C24" s="228">
        <f t="shared" si="0"/>
        <v>0</v>
      </c>
      <c r="D24" s="228"/>
      <c r="E24" s="228"/>
      <c r="F24" s="228"/>
      <c r="G24" s="228"/>
      <c r="H24" s="228"/>
      <c r="I24" s="228"/>
      <c r="J24" s="229"/>
    </row>
    <row r="25" spans="1:10" x14ac:dyDescent="0.3">
      <c r="A25" s="228"/>
      <c r="B25" s="230"/>
      <c r="C25" s="228">
        <f t="shared" si="0"/>
        <v>0</v>
      </c>
      <c r="D25" s="228"/>
      <c r="E25" s="228"/>
      <c r="F25" s="228"/>
      <c r="G25" s="228"/>
      <c r="H25" s="228"/>
      <c r="I25" s="228"/>
      <c r="J25" s="229"/>
    </row>
    <row r="26" spans="1:10" x14ac:dyDescent="0.3">
      <c r="A26" s="228"/>
      <c r="B26" s="230"/>
      <c r="C26" s="228">
        <f t="shared" si="0"/>
        <v>0</v>
      </c>
      <c r="D26" s="228"/>
      <c r="E26" s="228"/>
      <c r="F26" s="228"/>
      <c r="G26" s="228"/>
      <c r="H26" s="228"/>
      <c r="I26" s="228"/>
      <c r="J26" s="229"/>
    </row>
    <row r="27" spans="1:10" x14ac:dyDescent="0.3">
      <c r="A27" s="228"/>
      <c r="B27" s="230"/>
      <c r="C27" s="228">
        <f t="shared" si="0"/>
        <v>0</v>
      </c>
      <c r="D27" s="228"/>
      <c r="E27" s="228"/>
      <c r="F27" s="228"/>
      <c r="G27" s="228"/>
      <c r="H27" s="228"/>
      <c r="I27" s="228"/>
      <c r="J27" s="229"/>
    </row>
    <row r="28" spans="1:10" x14ac:dyDescent="0.3">
      <c r="A28" s="228"/>
      <c r="B28" s="230"/>
      <c r="C28" s="228">
        <f t="shared" si="0"/>
        <v>0</v>
      </c>
      <c r="D28" s="228"/>
      <c r="E28" s="228"/>
      <c r="F28" s="228"/>
      <c r="G28" s="228"/>
      <c r="H28" s="228"/>
      <c r="I28" s="228"/>
      <c r="J28" s="229"/>
    </row>
    <row r="29" spans="1:10" x14ac:dyDescent="0.3">
      <c r="A29" s="228"/>
      <c r="B29" s="230"/>
      <c r="C29" s="228">
        <f t="shared" si="0"/>
        <v>0</v>
      </c>
      <c r="D29" s="228"/>
      <c r="E29" s="228"/>
      <c r="F29" s="228"/>
      <c r="G29" s="231"/>
      <c r="H29" s="228"/>
      <c r="I29" s="228"/>
      <c r="J29" s="229" t="s">
        <v>483</v>
      </c>
    </row>
    <row r="30" spans="1:10" x14ac:dyDescent="0.3">
      <c r="A30" s="228"/>
      <c r="B30" s="230"/>
      <c r="C30" s="228">
        <f t="shared" si="0"/>
        <v>0</v>
      </c>
      <c r="D30" s="228"/>
      <c r="E30" s="228"/>
      <c r="F30" s="228"/>
      <c r="G30" s="231"/>
      <c r="H30" s="228"/>
      <c r="I30" s="228"/>
      <c r="J30" s="229" t="s">
        <v>484</v>
      </c>
    </row>
    <row r="31" spans="1:10" ht="10.5" thickBot="1" x14ac:dyDescent="0.35">
      <c r="A31" s="232"/>
      <c r="B31" s="233" t="s">
        <v>485</v>
      </c>
      <c r="C31" s="232">
        <f t="shared" si="0"/>
        <v>0</v>
      </c>
      <c r="D31" s="232"/>
      <c r="E31" s="232">
        <v>0</v>
      </c>
      <c r="F31" s="232"/>
      <c r="G31" s="232"/>
      <c r="H31" s="232"/>
      <c r="I31" s="232"/>
      <c r="J31" s="234"/>
    </row>
    <row r="32" spans="1:10" ht="10.5" thickBot="1" x14ac:dyDescent="0.35">
      <c r="A32" s="228"/>
      <c r="B32" s="235" t="s">
        <v>486</v>
      </c>
      <c r="C32" s="236" t="e">
        <f t="shared" si="0"/>
        <v>#REF!</v>
      </c>
      <c r="D32" s="236" t="e">
        <f>SUM(D7:D31)</f>
        <v>#REF!</v>
      </c>
      <c r="E32" s="236">
        <f>SUM(E7:E31)</f>
        <v>0</v>
      </c>
      <c r="F32" s="236">
        <f>SUM(F7:F31)</f>
        <v>0</v>
      </c>
      <c r="G32" s="236" t="e">
        <f>SUM(G7:G31)</f>
        <v>#REF!</v>
      </c>
      <c r="H32" s="237"/>
      <c r="I32" s="237"/>
      <c r="J32" s="229"/>
    </row>
    <row r="33" spans="1:11" x14ac:dyDescent="0.3">
      <c r="A33" s="228"/>
      <c r="B33" s="238" t="s">
        <v>487</v>
      </c>
      <c r="C33" s="228" t="e">
        <f>-(C8+C10)</f>
        <v>#REF!</v>
      </c>
      <c r="D33" s="228" t="s">
        <v>160</v>
      </c>
      <c r="E33" s="228"/>
      <c r="F33" s="228"/>
      <c r="G33" s="228"/>
      <c r="H33" s="226"/>
      <c r="I33" s="226"/>
      <c r="J33" s="229"/>
    </row>
    <row r="34" spans="1:11" x14ac:dyDescent="0.3">
      <c r="A34" s="228"/>
      <c r="B34" s="239" t="s">
        <v>488</v>
      </c>
      <c r="C34" s="231" t="e">
        <f>SUM(C32:C33)</f>
        <v>#REF!</v>
      </c>
      <c r="D34" s="228" t="s">
        <v>160</v>
      </c>
      <c r="E34" s="228"/>
      <c r="F34" s="228"/>
      <c r="G34" s="228"/>
      <c r="H34" s="240"/>
      <c r="I34" s="240"/>
      <c r="J34" s="241" t="s">
        <v>789</v>
      </c>
    </row>
    <row r="35" spans="1:11" x14ac:dyDescent="0.3">
      <c r="A35" s="228"/>
      <c r="B35" s="238" t="s">
        <v>790</v>
      </c>
      <c r="C35" s="228"/>
      <c r="D35" s="228"/>
      <c r="E35" s="228"/>
      <c r="F35" s="228"/>
      <c r="G35" s="228"/>
      <c r="H35" s="228"/>
      <c r="I35" s="228"/>
      <c r="J35" s="241"/>
    </row>
    <row r="36" spans="1:11" x14ac:dyDescent="0.3">
      <c r="A36" s="242">
        <v>2</v>
      </c>
      <c r="B36" s="230" t="s">
        <v>474</v>
      </c>
      <c r="C36" s="242">
        <f t="shared" ref="C36:C41" si="1">SUM(D36:G36)</f>
        <v>0</v>
      </c>
      <c r="D36" s="228"/>
      <c r="E36" s="228"/>
      <c r="F36" s="228"/>
      <c r="G36" s="228"/>
      <c r="H36" s="228"/>
      <c r="I36" s="228"/>
      <c r="J36" s="229"/>
    </row>
    <row r="37" spans="1:11" x14ac:dyDescent="0.3">
      <c r="A37" s="228">
        <v>3</v>
      </c>
      <c r="B37" s="230" t="s">
        <v>475</v>
      </c>
      <c r="C37" s="242">
        <f t="shared" si="1"/>
        <v>0</v>
      </c>
      <c r="D37" s="228"/>
      <c r="E37" s="228"/>
      <c r="F37" s="228"/>
      <c r="G37" s="228"/>
      <c r="H37" s="228"/>
      <c r="I37" s="228"/>
      <c r="J37" s="229"/>
    </row>
    <row r="38" spans="1:11" x14ac:dyDescent="0.3">
      <c r="A38" s="228"/>
      <c r="B38" s="230"/>
      <c r="C38" s="228">
        <f t="shared" si="1"/>
        <v>0</v>
      </c>
      <c r="D38" s="228"/>
      <c r="E38" s="228"/>
      <c r="F38" s="228"/>
      <c r="G38" s="228"/>
      <c r="H38" s="228"/>
      <c r="I38" s="228"/>
      <c r="J38" s="229" t="s">
        <v>476</v>
      </c>
    </row>
    <row r="39" spans="1:11" x14ac:dyDescent="0.3">
      <c r="A39" s="228"/>
      <c r="B39" s="230"/>
      <c r="C39" s="236">
        <f t="shared" si="1"/>
        <v>0</v>
      </c>
      <c r="D39" s="228"/>
      <c r="E39" s="228"/>
      <c r="F39" s="228"/>
      <c r="G39" s="228"/>
      <c r="H39" s="228"/>
      <c r="I39" s="228"/>
      <c r="J39" s="229" t="s">
        <v>476</v>
      </c>
    </row>
    <row r="40" spans="1:11" ht="10.5" thickBot="1" x14ac:dyDescent="0.35">
      <c r="A40" s="228"/>
      <c r="B40" s="243" t="s">
        <v>477</v>
      </c>
      <c r="C40" s="231">
        <f t="shared" si="1"/>
        <v>0</v>
      </c>
      <c r="D40" s="244">
        <f>SUM(D36:D37)</f>
        <v>0</v>
      </c>
      <c r="E40" s="244">
        <f>SUM(E36:E39)</f>
        <v>0</v>
      </c>
      <c r="F40" s="244">
        <f>SUM(F36:F39)</f>
        <v>0</v>
      </c>
      <c r="G40" s="244">
        <f>SUM(G36:G39)</f>
        <v>0</v>
      </c>
      <c r="H40" s="237"/>
      <c r="I40" s="237"/>
      <c r="J40" s="229"/>
    </row>
    <row r="41" spans="1:11" ht="10.5" thickBot="1" x14ac:dyDescent="0.35">
      <c r="A41" s="245"/>
      <c r="B41" s="246" t="s">
        <v>473</v>
      </c>
      <c r="C41" s="247" t="e">
        <f t="shared" si="1"/>
        <v>#REF!</v>
      </c>
      <c r="D41" s="247" t="e">
        <f>SUM(D32+D40)</f>
        <v>#REF!</v>
      </c>
      <c r="E41" s="247">
        <f>SUM(E32+E40)</f>
        <v>0</v>
      </c>
      <c r="F41" s="247">
        <f>SUM(F32+F40)</f>
        <v>0</v>
      </c>
      <c r="G41" s="247" t="e">
        <f>SUM(G32+G40)</f>
        <v>#REF!</v>
      </c>
      <c r="H41" s="248"/>
      <c r="I41" s="248"/>
      <c r="J41" s="249" t="s">
        <v>467</v>
      </c>
    </row>
    <row r="42" spans="1:11" x14ac:dyDescent="0.3">
      <c r="A42" s="14"/>
      <c r="B42" s="1"/>
      <c r="D42" s="14"/>
      <c r="E42" s="7"/>
      <c r="F42" s="7"/>
      <c r="G42" s="7"/>
      <c r="H42" s="7"/>
      <c r="I42" s="7"/>
      <c r="J42" s="250"/>
    </row>
    <row r="43" spans="1:11" x14ac:dyDescent="0.3">
      <c r="B43" s="251" t="s">
        <v>468</v>
      </c>
      <c r="C43" s="252" t="e">
        <f>SUM(C7:C31)</f>
        <v>#REF!</v>
      </c>
      <c r="D43" s="7"/>
      <c r="E43" s="7"/>
      <c r="F43" s="7"/>
      <c r="G43" s="14" t="e">
        <f>SUM(G9,G28:G30)</f>
        <v>#REF!</v>
      </c>
      <c r="H43" s="253" t="s">
        <v>469</v>
      </c>
      <c r="I43" s="7"/>
    </row>
    <row r="44" spans="1:11" x14ac:dyDescent="0.3">
      <c r="B44" s="251" t="s">
        <v>465</v>
      </c>
      <c r="C44" s="254">
        <f>SUM(C40)</f>
        <v>0</v>
      </c>
      <c r="D44" s="7"/>
      <c r="E44" s="7"/>
      <c r="F44" s="7"/>
      <c r="G44" s="255">
        <f>SUM(G17)</f>
        <v>0</v>
      </c>
      <c r="H44" s="253" t="s">
        <v>466</v>
      </c>
      <c r="I44" s="253"/>
    </row>
    <row r="45" spans="1:11" x14ac:dyDescent="0.3">
      <c r="B45" s="251" t="s">
        <v>344</v>
      </c>
      <c r="C45" s="14" t="e">
        <f>SUM(C43:C44)</f>
        <v>#REF!</v>
      </c>
      <c r="D45" s="7"/>
      <c r="E45" s="7"/>
      <c r="F45" s="7"/>
      <c r="G45" s="14" t="e">
        <f>SUM(G43:G44)</f>
        <v>#REF!</v>
      </c>
      <c r="H45" s="7"/>
      <c r="I45" s="253"/>
      <c r="J45" s="253"/>
    </row>
    <row r="46" spans="1:11" ht="12.75" x14ac:dyDescent="0.35">
      <c r="A46" s="256"/>
      <c r="B46" s="256"/>
      <c r="C46" s="256"/>
      <c r="D46" s="256"/>
      <c r="E46" s="256"/>
      <c r="F46" s="256"/>
      <c r="G46" s="256"/>
      <c r="H46" s="256"/>
      <c r="I46" s="7"/>
      <c r="J46" s="253"/>
    </row>
    <row r="47" spans="1:11" ht="12.75" x14ac:dyDescent="0.35">
      <c r="A47" s="256"/>
      <c r="B47" s="256"/>
      <c r="C47" s="256"/>
      <c r="D47" s="256"/>
      <c r="E47" s="256"/>
      <c r="F47" s="256"/>
      <c r="G47" s="256"/>
      <c r="H47" s="256"/>
      <c r="I47" s="256"/>
      <c r="J47" s="256"/>
      <c r="K47" s="256"/>
    </row>
    <row r="48" spans="1:11" ht="12.75" x14ac:dyDescent="0.35">
      <c r="A48" s="256"/>
      <c r="B48" s="256"/>
      <c r="C48" s="256"/>
      <c r="D48" s="256"/>
      <c r="E48" s="256"/>
      <c r="F48" s="256"/>
      <c r="G48" s="256"/>
      <c r="H48" s="256"/>
      <c r="I48" s="256"/>
      <c r="J48" s="256"/>
      <c r="K48" s="256"/>
    </row>
    <row r="49" spans="1:11" ht="12.75" x14ac:dyDescent="0.35">
      <c r="A49" s="256"/>
      <c r="B49" s="256"/>
      <c r="C49" s="256"/>
      <c r="D49" s="256"/>
      <c r="E49" s="256"/>
      <c r="F49" s="256"/>
      <c r="G49" s="256"/>
      <c r="H49" s="256"/>
      <c r="I49" s="256"/>
      <c r="J49" s="256"/>
      <c r="K49" s="256"/>
    </row>
    <row r="50" spans="1:11" ht="12.75" x14ac:dyDescent="0.35">
      <c r="A50" s="256"/>
      <c r="B50" s="256"/>
      <c r="C50" s="256"/>
      <c r="D50" s="256"/>
      <c r="E50" s="256"/>
      <c r="F50" s="256"/>
      <c r="G50" s="256"/>
      <c r="H50" s="256"/>
      <c r="I50" s="256"/>
      <c r="J50" s="256"/>
      <c r="K50" s="256"/>
    </row>
    <row r="51" spans="1:11" ht="12.75" x14ac:dyDescent="0.35">
      <c r="A51" s="256"/>
      <c r="B51" s="256"/>
      <c r="C51" s="256"/>
      <c r="D51" s="256"/>
      <c r="E51" s="256"/>
      <c r="F51" s="256"/>
      <c r="G51" s="256"/>
      <c r="H51" s="256"/>
      <c r="I51" s="256"/>
      <c r="J51" s="256"/>
      <c r="K51" s="256"/>
    </row>
    <row r="52" spans="1:11" ht="12.75" x14ac:dyDescent="0.35">
      <c r="A52" s="256"/>
      <c r="B52" s="256"/>
      <c r="C52" s="256"/>
      <c r="D52" s="256"/>
      <c r="E52" s="256"/>
      <c r="F52" s="256"/>
      <c r="G52" s="256"/>
      <c r="H52" s="256"/>
      <c r="I52" s="256"/>
      <c r="J52" s="256"/>
      <c r="K52" s="256"/>
    </row>
    <row r="53" spans="1:11" ht="12.75" x14ac:dyDescent="0.35">
      <c r="A53" s="256"/>
      <c r="B53" s="256"/>
      <c r="C53" s="256"/>
      <c r="D53" s="256"/>
      <c r="E53" s="256"/>
      <c r="F53" s="256"/>
      <c r="G53" s="256"/>
      <c r="H53" s="256"/>
      <c r="I53" s="256"/>
      <c r="J53" s="256"/>
      <c r="K53" s="256"/>
    </row>
    <row r="54" spans="1:11" ht="12.75" x14ac:dyDescent="0.35">
      <c r="A54" s="256"/>
      <c r="B54" s="256"/>
      <c r="C54" s="256"/>
      <c r="D54" s="256"/>
      <c r="E54" s="256"/>
      <c r="F54" s="256"/>
      <c r="G54" s="256"/>
      <c r="H54" s="256"/>
      <c r="I54" s="256"/>
      <c r="J54" s="256"/>
      <c r="K54" s="256"/>
    </row>
    <row r="55" spans="1:11" ht="12.75" x14ac:dyDescent="0.35">
      <c r="A55" s="256"/>
      <c r="B55" s="256"/>
      <c r="C55" s="256"/>
      <c r="D55" s="256"/>
      <c r="E55" s="256"/>
      <c r="F55" s="256"/>
      <c r="G55" s="256"/>
      <c r="H55" s="256"/>
      <c r="I55" s="256"/>
      <c r="J55" s="256"/>
      <c r="K55" s="256"/>
    </row>
    <row r="56" spans="1:11" ht="12.75" x14ac:dyDescent="0.35">
      <c r="A56" s="256"/>
      <c r="B56" s="256"/>
      <c r="C56" s="256"/>
      <c r="D56" s="256"/>
      <c r="E56" s="256"/>
      <c r="F56" s="256"/>
      <c r="G56" s="256"/>
      <c r="H56" s="256"/>
      <c r="I56" s="256"/>
      <c r="J56" s="256"/>
      <c r="K56" s="256"/>
    </row>
    <row r="57" spans="1:11" ht="12.75" x14ac:dyDescent="0.35">
      <c r="A57" s="256"/>
      <c r="B57" s="256"/>
      <c r="C57" s="256"/>
      <c r="D57" s="256"/>
      <c r="E57" s="256"/>
      <c r="F57" s="256"/>
      <c r="G57" s="256"/>
      <c r="H57" s="256"/>
      <c r="I57" s="256"/>
      <c r="J57" s="256"/>
      <c r="K57" s="256"/>
    </row>
    <row r="58" spans="1:11" ht="12.75" x14ac:dyDescent="0.35">
      <c r="A58" s="256"/>
      <c r="B58" s="256"/>
      <c r="C58" s="256"/>
      <c r="D58" s="256"/>
      <c r="E58" s="256"/>
      <c r="F58" s="256"/>
      <c r="G58" s="256"/>
      <c r="H58" s="256"/>
      <c r="I58" s="256"/>
      <c r="J58" s="256"/>
      <c r="K58" s="256"/>
    </row>
    <row r="59" spans="1:11" ht="12.75" x14ac:dyDescent="0.35">
      <c r="A59" s="256"/>
      <c r="B59" s="256"/>
      <c r="C59" s="256"/>
      <c r="D59" s="256"/>
      <c r="E59" s="256"/>
      <c r="F59" s="256"/>
      <c r="G59" s="256"/>
      <c r="H59" s="256"/>
      <c r="I59" s="256"/>
      <c r="J59" s="256"/>
      <c r="K59" s="256"/>
    </row>
    <row r="60" spans="1:11" ht="12.75" x14ac:dyDescent="0.35">
      <c r="A60" s="256"/>
      <c r="B60" s="256"/>
      <c r="C60" s="256"/>
      <c r="D60" s="256"/>
      <c r="E60" s="256"/>
      <c r="F60" s="256"/>
      <c r="G60" s="256"/>
      <c r="H60" s="256"/>
      <c r="I60" s="256"/>
      <c r="J60" s="256"/>
      <c r="K60" s="256"/>
    </row>
    <row r="61" spans="1:11" ht="12.75" x14ac:dyDescent="0.35">
      <c r="A61" s="256"/>
      <c r="B61" s="256"/>
      <c r="C61" s="256"/>
      <c r="D61" s="256"/>
      <c r="E61" s="256"/>
      <c r="F61" s="256"/>
      <c r="G61" s="256"/>
      <c r="H61" s="256"/>
      <c r="I61" s="256"/>
      <c r="J61" s="256"/>
      <c r="K61" s="256"/>
    </row>
    <row r="62" spans="1:11" ht="12.75" x14ac:dyDescent="0.35">
      <c r="A62" s="256"/>
      <c r="B62" s="256"/>
      <c r="C62" s="256"/>
      <c r="D62" s="256"/>
      <c r="E62" s="256"/>
      <c r="F62" s="256"/>
      <c r="G62" s="256"/>
      <c r="H62" s="256"/>
      <c r="I62" s="256"/>
      <c r="J62" s="256"/>
      <c r="K62" s="256"/>
    </row>
    <row r="63" spans="1:11" ht="12.75" x14ac:dyDescent="0.35">
      <c r="A63" s="256"/>
      <c r="B63" s="256"/>
      <c r="C63" s="256"/>
      <c r="D63" s="256"/>
      <c r="E63" s="256"/>
      <c r="F63" s="256"/>
      <c r="G63" s="256"/>
      <c r="H63" s="256"/>
      <c r="I63" s="256"/>
      <c r="J63" s="256"/>
      <c r="K63" s="256"/>
    </row>
    <row r="64" spans="1:11" ht="12.75" x14ac:dyDescent="0.35">
      <c r="A64" s="256"/>
      <c r="B64" s="256"/>
      <c r="C64" s="256"/>
      <c r="D64" s="256"/>
      <c r="E64" s="256"/>
      <c r="F64" s="256"/>
      <c r="G64" s="256"/>
      <c r="H64" s="256"/>
      <c r="I64" s="256"/>
      <c r="J64" s="256"/>
      <c r="K64" s="256"/>
    </row>
    <row r="65" spans="1:11" ht="12.75" x14ac:dyDescent="0.35">
      <c r="A65" s="256"/>
      <c r="B65" s="256"/>
      <c r="C65" s="256"/>
      <c r="D65" s="256"/>
      <c r="E65" s="256"/>
      <c r="F65" s="256"/>
      <c r="G65" s="256"/>
      <c r="H65" s="256"/>
      <c r="I65" s="256"/>
      <c r="J65" s="256"/>
      <c r="K65" s="256"/>
    </row>
    <row r="66" spans="1:11" ht="12.75" x14ac:dyDescent="0.35">
      <c r="A66" s="256"/>
      <c r="B66" s="256"/>
      <c r="C66" s="256"/>
      <c r="D66" s="256"/>
      <c r="E66" s="256"/>
      <c r="F66" s="256"/>
      <c r="G66" s="256"/>
      <c r="H66" s="256"/>
      <c r="I66" s="256"/>
      <c r="J66" s="256"/>
      <c r="K66" s="256"/>
    </row>
    <row r="67" spans="1:11" ht="12.75" x14ac:dyDescent="0.35">
      <c r="A67" s="256"/>
      <c r="B67" s="256"/>
      <c r="C67" s="256"/>
      <c r="D67" s="256"/>
      <c r="E67" s="256"/>
      <c r="F67" s="256"/>
      <c r="G67" s="256"/>
      <c r="H67" s="256"/>
      <c r="I67" s="256"/>
      <c r="J67" s="256"/>
      <c r="K67" s="256"/>
    </row>
    <row r="68" spans="1:11" ht="12.75" x14ac:dyDescent="0.35">
      <c r="A68" s="256"/>
      <c r="B68" s="256"/>
      <c r="C68" s="256"/>
      <c r="D68" s="256"/>
      <c r="E68" s="256"/>
      <c r="F68" s="256"/>
      <c r="G68" s="256"/>
      <c r="H68" s="256"/>
      <c r="I68" s="256"/>
      <c r="J68" s="256"/>
      <c r="K68" s="256"/>
    </row>
    <row r="69" spans="1:11" ht="12.75" x14ac:dyDescent="0.35">
      <c r="A69" s="256"/>
      <c r="B69" s="256"/>
      <c r="C69" s="256"/>
      <c r="D69" s="256"/>
      <c r="E69" s="256"/>
      <c r="F69" s="256"/>
      <c r="G69" s="256"/>
      <c r="H69" s="256"/>
      <c r="I69" s="256"/>
      <c r="J69" s="256"/>
      <c r="K69" s="256"/>
    </row>
    <row r="70" spans="1:11" ht="12.75" x14ac:dyDescent="0.35">
      <c r="A70" s="256"/>
      <c r="B70" s="256"/>
      <c r="C70" s="256"/>
      <c r="D70" s="256"/>
      <c r="E70" s="256"/>
      <c r="F70" s="256"/>
      <c r="G70" s="256"/>
      <c r="H70" s="256"/>
      <c r="I70" s="256"/>
      <c r="J70" s="256"/>
      <c r="K70" s="256"/>
    </row>
    <row r="71" spans="1:11" ht="12.75" x14ac:dyDescent="0.35">
      <c r="A71" s="256"/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  <row r="72" spans="1:11" ht="12.75" x14ac:dyDescent="0.35">
      <c r="A72" s="256"/>
      <c r="B72" s="256"/>
      <c r="C72" s="256"/>
      <c r="D72" s="256"/>
      <c r="E72" s="256"/>
      <c r="F72" s="256"/>
      <c r="G72" s="256"/>
      <c r="H72" s="256"/>
      <c r="I72" s="256"/>
      <c r="J72" s="256"/>
      <c r="K72" s="256"/>
    </row>
    <row r="73" spans="1:11" ht="12.75" x14ac:dyDescent="0.35">
      <c r="A73" s="256"/>
      <c r="B73" s="256"/>
      <c r="C73" s="256"/>
      <c r="D73" s="256"/>
      <c r="E73" s="256"/>
      <c r="F73" s="256"/>
      <c r="G73" s="256"/>
      <c r="H73" s="256"/>
      <c r="I73" s="256"/>
      <c r="J73" s="256"/>
      <c r="K73" s="256"/>
    </row>
    <row r="74" spans="1:11" ht="12.75" x14ac:dyDescent="0.35">
      <c r="A74" s="256"/>
      <c r="B74" s="256"/>
      <c r="C74" s="256"/>
      <c r="D74" s="256"/>
      <c r="E74" s="256"/>
      <c r="F74" s="256"/>
      <c r="G74" s="256"/>
      <c r="H74" s="256"/>
      <c r="I74" s="256"/>
      <c r="J74" s="256"/>
      <c r="K74" s="256"/>
    </row>
    <row r="75" spans="1:11" ht="12.75" x14ac:dyDescent="0.35">
      <c r="A75" s="256"/>
      <c r="B75" s="256"/>
      <c r="C75" s="256"/>
      <c r="D75" s="256"/>
      <c r="E75" s="256"/>
      <c r="F75" s="256"/>
      <c r="G75" s="256"/>
      <c r="H75" s="256"/>
      <c r="I75" s="256"/>
      <c r="J75" s="256"/>
      <c r="K75" s="256"/>
    </row>
    <row r="76" spans="1:11" ht="12.75" x14ac:dyDescent="0.35">
      <c r="A76" s="256"/>
      <c r="B76" s="256"/>
      <c r="C76" s="256"/>
      <c r="D76" s="256"/>
      <c r="E76" s="256"/>
      <c r="F76" s="256"/>
      <c r="G76" s="256"/>
      <c r="H76" s="256"/>
      <c r="I76" s="256"/>
      <c r="J76" s="256"/>
      <c r="K76" s="256"/>
    </row>
    <row r="77" spans="1:11" ht="12.75" x14ac:dyDescent="0.35">
      <c r="A77" s="256"/>
      <c r="B77" s="256"/>
      <c r="C77" s="256"/>
      <c r="D77" s="256"/>
      <c r="E77" s="256"/>
      <c r="F77" s="256"/>
      <c r="G77" s="256"/>
      <c r="H77" s="256"/>
      <c r="I77" s="256"/>
      <c r="J77" s="256"/>
      <c r="K77" s="256"/>
    </row>
    <row r="78" spans="1:11" ht="12.75" x14ac:dyDescent="0.35">
      <c r="A78" s="256"/>
      <c r="B78" s="256"/>
      <c r="C78" s="256"/>
      <c r="D78" s="256"/>
      <c r="E78" s="256"/>
      <c r="F78" s="256"/>
      <c r="G78" s="256"/>
      <c r="H78" s="256"/>
      <c r="I78" s="256"/>
      <c r="J78" s="256"/>
      <c r="K78" s="256"/>
    </row>
    <row r="79" spans="1:11" ht="12.75" x14ac:dyDescent="0.35">
      <c r="A79" s="256"/>
      <c r="B79" s="256"/>
      <c r="C79" s="256"/>
      <c r="D79" s="256"/>
      <c r="E79" s="256"/>
      <c r="F79" s="256"/>
      <c r="G79" s="256"/>
      <c r="H79" s="256"/>
      <c r="I79" s="256"/>
      <c r="J79" s="256"/>
      <c r="K79" s="256"/>
    </row>
    <row r="80" spans="1:11" ht="12.75" x14ac:dyDescent="0.35">
      <c r="A80" s="256"/>
      <c r="B80" s="256"/>
      <c r="C80" s="256"/>
      <c r="D80" s="256"/>
      <c r="E80" s="256"/>
      <c r="F80" s="256"/>
      <c r="G80" s="256"/>
      <c r="H80" s="256"/>
      <c r="I80" s="256"/>
      <c r="J80" s="256"/>
      <c r="K80" s="256"/>
    </row>
    <row r="81" spans="1:11" ht="12.75" x14ac:dyDescent="0.35">
      <c r="A81" s="256"/>
      <c r="B81" s="256"/>
      <c r="C81" s="256"/>
      <c r="D81" s="256"/>
      <c r="E81" s="256"/>
      <c r="F81" s="256"/>
      <c r="G81" s="256"/>
      <c r="H81" s="256"/>
      <c r="I81" s="256"/>
      <c r="J81" s="256"/>
      <c r="K81" s="256"/>
    </row>
    <row r="82" spans="1:11" ht="12.75" x14ac:dyDescent="0.35">
      <c r="A82" s="256"/>
      <c r="B82" s="256"/>
      <c r="C82" s="256"/>
      <c r="D82" s="256"/>
      <c r="E82" s="256"/>
      <c r="F82" s="256"/>
      <c r="G82" s="256"/>
      <c r="H82" s="256"/>
      <c r="I82" s="256"/>
      <c r="J82" s="256"/>
      <c r="K82" s="256"/>
    </row>
    <row r="83" spans="1:11" ht="12.75" x14ac:dyDescent="0.35">
      <c r="A83" s="256"/>
      <c r="B83" s="256"/>
      <c r="C83" s="256"/>
      <c r="D83" s="256"/>
      <c r="E83" s="256"/>
      <c r="F83" s="256"/>
      <c r="G83" s="256"/>
      <c r="H83" s="256"/>
      <c r="I83" s="256"/>
      <c r="J83" s="256"/>
      <c r="K83" s="256"/>
    </row>
    <row r="84" spans="1:11" ht="12.75" x14ac:dyDescent="0.35">
      <c r="A84" s="256"/>
      <c r="B84" s="256"/>
      <c r="C84" s="256"/>
      <c r="D84" s="256"/>
      <c r="E84" s="256"/>
      <c r="F84" s="256"/>
      <c r="G84" s="256"/>
      <c r="H84" s="256"/>
      <c r="I84" s="256"/>
      <c r="J84" s="256"/>
      <c r="K84" s="256"/>
    </row>
    <row r="85" spans="1:11" ht="12.75" x14ac:dyDescent="0.35">
      <c r="A85" s="256"/>
      <c r="B85" s="256"/>
      <c r="C85" s="256"/>
      <c r="D85" s="256"/>
      <c r="E85" s="256"/>
      <c r="F85" s="256"/>
      <c r="G85" s="256"/>
      <c r="H85" s="256"/>
      <c r="I85" s="256"/>
      <c r="J85" s="256"/>
      <c r="K85" s="256"/>
    </row>
    <row r="86" spans="1:11" ht="12.75" x14ac:dyDescent="0.35">
      <c r="A86" s="256"/>
      <c r="B86" s="256"/>
      <c r="C86" s="256"/>
      <c r="D86" s="256"/>
      <c r="E86" s="256"/>
      <c r="F86" s="256"/>
      <c r="G86" s="256"/>
      <c r="H86" s="256"/>
      <c r="I86" s="256"/>
      <c r="J86" s="256"/>
      <c r="K86" s="256"/>
    </row>
    <row r="87" spans="1:11" ht="12.75" x14ac:dyDescent="0.35">
      <c r="A87" s="256"/>
      <c r="B87" s="256"/>
      <c r="C87" s="256"/>
      <c r="D87" s="256"/>
      <c r="E87" s="256"/>
      <c r="F87" s="256"/>
      <c r="G87" s="256"/>
      <c r="H87" s="256"/>
      <c r="I87" s="256"/>
      <c r="J87" s="256"/>
      <c r="K87" s="256"/>
    </row>
    <row r="88" spans="1:11" ht="12.75" x14ac:dyDescent="0.35">
      <c r="A88" s="256"/>
      <c r="B88" s="256"/>
      <c r="C88" s="256"/>
      <c r="D88" s="256"/>
      <c r="E88" s="256"/>
      <c r="F88" s="256"/>
      <c r="G88" s="256"/>
      <c r="H88" s="256"/>
      <c r="I88" s="256"/>
      <c r="J88" s="256"/>
      <c r="K88" s="256"/>
    </row>
    <row r="89" spans="1:11" ht="12.75" x14ac:dyDescent="0.35">
      <c r="A89" s="256"/>
      <c r="B89" s="256"/>
      <c r="C89" s="256"/>
      <c r="D89" s="256"/>
      <c r="E89" s="256"/>
      <c r="F89" s="256"/>
      <c r="G89" s="256"/>
      <c r="H89" s="256"/>
      <c r="I89" s="256"/>
      <c r="J89" s="256"/>
      <c r="K89" s="256"/>
    </row>
    <row r="90" spans="1:11" ht="12.75" x14ac:dyDescent="0.35">
      <c r="A90" s="256"/>
      <c r="B90" s="256"/>
      <c r="C90" s="256"/>
      <c r="D90" s="256"/>
      <c r="E90" s="256"/>
      <c r="F90" s="256"/>
      <c r="G90" s="256"/>
      <c r="H90" s="256"/>
      <c r="I90" s="256"/>
      <c r="J90" s="256"/>
      <c r="K90" s="256"/>
    </row>
    <row r="91" spans="1:11" ht="12.75" x14ac:dyDescent="0.35">
      <c r="A91" s="256"/>
      <c r="B91" s="256"/>
      <c r="C91" s="256"/>
      <c r="D91" s="256"/>
      <c r="E91" s="256"/>
      <c r="F91" s="256"/>
      <c r="G91" s="256"/>
      <c r="H91" s="256"/>
      <c r="I91" s="256"/>
      <c r="J91" s="256"/>
      <c r="K91" s="256"/>
    </row>
    <row r="92" spans="1:11" ht="12.75" x14ac:dyDescent="0.35">
      <c r="A92" s="256"/>
      <c r="B92" s="256"/>
      <c r="C92" s="256"/>
      <c r="D92" s="256"/>
      <c r="E92" s="256"/>
      <c r="F92" s="256"/>
      <c r="G92" s="256"/>
      <c r="H92" s="256"/>
      <c r="I92" s="256"/>
      <c r="J92" s="256"/>
      <c r="K92" s="256"/>
    </row>
    <row r="93" spans="1:11" ht="12.75" x14ac:dyDescent="0.35">
      <c r="A93" s="256"/>
      <c r="B93" s="256"/>
      <c r="C93" s="256"/>
      <c r="D93" s="256"/>
      <c r="E93" s="256"/>
      <c r="F93" s="256"/>
      <c r="G93" s="256"/>
      <c r="H93" s="256"/>
      <c r="I93" s="256"/>
      <c r="J93" s="256"/>
      <c r="K93" s="256"/>
    </row>
    <row r="94" spans="1:11" ht="12.75" x14ac:dyDescent="0.35">
      <c r="A94" s="256"/>
      <c r="B94" s="256"/>
      <c r="C94" s="256"/>
      <c r="D94" s="256"/>
      <c r="E94" s="256"/>
      <c r="F94" s="256"/>
      <c r="G94" s="256"/>
      <c r="H94" s="256"/>
      <c r="I94" s="256"/>
      <c r="J94" s="256"/>
      <c r="K94" s="256"/>
    </row>
    <row r="95" spans="1:11" ht="12.75" x14ac:dyDescent="0.35">
      <c r="A95" s="256"/>
      <c r="B95" s="256"/>
      <c r="C95" s="256"/>
      <c r="D95" s="256"/>
      <c r="E95" s="256"/>
      <c r="F95" s="256"/>
      <c r="G95" s="256"/>
      <c r="H95" s="256"/>
      <c r="I95" s="256"/>
      <c r="J95" s="256"/>
      <c r="K95" s="256"/>
    </row>
    <row r="96" spans="1:11" ht="12.75" x14ac:dyDescent="0.35">
      <c r="A96" s="256"/>
      <c r="B96" s="256"/>
      <c r="C96" s="256"/>
      <c r="D96" s="256"/>
      <c r="E96" s="256"/>
      <c r="F96" s="256"/>
      <c r="G96" s="256"/>
      <c r="H96" s="256"/>
      <c r="I96" s="256"/>
      <c r="J96" s="256"/>
      <c r="K96" s="256"/>
    </row>
    <row r="97" spans="1:11" ht="12.75" x14ac:dyDescent="0.35">
      <c r="A97" s="256"/>
      <c r="B97" s="256"/>
      <c r="C97" s="256"/>
      <c r="D97" s="256"/>
      <c r="E97" s="256"/>
      <c r="F97" s="256"/>
      <c r="G97" s="256"/>
      <c r="H97" s="256"/>
      <c r="I97" s="256"/>
      <c r="J97" s="256"/>
      <c r="K97" s="256"/>
    </row>
    <row r="98" spans="1:11" ht="12.75" x14ac:dyDescent="0.35">
      <c r="A98" s="256"/>
      <c r="B98" s="256"/>
      <c r="C98" s="256"/>
      <c r="D98" s="256"/>
      <c r="E98" s="256"/>
      <c r="F98" s="256"/>
      <c r="G98" s="256"/>
      <c r="H98" s="256"/>
      <c r="I98" s="256"/>
      <c r="J98" s="256"/>
      <c r="K98" s="256"/>
    </row>
    <row r="99" spans="1:11" ht="12.75" x14ac:dyDescent="0.35">
      <c r="A99" s="256"/>
      <c r="B99" s="256"/>
      <c r="C99" s="256"/>
      <c r="D99" s="256"/>
      <c r="E99" s="256"/>
      <c r="F99" s="256"/>
      <c r="G99" s="256"/>
      <c r="H99" s="256"/>
      <c r="I99" s="256"/>
      <c r="J99" s="256"/>
      <c r="K99" s="256"/>
    </row>
    <row r="100" spans="1:11" ht="12.75" x14ac:dyDescent="0.35">
      <c r="A100" s="256"/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</row>
    <row r="101" spans="1:11" ht="12.75" x14ac:dyDescent="0.35">
      <c r="A101" s="256"/>
      <c r="B101" s="256"/>
      <c r="C101" s="256"/>
      <c r="D101" s="256"/>
      <c r="E101" s="256"/>
      <c r="F101" s="256"/>
      <c r="G101" s="256"/>
      <c r="H101" s="256"/>
      <c r="I101" s="256"/>
      <c r="J101" s="256"/>
      <c r="K101" s="256"/>
    </row>
    <row r="102" spans="1:11" ht="12.75" x14ac:dyDescent="0.35">
      <c r="A102" s="256"/>
      <c r="B102" s="256"/>
      <c r="C102" s="256"/>
      <c r="D102" s="256"/>
      <c r="E102" s="256"/>
      <c r="F102" s="256"/>
      <c r="G102" s="256"/>
      <c r="H102" s="256"/>
      <c r="I102" s="256"/>
      <c r="J102" s="256"/>
      <c r="K102" s="256"/>
    </row>
    <row r="103" spans="1:11" ht="12.75" x14ac:dyDescent="0.35">
      <c r="A103" s="256"/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</row>
    <row r="104" spans="1:11" ht="12.75" x14ac:dyDescent="0.35">
      <c r="A104" s="256"/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</row>
    <row r="105" spans="1:11" ht="12.75" x14ac:dyDescent="0.35">
      <c r="A105" s="256"/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</row>
    <row r="106" spans="1:11" ht="12.75" x14ac:dyDescent="0.35">
      <c r="A106" s="256"/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</row>
    <row r="107" spans="1:11" ht="12.75" x14ac:dyDescent="0.35">
      <c r="A107" s="256"/>
      <c r="B107" s="256"/>
      <c r="C107" s="256"/>
      <c r="D107" s="256"/>
      <c r="E107" s="256"/>
      <c r="F107" s="256"/>
      <c r="G107" s="256"/>
      <c r="H107" s="256"/>
      <c r="I107" s="256"/>
      <c r="J107" s="256"/>
      <c r="K107" s="256"/>
    </row>
    <row r="108" spans="1:11" ht="12.75" x14ac:dyDescent="0.35">
      <c r="A108" s="256"/>
      <c r="B108" s="256"/>
      <c r="C108" s="256"/>
      <c r="D108" s="256"/>
      <c r="E108" s="256"/>
      <c r="F108" s="256"/>
      <c r="G108" s="256"/>
      <c r="H108" s="256"/>
      <c r="I108" s="256"/>
      <c r="J108" s="256"/>
      <c r="K108" s="256"/>
    </row>
    <row r="109" spans="1:11" ht="12.75" x14ac:dyDescent="0.35">
      <c r="A109" s="256"/>
      <c r="B109" s="256"/>
      <c r="C109" s="256"/>
      <c r="D109" s="256"/>
      <c r="E109" s="256"/>
      <c r="F109" s="256"/>
      <c r="G109" s="256"/>
      <c r="H109" s="256"/>
      <c r="I109" s="256"/>
      <c r="J109" s="256"/>
      <c r="K109" s="256"/>
    </row>
    <row r="110" spans="1:11" ht="12.75" x14ac:dyDescent="0.35">
      <c r="A110" s="256"/>
      <c r="B110" s="256"/>
      <c r="C110" s="256"/>
      <c r="D110" s="256"/>
      <c r="E110" s="256"/>
      <c r="F110" s="256"/>
      <c r="G110" s="256"/>
      <c r="H110" s="256"/>
      <c r="I110" s="256"/>
      <c r="J110" s="256"/>
      <c r="K110" s="256"/>
    </row>
    <row r="111" spans="1:11" ht="12.75" x14ac:dyDescent="0.35">
      <c r="A111" s="256"/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</row>
    <row r="112" spans="1:11" ht="12.75" x14ac:dyDescent="0.35">
      <c r="A112" s="256"/>
      <c r="B112" s="256"/>
      <c r="C112" s="256"/>
      <c r="D112" s="256"/>
      <c r="E112" s="256"/>
      <c r="F112" s="256"/>
      <c r="G112" s="256"/>
      <c r="H112" s="256"/>
      <c r="I112" s="256"/>
      <c r="J112" s="256"/>
      <c r="K112" s="256"/>
    </row>
    <row r="113" spans="1:11" ht="12.75" x14ac:dyDescent="0.35">
      <c r="A113" s="256"/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</row>
    <row r="114" spans="1:11" ht="12.75" x14ac:dyDescent="0.35">
      <c r="A114" s="256"/>
      <c r="B114" s="256"/>
      <c r="C114" s="256"/>
      <c r="D114" s="256"/>
      <c r="E114" s="256"/>
      <c r="F114" s="256"/>
      <c r="G114" s="256"/>
      <c r="H114" s="256"/>
      <c r="I114" s="256"/>
      <c r="J114" s="256"/>
      <c r="K114" s="256"/>
    </row>
    <row r="115" spans="1:11" ht="12.75" x14ac:dyDescent="0.35">
      <c r="A115" s="256"/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</row>
    <row r="116" spans="1:11" ht="12.75" x14ac:dyDescent="0.35">
      <c r="A116" s="256"/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</row>
    <row r="117" spans="1:11" ht="12.75" x14ac:dyDescent="0.35">
      <c r="A117" s="256"/>
      <c r="B117" s="256"/>
      <c r="C117" s="256"/>
      <c r="D117" s="256"/>
      <c r="E117" s="256"/>
      <c r="F117" s="256"/>
      <c r="G117" s="256"/>
      <c r="H117" s="256"/>
      <c r="I117" s="256"/>
      <c r="J117" s="256"/>
      <c r="K117" s="256"/>
    </row>
    <row r="118" spans="1:11" ht="12.75" x14ac:dyDescent="0.35">
      <c r="A118" s="256"/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</row>
    <row r="119" spans="1:11" ht="12.75" x14ac:dyDescent="0.35">
      <c r="A119" s="256"/>
      <c r="B119" s="256"/>
      <c r="C119" s="256"/>
      <c r="D119" s="256"/>
      <c r="E119" s="256"/>
      <c r="F119" s="256"/>
      <c r="G119" s="256"/>
      <c r="H119" s="256"/>
      <c r="I119" s="256"/>
      <c r="J119" s="256"/>
      <c r="K119" s="256"/>
    </row>
    <row r="120" spans="1:11" ht="12.75" x14ac:dyDescent="0.35">
      <c r="A120" s="256"/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</row>
    <row r="121" spans="1:11" ht="12.75" x14ac:dyDescent="0.35">
      <c r="A121" s="256"/>
      <c r="B121" s="256"/>
      <c r="C121" s="256"/>
      <c r="D121" s="256"/>
      <c r="E121" s="256"/>
      <c r="F121" s="256"/>
      <c r="G121" s="256"/>
      <c r="H121" s="256"/>
      <c r="I121" s="256"/>
      <c r="J121" s="256"/>
      <c r="K121" s="256"/>
    </row>
    <row r="122" spans="1:11" ht="12.75" x14ac:dyDescent="0.35">
      <c r="A122" s="256"/>
      <c r="B122" s="256"/>
      <c r="C122" s="256"/>
      <c r="D122" s="256"/>
      <c r="E122" s="256"/>
      <c r="F122" s="256"/>
      <c r="G122" s="256"/>
      <c r="H122" s="256"/>
      <c r="I122" s="256"/>
      <c r="J122" s="256"/>
      <c r="K122" s="256"/>
    </row>
    <row r="123" spans="1:11" ht="12.75" x14ac:dyDescent="0.35">
      <c r="A123" s="256"/>
      <c r="B123" s="256"/>
      <c r="C123" s="256"/>
      <c r="D123" s="256"/>
      <c r="E123" s="256"/>
      <c r="F123" s="256"/>
      <c r="G123" s="256"/>
      <c r="H123" s="256"/>
      <c r="I123" s="256"/>
      <c r="J123" s="256"/>
      <c r="K123" s="256"/>
    </row>
    <row r="124" spans="1:11" ht="12.75" x14ac:dyDescent="0.35">
      <c r="A124" s="256"/>
      <c r="B124" s="256"/>
      <c r="C124" s="256"/>
      <c r="D124" s="256"/>
      <c r="E124" s="256"/>
      <c r="F124" s="256"/>
      <c r="G124" s="256"/>
      <c r="H124" s="256"/>
      <c r="I124" s="256"/>
      <c r="J124" s="256"/>
      <c r="K124" s="256"/>
    </row>
    <row r="125" spans="1:11" ht="12.75" x14ac:dyDescent="0.35">
      <c r="A125" s="256"/>
      <c r="B125" s="256"/>
      <c r="C125" s="256"/>
      <c r="D125" s="256"/>
      <c r="E125" s="256"/>
      <c r="F125" s="256"/>
      <c r="G125" s="256"/>
      <c r="H125" s="256"/>
      <c r="I125" s="256"/>
      <c r="J125" s="256"/>
      <c r="K125" s="256"/>
    </row>
    <row r="126" spans="1:11" ht="12.75" x14ac:dyDescent="0.35">
      <c r="A126" s="256"/>
      <c r="B126" s="256"/>
      <c r="C126" s="256"/>
      <c r="D126" s="256"/>
      <c r="E126" s="256"/>
      <c r="F126" s="256"/>
      <c r="G126" s="256"/>
      <c r="H126" s="256"/>
      <c r="I126" s="256"/>
      <c r="J126" s="256"/>
      <c r="K126" s="256"/>
    </row>
    <row r="127" spans="1:11" ht="12.75" x14ac:dyDescent="0.35">
      <c r="A127" s="256"/>
      <c r="B127" s="256"/>
      <c r="C127" s="256"/>
      <c r="D127" s="256"/>
      <c r="E127" s="256"/>
      <c r="F127" s="256"/>
      <c r="G127" s="256"/>
      <c r="H127" s="256"/>
      <c r="I127" s="256"/>
      <c r="J127" s="256"/>
      <c r="K127" s="256"/>
    </row>
    <row r="128" spans="1:11" ht="12.75" x14ac:dyDescent="0.35">
      <c r="A128" s="256"/>
      <c r="B128" s="256"/>
      <c r="C128" s="256"/>
      <c r="D128" s="256"/>
      <c r="E128" s="256"/>
      <c r="F128" s="256"/>
      <c r="G128" s="256"/>
      <c r="H128" s="256"/>
      <c r="I128" s="256"/>
      <c r="J128" s="256"/>
      <c r="K128" s="256"/>
    </row>
    <row r="129" spans="1:11" ht="12.75" x14ac:dyDescent="0.35">
      <c r="A129" s="256"/>
      <c r="B129" s="256"/>
      <c r="C129" s="256"/>
      <c r="D129" s="256"/>
      <c r="E129" s="256"/>
      <c r="F129" s="256"/>
      <c r="G129" s="256"/>
      <c r="H129" s="256"/>
      <c r="I129" s="256"/>
      <c r="J129" s="256"/>
      <c r="K129" s="256"/>
    </row>
    <row r="130" spans="1:11" ht="12.75" x14ac:dyDescent="0.35">
      <c r="A130" s="256"/>
      <c r="B130" s="256"/>
      <c r="C130" s="256"/>
      <c r="D130" s="256"/>
      <c r="E130" s="256"/>
      <c r="F130" s="256"/>
      <c r="G130" s="256"/>
      <c r="H130" s="256"/>
      <c r="I130" s="256"/>
      <c r="J130" s="256"/>
      <c r="K130" s="256"/>
    </row>
    <row r="131" spans="1:11" ht="12.75" x14ac:dyDescent="0.35">
      <c r="A131" s="256"/>
      <c r="B131" s="256"/>
      <c r="C131" s="256"/>
      <c r="D131" s="256"/>
      <c r="E131" s="256"/>
      <c r="F131" s="256"/>
      <c r="G131" s="256"/>
      <c r="H131" s="256"/>
      <c r="I131" s="256"/>
      <c r="J131" s="256"/>
      <c r="K131" s="256"/>
    </row>
    <row r="132" spans="1:11" ht="12.75" x14ac:dyDescent="0.35">
      <c r="A132" s="256"/>
      <c r="B132" s="256"/>
      <c r="C132" s="256"/>
      <c r="D132" s="256"/>
      <c r="E132" s="256"/>
      <c r="F132" s="256"/>
      <c r="G132" s="256"/>
      <c r="H132" s="256"/>
      <c r="I132" s="256"/>
      <c r="J132" s="256"/>
      <c r="K132" s="256"/>
    </row>
    <row r="133" spans="1:11" ht="12.75" x14ac:dyDescent="0.35">
      <c r="A133" s="256"/>
      <c r="B133" s="256"/>
      <c r="C133" s="256"/>
      <c r="D133" s="256"/>
      <c r="E133" s="256"/>
      <c r="F133" s="256"/>
      <c r="G133" s="256"/>
      <c r="H133" s="256"/>
      <c r="I133" s="256"/>
      <c r="J133" s="256"/>
      <c r="K133" s="256"/>
    </row>
    <row r="134" spans="1:11" ht="12.75" x14ac:dyDescent="0.35">
      <c r="A134" s="256"/>
      <c r="B134" s="256"/>
      <c r="C134" s="256"/>
      <c r="D134" s="256"/>
      <c r="E134" s="256"/>
      <c r="F134" s="256"/>
      <c r="G134" s="256"/>
      <c r="H134" s="256"/>
      <c r="I134" s="256"/>
      <c r="J134" s="256"/>
      <c r="K134" s="256"/>
    </row>
    <row r="135" spans="1:11" ht="12.75" x14ac:dyDescent="0.35">
      <c r="A135" s="256"/>
      <c r="B135" s="256"/>
      <c r="C135" s="256"/>
      <c r="D135" s="256"/>
      <c r="E135" s="256"/>
      <c r="F135" s="256"/>
      <c r="G135" s="256"/>
      <c r="H135" s="256"/>
      <c r="I135" s="256"/>
      <c r="J135" s="256"/>
      <c r="K135" s="256"/>
    </row>
    <row r="136" spans="1:11" ht="12.75" x14ac:dyDescent="0.35">
      <c r="A136" s="256"/>
      <c r="B136" s="256"/>
      <c r="C136" s="256"/>
      <c r="D136" s="256"/>
      <c r="E136" s="256"/>
      <c r="F136" s="256"/>
      <c r="G136" s="256"/>
      <c r="H136" s="256"/>
      <c r="I136" s="256"/>
      <c r="J136" s="256"/>
      <c r="K136" s="256"/>
    </row>
    <row r="137" spans="1:11" ht="12.75" x14ac:dyDescent="0.35">
      <c r="A137" s="256"/>
      <c r="B137" s="256"/>
      <c r="C137" s="256"/>
      <c r="D137" s="256"/>
      <c r="E137" s="256"/>
      <c r="F137" s="256"/>
      <c r="G137" s="256"/>
      <c r="H137" s="256"/>
      <c r="I137" s="256"/>
      <c r="J137" s="256"/>
      <c r="K137" s="256"/>
    </row>
    <row r="138" spans="1:11" ht="12.75" x14ac:dyDescent="0.35">
      <c r="A138" s="256"/>
      <c r="B138" s="256"/>
      <c r="C138" s="256"/>
      <c r="D138" s="256"/>
      <c r="E138" s="256"/>
      <c r="F138" s="256"/>
      <c r="G138" s="256"/>
      <c r="H138" s="256"/>
      <c r="I138" s="256"/>
      <c r="J138" s="256"/>
      <c r="K138" s="256"/>
    </row>
    <row r="139" spans="1:11" ht="12.75" x14ac:dyDescent="0.35">
      <c r="A139" s="256"/>
      <c r="B139" s="256"/>
      <c r="C139" s="256"/>
      <c r="D139" s="256"/>
      <c r="E139" s="256"/>
      <c r="F139" s="256"/>
      <c r="G139" s="256"/>
      <c r="H139" s="256"/>
      <c r="I139" s="256"/>
      <c r="J139" s="256"/>
      <c r="K139" s="256"/>
    </row>
    <row r="140" spans="1:11" ht="12.75" x14ac:dyDescent="0.35">
      <c r="A140" s="256"/>
      <c r="B140" s="256"/>
      <c r="C140" s="256"/>
      <c r="D140" s="256"/>
      <c r="E140" s="256"/>
      <c r="F140" s="256"/>
      <c r="G140" s="256"/>
      <c r="H140" s="256"/>
      <c r="I140" s="256"/>
      <c r="J140" s="256"/>
      <c r="K140" s="256"/>
    </row>
    <row r="141" spans="1:11" ht="12.75" x14ac:dyDescent="0.35">
      <c r="A141" s="256"/>
      <c r="B141" s="256"/>
      <c r="C141" s="256"/>
      <c r="D141" s="256"/>
      <c r="E141" s="256"/>
      <c r="F141" s="256"/>
      <c r="G141" s="256"/>
      <c r="H141" s="256"/>
      <c r="I141" s="256"/>
      <c r="J141" s="256"/>
      <c r="K141" s="256"/>
    </row>
    <row r="142" spans="1:11" ht="12.75" x14ac:dyDescent="0.35">
      <c r="A142" s="256"/>
      <c r="B142" s="256"/>
      <c r="C142" s="256"/>
      <c r="D142" s="256"/>
      <c r="E142" s="256"/>
      <c r="F142" s="256"/>
      <c r="G142" s="256"/>
      <c r="H142" s="256"/>
      <c r="I142" s="256"/>
      <c r="J142" s="256"/>
      <c r="K142" s="256"/>
    </row>
    <row r="143" spans="1:11" ht="12.75" x14ac:dyDescent="0.35">
      <c r="A143" s="256"/>
      <c r="B143" s="256"/>
      <c r="C143" s="256"/>
      <c r="D143" s="256"/>
      <c r="E143" s="256"/>
      <c r="F143" s="256"/>
      <c r="G143" s="256"/>
      <c r="H143" s="256"/>
      <c r="I143" s="256"/>
      <c r="J143" s="256"/>
      <c r="K143" s="256"/>
    </row>
    <row r="144" spans="1:11" ht="12.75" x14ac:dyDescent="0.35">
      <c r="A144" s="256"/>
      <c r="B144" s="256"/>
      <c r="C144" s="256"/>
      <c r="D144" s="256"/>
      <c r="E144" s="256"/>
      <c r="F144" s="256"/>
      <c r="G144" s="256"/>
      <c r="H144" s="256"/>
      <c r="I144" s="256"/>
      <c r="J144" s="256"/>
      <c r="K144" s="256"/>
    </row>
    <row r="145" spans="1:11" ht="12.75" x14ac:dyDescent="0.35">
      <c r="A145" s="256"/>
      <c r="B145" s="256"/>
      <c r="C145" s="256"/>
      <c r="D145" s="256"/>
      <c r="E145" s="256"/>
      <c r="F145" s="256"/>
      <c r="G145" s="256"/>
      <c r="H145" s="256"/>
      <c r="I145" s="256"/>
      <c r="J145" s="256"/>
      <c r="K145" s="256"/>
    </row>
    <row r="146" spans="1:11" ht="12.75" x14ac:dyDescent="0.35">
      <c r="A146" s="256"/>
      <c r="B146" s="256"/>
      <c r="C146" s="256"/>
      <c r="D146" s="256"/>
      <c r="E146" s="256"/>
      <c r="F146" s="256"/>
      <c r="G146" s="256"/>
      <c r="H146" s="256"/>
      <c r="I146" s="256"/>
      <c r="J146" s="256"/>
      <c r="K146" s="256"/>
    </row>
    <row r="147" spans="1:11" ht="12.75" x14ac:dyDescent="0.35">
      <c r="A147" s="256"/>
      <c r="B147" s="256"/>
      <c r="C147" s="256"/>
      <c r="D147" s="256"/>
      <c r="E147" s="256"/>
      <c r="F147" s="256"/>
      <c r="G147" s="256"/>
      <c r="H147" s="256"/>
      <c r="I147" s="256"/>
      <c r="J147" s="256"/>
      <c r="K147" s="256"/>
    </row>
    <row r="148" spans="1:11" ht="12.75" x14ac:dyDescent="0.35">
      <c r="A148" s="256"/>
      <c r="B148" s="256"/>
      <c r="C148" s="256"/>
      <c r="D148" s="256"/>
      <c r="E148" s="256"/>
      <c r="F148" s="256"/>
      <c r="G148" s="256"/>
      <c r="H148" s="256"/>
      <c r="I148" s="256"/>
      <c r="J148" s="256"/>
      <c r="K148" s="256"/>
    </row>
    <row r="149" spans="1:11" ht="12.75" x14ac:dyDescent="0.35">
      <c r="A149" s="256"/>
      <c r="B149" s="256"/>
      <c r="C149" s="256"/>
      <c r="D149" s="256"/>
      <c r="E149" s="256"/>
      <c r="F149" s="256"/>
      <c r="G149" s="256"/>
      <c r="H149" s="256"/>
      <c r="I149" s="256"/>
      <c r="J149" s="256"/>
      <c r="K149" s="256"/>
    </row>
    <row r="150" spans="1:11" ht="12.75" x14ac:dyDescent="0.35">
      <c r="A150" s="256"/>
      <c r="B150" s="256"/>
      <c r="C150" s="256"/>
      <c r="D150" s="256"/>
      <c r="E150" s="256"/>
      <c r="F150" s="256"/>
      <c r="G150" s="256"/>
      <c r="H150" s="256"/>
      <c r="I150" s="256"/>
      <c r="J150" s="256"/>
      <c r="K150" s="256"/>
    </row>
    <row r="151" spans="1:11" ht="12.75" x14ac:dyDescent="0.35">
      <c r="A151" s="256"/>
      <c r="B151" s="256"/>
      <c r="C151" s="256"/>
      <c r="D151" s="256"/>
      <c r="E151" s="256"/>
      <c r="F151" s="256"/>
      <c r="G151" s="256"/>
      <c r="H151" s="256"/>
      <c r="I151" s="256"/>
      <c r="J151" s="256"/>
      <c r="K151" s="256"/>
    </row>
    <row r="152" spans="1:11" ht="12.75" x14ac:dyDescent="0.35">
      <c r="A152" s="256"/>
      <c r="B152" s="256"/>
      <c r="C152" s="256"/>
      <c r="D152" s="256"/>
      <c r="E152" s="256"/>
      <c r="F152" s="256"/>
      <c r="G152" s="256"/>
      <c r="H152" s="256"/>
      <c r="I152" s="256"/>
      <c r="J152" s="256"/>
      <c r="K152" s="256"/>
    </row>
    <row r="153" spans="1:11" ht="12.75" x14ac:dyDescent="0.35">
      <c r="A153" s="256"/>
      <c r="B153" s="256"/>
      <c r="C153" s="256"/>
      <c r="D153" s="256"/>
      <c r="E153" s="256"/>
      <c r="F153" s="256"/>
      <c r="G153" s="256"/>
      <c r="H153" s="256"/>
      <c r="I153" s="256"/>
      <c r="J153" s="256"/>
      <c r="K153" s="256"/>
    </row>
    <row r="154" spans="1:11" ht="12.75" x14ac:dyDescent="0.35">
      <c r="A154" s="256"/>
      <c r="B154" s="256"/>
      <c r="C154" s="256"/>
      <c r="D154" s="256"/>
      <c r="E154" s="256"/>
      <c r="F154" s="256"/>
      <c r="G154" s="256"/>
      <c r="H154" s="256"/>
      <c r="I154" s="256"/>
      <c r="J154" s="256"/>
      <c r="K154" s="256"/>
    </row>
    <row r="155" spans="1:11" ht="12.75" x14ac:dyDescent="0.35">
      <c r="A155" s="256"/>
      <c r="B155" s="256"/>
      <c r="C155" s="256"/>
      <c r="D155" s="256"/>
      <c r="E155" s="256"/>
      <c r="F155" s="256"/>
      <c r="G155" s="256"/>
      <c r="H155" s="256"/>
      <c r="I155" s="256"/>
      <c r="J155" s="256"/>
      <c r="K155" s="256"/>
    </row>
    <row r="156" spans="1:11" ht="12.75" x14ac:dyDescent="0.35">
      <c r="A156" s="256"/>
      <c r="B156" s="256"/>
      <c r="C156" s="256"/>
      <c r="D156" s="256"/>
      <c r="E156" s="256"/>
      <c r="F156" s="256"/>
      <c r="G156" s="256"/>
      <c r="H156" s="256"/>
      <c r="I156" s="256"/>
      <c r="J156" s="256"/>
      <c r="K156" s="256"/>
    </row>
    <row r="157" spans="1:11" ht="12.75" x14ac:dyDescent="0.35">
      <c r="A157" s="256"/>
      <c r="B157" s="256"/>
      <c r="C157" s="256"/>
      <c r="D157" s="256"/>
      <c r="E157" s="256"/>
      <c r="F157" s="256"/>
      <c r="G157" s="256"/>
      <c r="H157" s="256"/>
      <c r="I157" s="256"/>
      <c r="J157" s="256"/>
      <c r="K157" s="256"/>
    </row>
    <row r="158" spans="1:11" ht="12.75" x14ac:dyDescent="0.35">
      <c r="A158" s="256"/>
      <c r="B158" s="256"/>
      <c r="C158" s="256"/>
      <c r="D158" s="256"/>
      <c r="E158" s="256"/>
      <c r="F158" s="256"/>
      <c r="G158" s="256"/>
      <c r="H158" s="256"/>
      <c r="I158" s="256"/>
      <c r="J158" s="256"/>
      <c r="K158" s="256"/>
    </row>
    <row r="159" spans="1:11" ht="12.75" x14ac:dyDescent="0.35">
      <c r="A159" s="256"/>
      <c r="B159" s="256"/>
      <c r="C159" s="256"/>
      <c r="D159" s="256"/>
      <c r="E159" s="256"/>
      <c r="F159" s="256"/>
      <c r="G159" s="256"/>
      <c r="H159" s="256"/>
      <c r="I159" s="256"/>
      <c r="J159" s="256"/>
      <c r="K159" s="256"/>
    </row>
    <row r="160" spans="1:11" ht="12.75" x14ac:dyDescent="0.35">
      <c r="A160" s="256"/>
      <c r="B160" s="256"/>
      <c r="C160" s="256"/>
      <c r="D160" s="256"/>
      <c r="E160" s="256"/>
      <c r="F160" s="256"/>
      <c r="G160" s="256"/>
      <c r="H160" s="256"/>
      <c r="I160" s="256"/>
      <c r="J160" s="256"/>
      <c r="K160" s="256"/>
    </row>
    <row r="161" spans="1:11" ht="12.75" x14ac:dyDescent="0.35">
      <c r="A161" s="256"/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</row>
    <row r="162" spans="1:11" ht="12.75" x14ac:dyDescent="0.35">
      <c r="A162" s="256"/>
      <c r="B162" s="256"/>
      <c r="C162" s="256"/>
      <c r="D162" s="256"/>
      <c r="E162" s="256"/>
      <c r="F162" s="256"/>
      <c r="G162" s="256"/>
      <c r="H162" s="256"/>
      <c r="I162" s="256"/>
      <c r="J162" s="256"/>
      <c r="K162" s="256"/>
    </row>
    <row r="163" spans="1:11" ht="12.75" x14ac:dyDescent="0.35">
      <c r="A163" s="256"/>
      <c r="B163" s="256"/>
      <c r="C163" s="256"/>
      <c r="D163" s="256"/>
      <c r="E163" s="256"/>
      <c r="F163" s="256"/>
      <c r="G163" s="256"/>
      <c r="H163" s="256"/>
      <c r="I163" s="256"/>
      <c r="J163" s="256"/>
      <c r="K163" s="256"/>
    </row>
    <row r="164" spans="1:11" ht="12.75" x14ac:dyDescent="0.35">
      <c r="A164" s="256"/>
      <c r="B164" s="256"/>
      <c r="C164" s="256"/>
      <c r="D164" s="256"/>
      <c r="E164" s="256"/>
      <c r="F164" s="256"/>
      <c r="G164" s="256"/>
      <c r="H164" s="256"/>
      <c r="I164" s="256"/>
      <c r="J164" s="256"/>
      <c r="K164" s="256"/>
    </row>
    <row r="165" spans="1:11" ht="12.75" x14ac:dyDescent="0.35">
      <c r="A165" s="256"/>
      <c r="B165" s="256"/>
      <c r="C165" s="256"/>
      <c r="D165" s="256"/>
      <c r="E165" s="256"/>
      <c r="F165" s="256"/>
      <c r="G165" s="256"/>
      <c r="H165" s="256"/>
      <c r="I165" s="256"/>
      <c r="J165" s="256"/>
      <c r="K165" s="256"/>
    </row>
    <row r="166" spans="1:11" ht="12.75" x14ac:dyDescent="0.35">
      <c r="A166" s="256"/>
      <c r="B166" s="256"/>
      <c r="C166" s="256"/>
      <c r="D166" s="256"/>
      <c r="E166" s="256"/>
      <c r="F166" s="256"/>
      <c r="G166" s="256"/>
      <c r="H166" s="256"/>
      <c r="I166" s="256"/>
      <c r="J166" s="256"/>
      <c r="K166" s="256"/>
    </row>
    <row r="167" spans="1:11" ht="12.75" x14ac:dyDescent="0.35">
      <c r="A167" s="256"/>
      <c r="B167" s="256"/>
      <c r="C167" s="256"/>
      <c r="D167" s="256"/>
      <c r="E167" s="256"/>
      <c r="F167" s="256"/>
      <c r="G167" s="256"/>
      <c r="H167" s="256"/>
      <c r="I167" s="256"/>
      <c r="J167" s="256"/>
      <c r="K167" s="256"/>
    </row>
    <row r="168" spans="1:11" ht="12.75" x14ac:dyDescent="0.35">
      <c r="A168" s="256"/>
      <c r="B168" s="256"/>
      <c r="C168" s="256"/>
      <c r="D168" s="256"/>
      <c r="E168" s="256"/>
      <c r="F168" s="256"/>
      <c r="G168" s="256"/>
      <c r="H168" s="256"/>
      <c r="I168" s="256"/>
      <c r="J168" s="256"/>
      <c r="K168" s="256"/>
    </row>
    <row r="169" spans="1:11" ht="12.75" x14ac:dyDescent="0.35">
      <c r="A169" s="256"/>
      <c r="B169" s="256"/>
      <c r="C169" s="256"/>
      <c r="D169" s="256"/>
      <c r="E169" s="256"/>
      <c r="F169" s="256"/>
      <c r="G169" s="256"/>
      <c r="H169" s="256"/>
      <c r="I169" s="256"/>
      <c r="J169" s="256"/>
      <c r="K169" s="256"/>
    </row>
    <row r="170" spans="1:11" ht="12.75" x14ac:dyDescent="0.35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</row>
    <row r="171" spans="1:11" ht="12.75" x14ac:dyDescent="0.35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</row>
    <row r="172" spans="1:11" ht="12.75" x14ac:dyDescent="0.35">
      <c r="A172" s="256"/>
      <c r="B172" s="256"/>
      <c r="C172" s="256"/>
      <c r="D172" s="256"/>
      <c r="E172" s="256"/>
      <c r="F172" s="256"/>
      <c r="G172" s="256"/>
      <c r="H172" s="256"/>
      <c r="I172" s="256"/>
      <c r="J172" s="256"/>
      <c r="K172" s="256"/>
    </row>
    <row r="173" spans="1:11" ht="12.75" x14ac:dyDescent="0.35">
      <c r="A173" s="256"/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</row>
    <row r="174" spans="1:11" ht="12.75" x14ac:dyDescent="0.35">
      <c r="A174" s="256"/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</row>
    <row r="175" spans="1:11" ht="12.75" x14ac:dyDescent="0.35">
      <c r="A175" s="256"/>
      <c r="B175" s="256"/>
      <c r="C175" s="256"/>
      <c r="D175" s="256"/>
      <c r="E175" s="256"/>
      <c r="F175" s="256"/>
      <c r="G175" s="256"/>
      <c r="H175" s="256"/>
      <c r="I175" s="256"/>
      <c r="J175" s="256"/>
      <c r="K175" s="256"/>
    </row>
    <row r="176" spans="1:11" ht="12.75" x14ac:dyDescent="0.35">
      <c r="A176" s="256"/>
      <c r="B176" s="256"/>
      <c r="C176" s="256"/>
      <c r="D176" s="256"/>
      <c r="E176" s="256"/>
      <c r="F176" s="256"/>
      <c r="G176" s="256"/>
      <c r="H176" s="256"/>
      <c r="I176" s="256"/>
      <c r="J176" s="256"/>
      <c r="K176" s="256"/>
    </row>
    <row r="177" spans="1:11" ht="12.75" x14ac:dyDescent="0.35">
      <c r="A177" s="256"/>
      <c r="B177" s="256"/>
      <c r="C177" s="256"/>
      <c r="D177" s="256"/>
      <c r="E177" s="256"/>
      <c r="F177" s="256"/>
      <c r="G177" s="256"/>
      <c r="H177" s="256"/>
      <c r="I177" s="256"/>
      <c r="J177" s="256"/>
      <c r="K177" s="256"/>
    </row>
    <row r="178" spans="1:11" ht="12.75" x14ac:dyDescent="0.35">
      <c r="A178" s="256"/>
      <c r="B178" s="256"/>
      <c r="C178" s="256"/>
      <c r="D178" s="256"/>
      <c r="E178" s="256"/>
      <c r="F178" s="256"/>
      <c r="G178" s="256"/>
      <c r="H178" s="256"/>
      <c r="I178" s="256"/>
      <c r="J178" s="256"/>
      <c r="K178" s="256"/>
    </row>
    <row r="179" spans="1:11" ht="12.75" x14ac:dyDescent="0.35">
      <c r="A179" s="256"/>
      <c r="B179" s="256"/>
      <c r="C179" s="256"/>
      <c r="D179" s="256"/>
      <c r="E179" s="256"/>
      <c r="F179" s="256"/>
      <c r="G179" s="256"/>
      <c r="H179" s="256"/>
      <c r="I179" s="256"/>
      <c r="J179" s="256"/>
      <c r="K179" s="256"/>
    </row>
    <row r="180" spans="1:11" ht="12.75" x14ac:dyDescent="0.35">
      <c r="A180" s="256"/>
      <c r="B180" s="256"/>
      <c r="C180" s="256"/>
      <c r="D180" s="256"/>
      <c r="E180" s="256"/>
      <c r="F180" s="256"/>
      <c r="G180" s="256"/>
      <c r="H180" s="256"/>
      <c r="I180" s="256"/>
      <c r="J180" s="256"/>
      <c r="K180" s="256"/>
    </row>
    <row r="181" spans="1:11" ht="12.75" x14ac:dyDescent="0.35">
      <c r="A181" s="256"/>
      <c r="B181" s="256"/>
      <c r="C181" s="256"/>
      <c r="D181" s="256"/>
      <c r="E181" s="256"/>
      <c r="F181" s="256"/>
      <c r="G181" s="256"/>
      <c r="H181" s="256"/>
      <c r="I181" s="256"/>
      <c r="J181" s="256"/>
      <c r="K181" s="256"/>
    </row>
    <row r="182" spans="1:11" ht="12.75" x14ac:dyDescent="0.35">
      <c r="A182" s="256"/>
      <c r="B182" s="256"/>
      <c r="C182" s="256"/>
      <c r="D182" s="256"/>
      <c r="E182" s="256"/>
      <c r="F182" s="256"/>
      <c r="G182" s="256"/>
      <c r="H182" s="256"/>
      <c r="I182" s="256"/>
      <c r="J182" s="256"/>
      <c r="K182" s="256"/>
    </row>
    <row r="183" spans="1:11" ht="12.75" x14ac:dyDescent="0.35">
      <c r="A183" s="256"/>
      <c r="B183" s="256"/>
      <c r="C183" s="256"/>
      <c r="D183" s="256"/>
      <c r="E183" s="256"/>
      <c r="F183" s="256"/>
      <c r="G183" s="256"/>
      <c r="H183" s="256"/>
      <c r="I183" s="256"/>
      <c r="J183" s="256"/>
      <c r="K183" s="256"/>
    </row>
    <row r="184" spans="1:11" ht="12.75" x14ac:dyDescent="0.35">
      <c r="A184" s="256"/>
      <c r="B184" s="256"/>
      <c r="C184" s="256"/>
      <c r="D184" s="256"/>
      <c r="E184" s="256"/>
      <c r="F184" s="256"/>
      <c r="G184" s="256"/>
      <c r="H184" s="256"/>
      <c r="I184" s="256"/>
      <c r="J184" s="256"/>
      <c r="K184" s="256"/>
    </row>
    <row r="185" spans="1:11" ht="12.75" x14ac:dyDescent="0.35">
      <c r="A185" s="256"/>
      <c r="B185" s="256"/>
      <c r="C185" s="256"/>
      <c r="D185" s="256"/>
      <c r="E185" s="256"/>
      <c r="F185" s="256"/>
      <c r="G185" s="256"/>
      <c r="H185" s="256"/>
      <c r="I185" s="256"/>
      <c r="J185" s="256"/>
      <c r="K185" s="256"/>
    </row>
    <row r="186" spans="1:11" ht="12.75" x14ac:dyDescent="0.35">
      <c r="A186" s="256"/>
      <c r="B186" s="256"/>
      <c r="C186" s="256"/>
      <c r="D186" s="256"/>
      <c r="E186" s="256"/>
      <c r="F186" s="256"/>
      <c r="G186" s="256"/>
      <c r="H186" s="256"/>
      <c r="I186" s="256"/>
      <c r="J186" s="256"/>
      <c r="K186" s="256"/>
    </row>
    <row r="187" spans="1:11" ht="12.75" x14ac:dyDescent="0.35">
      <c r="A187" s="256"/>
      <c r="B187" s="256"/>
      <c r="C187" s="256"/>
      <c r="D187" s="256"/>
      <c r="E187" s="256"/>
      <c r="F187" s="256"/>
      <c r="G187" s="256"/>
      <c r="H187" s="256"/>
      <c r="I187" s="256"/>
      <c r="J187" s="256"/>
      <c r="K187" s="256"/>
    </row>
    <row r="188" spans="1:11" ht="12.75" x14ac:dyDescent="0.35">
      <c r="A188" s="256"/>
      <c r="B188" s="256"/>
      <c r="C188" s="256"/>
      <c r="D188" s="256"/>
      <c r="E188" s="256"/>
      <c r="F188" s="256"/>
      <c r="G188" s="256"/>
      <c r="H188" s="256"/>
      <c r="I188" s="256"/>
      <c r="J188" s="256"/>
      <c r="K188" s="256"/>
    </row>
    <row r="189" spans="1:11" ht="12.75" x14ac:dyDescent="0.35">
      <c r="A189" s="256"/>
      <c r="B189" s="256"/>
      <c r="C189" s="256"/>
      <c r="D189" s="256"/>
      <c r="E189" s="256"/>
      <c r="F189" s="256"/>
      <c r="G189" s="256"/>
      <c r="H189" s="256"/>
      <c r="I189" s="256"/>
      <c r="J189" s="256"/>
      <c r="K189" s="256"/>
    </row>
    <row r="190" spans="1:11" ht="12.75" x14ac:dyDescent="0.35">
      <c r="A190" s="256"/>
      <c r="B190" s="256"/>
      <c r="C190" s="256"/>
      <c r="D190" s="256"/>
      <c r="E190" s="256"/>
      <c r="F190" s="256"/>
      <c r="G190" s="256"/>
      <c r="H190" s="256"/>
      <c r="I190" s="256"/>
      <c r="J190" s="256"/>
      <c r="K190" s="256"/>
    </row>
    <row r="191" spans="1:11" ht="12.75" x14ac:dyDescent="0.35">
      <c r="A191" s="256"/>
      <c r="B191" s="256"/>
      <c r="C191" s="256"/>
      <c r="D191" s="256"/>
      <c r="E191" s="256"/>
      <c r="F191" s="256"/>
      <c r="G191" s="256"/>
      <c r="H191" s="256"/>
      <c r="I191" s="256"/>
      <c r="J191" s="256"/>
      <c r="K191" s="256"/>
    </row>
    <row r="192" spans="1:11" ht="12.75" x14ac:dyDescent="0.35">
      <c r="A192" s="256"/>
      <c r="B192" s="256"/>
      <c r="C192" s="256"/>
      <c r="D192" s="256"/>
      <c r="E192" s="256"/>
      <c r="F192" s="256"/>
      <c r="G192" s="256"/>
      <c r="H192" s="256"/>
      <c r="I192" s="256"/>
      <c r="J192" s="256"/>
      <c r="K192" s="256"/>
    </row>
    <row r="193" spans="1:11" ht="12.75" x14ac:dyDescent="0.35">
      <c r="A193" s="256"/>
      <c r="B193" s="256"/>
      <c r="C193" s="256"/>
      <c r="D193" s="256"/>
      <c r="E193" s="256"/>
      <c r="F193" s="256"/>
      <c r="G193" s="256"/>
      <c r="H193" s="256"/>
      <c r="I193" s="256"/>
      <c r="J193" s="256"/>
      <c r="K193" s="256"/>
    </row>
    <row r="194" spans="1:11" ht="12.75" x14ac:dyDescent="0.35">
      <c r="A194" s="256"/>
      <c r="B194" s="256"/>
      <c r="C194" s="256"/>
      <c r="D194" s="256"/>
      <c r="E194" s="256"/>
      <c r="F194" s="256"/>
      <c r="G194" s="256"/>
      <c r="H194" s="256"/>
      <c r="I194" s="256"/>
      <c r="J194" s="256"/>
      <c r="K194" s="256"/>
    </row>
    <row r="195" spans="1:11" ht="12.75" x14ac:dyDescent="0.35">
      <c r="A195" s="256"/>
      <c r="B195" s="256"/>
      <c r="C195" s="256"/>
      <c r="D195" s="256"/>
      <c r="E195" s="256"/>
      <c r="F195" s="256"/>
      <c r="G195" s="256"/>
      <c r="H195" s="256"/>
      <c r="I195" s="256"/>
      <c r="J195" s="256"/>
      <c r="K195" s="256"/>
    </row>
    <row r="196" spans="1:11" ht="12.75" x14ac:dyDescent="0.35">
      <c r="A196" s="256"/>
      <c r="B196" s="256"/>
      <c r="C196" s="256"/>
      <c r="D196" s="256"/>
      <c r="E196" s="256"/>
      <c r="F196" s="256"/>
      <c r="G196" s="256"/>
      <c r="H196" s="256"/>
      <c r="I196" s="256"/>
      <c r="J196" s="256"/>
      <c r="K196" s="256"/>
    </row>
    <row r="197" spans="1:11" ht="12.75" x14ac:dyDescent="0.35">
      <c r="A197" s="256"/>
      <c r="B197" s="256"/>
      <c r="C197" s="256"/>
      <c r="D197" s="256"/>
      <c r="E197" s="256"/>
      <c r="F197" s="256"/>
      <c r="G197" s="256"/>
      <c r="H197" s="256"/>
      <c r="I197" s="256"/>
      <c r="J197" s="256"/>
      <c r="K197" s="256"/>
    </row>
    <row r="198" spans="1:11" ht="12.75" x14ac:dyDescent="0.35">
      <c r="A198" s="256"/>
      <c r="B198" s="256"/>
      <c r="C198" s="256"/>
      <c r="D198" s="256"/>
      <c r="E198" s="256"/>
      <c r="F198" s="256"/>
      <c r="G198" s="256"/>
      <c r="H198" s="256"/>
      <c r="I198" s="256"/>
      <c r="J198" s="256"/>
      <c r="K198" s="256"/>
    </row>
    <row r="199" spans="1:11" ht="12.75" x14ac:dyDescent="0.35">
      <c r="A199" s="256"/>
      <c r="B199" s="256"/>
      <c r="C199" s="256"/>
      <c r="D199" s="256"/>
      <c r="E199" s="256"/>
      <c r="F199" s="256"/>
      <c r="G199" s="256"/>
      <c r="H199" s="256"/>
      <c r="I199" s="256"/>
      <c r="J199" s="256"/>
      <c r="K199" s="256"/>
    </row>
    <row r="200" spans="1:11" ht="12.75" x14ac:dyDescent="0.35">
      <c r="A200" s="256"/>
      <c r="B200" s="256"/>
      <c r="C200" s="256"/>
      <c r="D200" s="256"/>
      <c r="E200" s="256"/>
      <c r="F200" s="256"/>
      <c r="G200" s="256"/>
      <c r="H200" s="256"/>
      <c r="I200" s="256"/>
      <c r="J200" s="256"/>
      <c r="K200" s="256"/>
    </row>
    <row r="201" spans="1:11" ht="12.75" x14ac:dyDescent="0.35">
      <c r="A201" s="256"/>
      <c r="B201" s="256"/>
      <c r="C201" s="256"/>
      <c r="D201" s="256"/>
      <c r="E201" s="256"/>
      <c r="F201" s="256"/>
      <c r="G201" s="256"/>
      <c r="H201" s="256"/>
      <c r="I201" s="256"/>
      <c r="J201" s="256"/>
      <c r="K201" s="256"/>
    </row>
    <row r="202" spans="1:11" ht="12.75" x14ac:dyDescent="0.35">
      <c r="A202" s="256"/>
      <c r="B202" s="256"/>
      <c r="C202" s="256"/>
      <c r="D202" s="256"/>
      <c r="E202" s="256"/>
      <c r="F202" s="256"/>
      <c r="G202" s="256"/>
      <c r="H202" s="256"/>
      <c r="I202" s="256"/>
      <c r="J202" s="256"/>
      <c r="K202" s="256"/>
    </row>
    <row r="203" spans="1:11" ht="12.75" x14ac:dyDescent="0.35">
      <c r="A203" s="256"/>
      <c r="B203" s="256"/>
      <c r="C203" s="256"/>
      <c r="D203" s="256"/>
      <c r="E203" s="256"/>
      <c r="F203" s="256"/>
      <c r="G203" s="256"/>
      <c r="H203" s="256"/>
      <c r="I203" s="256"/>
      <c r="J203" s="256"/>
      <c r="K203" s="256"/>
    </row>
    <row r="204" spans="1:11" ht="12.75" x14ac:dyDescent="0.35">
      <c r="A204" s="256"/>
      <c r="B204" s="256"/>
      <c r="C204" s="256"/>
      <c r="D204" s="256"/>
      <c r="E204" s="256"/>
      <c r="F204" s="256"/>
      <c r="G204" s="256"/>
      <c r="H204" s="256"/>
      <c r="I204" s="256"/>
      <c r="J204" s="256"/>
      <c r="K204" s="256"/>
    </row>
    <row r="205" spans="1:11" ht="12.75" x14ac:dyDescent="0.35">
      <c r="A205" s="256"/>
      <c r="B205" s="256"/>
      <c r="C205" s="256"/>
      <c r="D205" s="256"/>
      <c r="E205" s="256"/>
      <c r="F205" s="256"/>
      <c r="G205" s="256"/>
      <c r="H205" s="256"/>
      <c r="I205" s="256"/>
      <c r="J205" s="256"/>
      <c r="K205" s="256"/>
    </row>
    <row r="206" spans="1:11" ht="12.75" x14ac:dyDescent="0.35">
      <c r="A206" s="256"/>
      <c r="B206" s="256"/>
      <c r="C206" s="256"/>
      <c r="D206" s="256"/>
      <c r="E206" s="256"/>
      <c r="F206" s="256"/>
      <c r="G206" s="256"/>
      <c r="H206" s="256"/>
      <c r="I206" s="256"/>
      <c r="J206" s="256"/>
      <c r="K206" s="256"/>
    </row>
    <row r="207" spans="1:11" ht="12.75" x14ac:dyDescent="0.35">
      <c r="A207" s="256"/>
      <c r="B207" s="256"/>
      <c r="C207" s="256"/>
      <c r="D207" s="256"/>
      <c r="E207" s="256"/>
      <c r="F207" s="256"/>
      <c r="G207" s="256"/>
      <c r="H207" s="256"/>
      <c r="I207" s="256"/>
      <c r="J207" s="256"/>
      <c r="K207" s="256"/>
    </row>
    <row r="208" spans="1:11" ht="12.75" x14ac:dyDescent="0.35">
      <c r="A208" s="256"/>
      <c r="B208" s="256"/>
      <c r="C208" s="256"/>
      <c r="D208" s="256"/>
      <c r="E208" s="256"/>
      <c r="F208" s="256"/>
      <c r="G208" s="256"/>
      <c r="H208" s="256"/>
      <c r="I208" s="256"/>
      <c r="J208" s="256"/>
      <c r="K208" s="256"/>
    </row>
    <row r="209" spans="1:11" ht="12.75" x14ac:dyDescent="0.35">
      <c r="A209" s="256"/>
      <c r="B209" s="256"/>
      <c r="C209" s="256"/>
      <c r="D209" s="256"/>
      <c r="E209" s="256"/>
      <c r="F209" s="256"/>
      <c r="G209" s="256"/>
      <c r="H209" s="256"/>
      <c r="I209" s="256"/>
      <c r="J209" s="256"/>
      <c r="K209" s="256"/>
    </row>
    <row r="210" spans="1:11" ht="12.75" x14ac:dyDescent="0.35">
      <c r="A210" s="256"/>
      <c r="B210" s="256"/>
      <c r="C210" s="256"/>
      <c r="D210" s="256"/>
      <c r="E210" s="256"/>
      <c r="F210" s="256"/>
      <c r="G210" s="256"/>
      <c r="H210" s="256"/>
      <c r="I210" s="256"/>
      <c r="J210" s="256"/>
      <c r="K210" s="256"/>
    </row>
    <row r="211" spans="1:11" ht="12.75" x14ac:dyDescent="0.35">
      <c r="A211" s="256"/>
      <c r="B211" s="256"/>
      <c r="C211" s="256"/>
      <c r="D211" s="256"/>
      <c r="E211" s="256"/>
      <c r="F211" s="256"/>
      <c r="G211" s="256"/>
      <c r="H211" s="256"/>
      <c r="I211" s="256"/>
      <c r="J211" s="256"/>
      <c r="K211" s="256"/>
    </row>
    <row r="212" spans="1:11" ht="12.75" x14ac:dyDescent="0.35">
      <c r="A212" s="256"/>
      <c r="B212" s="256"/>
      <c r="C212" s="256"/>
      <c r="D212" s="256"/>
      <c r="E212" s="256"/>
      <c r="F212" s="256"/>
      <c r="G212" s="256"/>
      <c r="H212" s="256"/>
      <c r="I212" s="256"/>
      <c r="J212" s="256"/>
      <c r="K212" s="256"/>
    </row>
    <row r="213" spans="1:11" ht="12.75" x14ac:dyDescent="0.35">
      <c r="A213" s="256"/>
      <c r="B213" s="256"/>
      <c r="C213" s="256"/>
      <c r="D213" s="256"/>
      <c r="E213" s="256"/>
      <c r="F213" s="256"/>
      <c r="G213" s="256"/>
      <c r="H213" s="256"/>
      <c r="I213" s="256"/>
      <c r="J213" s="256"/>
      <c r="K213" s="256"/>
    </row>
    <row r="214" spans="1:11" ht="12.75" x14ac:dyDescent="0.35">
      <c r="A214" s="256"/>
      <c r="B214" s="256"/>
      <c r="C214" s="256"/>
      <c r="D214" s="256"/>
      <c r="E214" s="256"/>
      <c r="F214" s="256"/>
      <c r="G214" s="256"/>
      <c r="H214" s="256"/>
      <c r="I214" s="256"/>
      <c r="J214" s="256"/>
      <c r="K214" s="256"/>
    </row>
    <row r="215" spans="1:11" ht="12.75" x14ac:dyDescent="0.35">
      <c r="A215" s="256"/>
      <c r="B215" s="256"/>
      <c r="C215" s="256"/>
      <c r="D215" s="256"/>
      <c r="E215" s="256"/>
      <c r="F215" s="256"/>
      <c r="G215" s="256"/>
      <c r="H215" s="256"/>
      <c r="I215" s="256"/>
      <c r="J215" s="256"/>
      <c r="K215" s="256"/>
    </row>
    <row r="216" spans="1:11" ht="12.75" x14ac:dyDescent="0.35">
      <c r="A216" s="256"/>
      <c r="B216" s="256"/>
      <c r="C216" s="256"/>
      <c r="D216" s="256"/>
      <c r="E216" s="256"/>
      <c r="F216" s="256"/>
      <c r="G216" s="256"/>
      <c r="H216" s="256"/>
      <c r="I216" s="256"/>
      <c r="J216" s="256"/>
      <c r="K216" s="256"/>
    </row>
    <row r="217" spans="1:11" ht="12.75" x14ac:dyDescent="0.35">
      <c r="A217" s="256"/>
      <c r="B217" s="256"/>
      <c r="C217" s="256"/>
      <c r="D217" s="256"/>
      <c r="E217" s="256"/>
      <c r="F217" s="256"/>
      <c r="G217" s="256"/>
      <c r="H217" s="256"/>
      <c r="I217" s="256"/>
      <c r="J217" s="256"/>
      <c r="K217" s="256"/>
    </row>
    <row r="218" spans="1:11" ht="12.75" x14ac:dyDescent="0.35">
      <c r="A218" s="256"/>
      <c r="B218" s="256"/>
      <c r="C218" s="256"/>
      <c r="D218" s="256"/>
      <c r="E218" s="256"/>
      <c r="F218" s="256"/>
      <c r="G218" s="256"/>
      <c r="H218" s="256"/>
      <c r="I218" s="256"/>
      <c r="J218" s="256"/>
      <c r="K218" s="256"/>
    </row>
    <row r="219" spans="1:11" ht="12.75" x14ac:dyDescent="0.35">
      <c r="A219" s="256"/>
      <c r="B219" s="256"/>
      <c r="C219" s="256"/>
      <c r="D219" s="256"/>
      <c r="E219" s="256"/>
      <c r="F219" s="256"/>
      <c r="G219" s="256"/>
      <c r="H219" s="256"/>
      <c r="I219" s="256"/>
      <c r="J219" s="256"/>
      <c r="K219" s="256"/>
    </row>
    <row r="220" spans="1:11" ht="12.75" x14ac:dyDescent="0.35">
      <c r="A220" s="256"/>
      <c r="B220" s="256"/>
      <c r="C220" s="256"/>
      <c r="D220" s="256"/>
      <c r="E220" s="256"/>
      <c r="F220" s="256"/>
      <c r="G220" s="256"/>
      <c r="H220" s="256"/>
      <c r="I220" s="256"/>
      <c r="J220" s="256"/>
      <c r="K220" s="256"/>
    </row>
    <row r="221" spans="1:11" ht="12.75" x14ac:dyDescent="0.35">
      <c r="A221" s="256"/>
      <c r="B221" s="256"/>
      <c r="C221" s="256"/>
      <c r="D221" s="256"/>
      <c r="E221" s="256"/>
      <c r="F221" s="256"/>
      <c r="G221" s="256"/>
      <c r="H221" s="256"/>
      <c r="I221" s="256"/>
      <c r="J221" s="256"/>
      <c r="K221" s="256"/>
    </row>
    <row r="222" spans="1:11" ht="12.75" x14ac:dyDescent="0.35">
      <c r="A222" s="256"/>
      <c r="B222" s="256"/>
      <c r="C222" s="256"/>
      <c r="D222" s="256"/>
      <c r="E222" s="256"/>
      <c r="F222" s="256"/>
      <c r="G222" s="256"/>
      <c r="H222" s="256"/>
      <c r="I222" s="256"/>
      <c r="J222" s="256"/>
      <c r="K222" s="256"/>
    </row>
    <row r="223" spans="1:11" ht="12.75" x14ac:dyDescent="0.35">
      <c r="A223" s="256"/>
      <c r="B223" s="256"/>
      <c r="C223" s="256"/>
      <c r="D223" s="256"/>
      <c r="E223" s="256"/>
      <c r="F223" s="256"/>
      <c r="G223" s="256"/>
      <c r="H223" s="256"/>
      <c r="I223" s="256"/>
      <c r="J223" s="256"/>
      <c r="K223" s="256"/>
    </row>
    <row r="224" spans="1:11" ht="12.75" x14ac:dyDescent="0.35">
      <c r="A224" s="256"/>
      <c r="B224" s="256"/>
      <c r="C224" s="256"/>
      <c r="D224" s="256"/>
      <c r="E224" s="256"/>
      <c r="F224" s="256"/>
      <c r="G224" s="256"/>
      <c r="H224" s="256"/>
      <c r="I224" s="256"/>
      <c r="J224" s="256"/>
      <c r="K224" s="256"/>
    </row>
    <row r="225" spans="1:11" ht="12.75" x14ac:dyDescent="0.35">
      <c r="A225" s="256"/>
      <c r="B225" s="256"/>
      <c r="C225" s="256"/>
      <c r="D225" s="256"/>
      <c r="E225" s="256"/>
      <c r="F225" s="256"/>
      <c r="G225" s="256"/>
      <c r="H225" s="256"/>
      <c r="I225" s="256"/>
      <c r="J225" s="256"/>
      <c r="K225" s="256"/>
    </row>
    <row r="226" spans="1:11" ht="12.75" x14ac:dyDescent="0.35">
      <c r="A226" s="256"/>
      <c r="B226" s="256"/>
      <c r="C226" s="256"/>
      <c r="D226" s="256"/>
      <c r="E226" s="256"/>
      <c r="F226" s="256"/>
      <c r="G226" s="256"/>
      <c r="H226" s="256"/>
      <c r="I226" s="256"/>
      <c r="J226" s="256"/>
      <c r="K226" s="256"/>
    </row>
    <row r="227" spans="1:11" ht="12.75" x14ac:dyDescent="0.35">
      <c r="A227" s="256"/>
      <c r="B227" s="256"/>
      <c r="C227" s="256"/>
      <c r="D227" s="256"/>
      <c r="E227" s="256"/>
      <c r="F227" s="256"/>
      <c r="G227" s="256"/>
      <c r="H227" s="256"/>
      <c r="I227" s="256"/>
      <c r="J227" s="256"/>
      <c r="K227" s="256"/>
    </row>
    <row r="228" spans="1:11" ht="12.75" x14ac:dyDescent="0.35">
      <c r="A228" s="256"/>
      <c r="B228" s="256"/>
      <c r="C228" s="256"/>
      <c r="D228" s="256"/>
      <c r="E228" s="256"/>
      <c r="F228" s="256"/>
      <c r="G228" s="256"/>
      <c r="H228" s="256"/>
      <c r="I228" s="256"/>
      <c r="J228" s="256"/>
      <c r="K228" s="256"/>
    </row>
    <row r="229" spans="1:11" ht="12.75" x14ac:dyDescent="0.35">
      <c r="A229" s="256"/>
      <c r="B229" s="256"/>
      <c r="C229" s="256"/>
      <c r="D229" s="256"/>
      <c r="E229" s="256"/>
      <c r="F229" s="256"/>
      <c r="G229" s="256"/>
      <c r="H229" s="256"/>
      <c r="I229" s="256"/>
      <c r="J229" s="256"/>
      <c r="K229" s="256"/>
    </row>
    <row r="230" spans="1:11" ht="12.75" x14ac:dyDescent="0.35">
      <c r="A230" s="256"/>
      <c r="B230" s="256"/>
      <c r="C230" s="256"/>
      <c r="D230" s="256"/>
      <c r="E230" s="256"/>
      <c r="F230" s="256"/>
      <c r="G230" s="256"/>
      <c r="H230" s="256"/>
      <c r="I230" s="256"/>
      <c r="J230" s="256"/>
      <c r="K230" s="256"/>
    </row>
    <row r="231" spans="1:11" ht="12.75" x14ac:dyDescent="0.35">
      <c r="A231" s="256"/>
      <c r="B231" s="256"/>
      <c r="C231" s="256"/>
      <c r="D231" s="256"/>
      <c r="E231" s="256"/>
      <c r="F231" s="256"/>
      <c r="G231" s="256"/>
      <c r="H231" s="256"/>
      <c r="I231" s="256"/>
      <c r="J231" s="256"/>
      <c r="K231" s="256"/>
    </row>
    <row r="232" spans="1:11" ht="12.75" x14ac:dyDescent="0.35">
      <c r="A232" s="256"/>
      <c r="B232" s="256"/>
      <c r="C232" s="256"/>
      <c r="D232" s="256"/>
      <c r="E232" s="256"/>
      <c r="F232" s="256"/>
      <c r="G232" s="256"/>
      <c r="H232" s="256"/>
      <c r="I232" s="256"/>
      <c r="J232" s="256"/>
      <c r="K232" s="256"/>
    </row>
    <row r="233" spans="1:11" ht="12.75" x14ac:dyDescent="0.35">
      <c r="A233" s="256"/>
      <c r="B233" s="256"/>
      <c r="C233" s="256"/>
      <c r="D233" s="256"/>
      <c r="E233" s="256"/>
      <c r="F233" s="256"/>
      <c r="G233" s="256"/>
      <c r="H233" s="256"/>
      <c r="I233" s="256"/>
      <c r="J233" s="256"/>
      <c r="K233" s="256"/>
    </row>
    <row r="234" spans="1:11" ht="12.75" x14ac:dyDescent="0.35">
      <c r="A234" s="256"/>
      <c r="B234" s="256"/>
      <c r="C234" s="256"/>
      <c r="D234" s="256"/>
      <c r="E234" s="256"/>
      <c r="F234" s="256"/>
      <c r="G234" s="256"/>
      <c r="H234" s="256"/>
      <c r="I234" s="256"/>
      <c r="J234" s="256"/>
      <c r="K234" s="256"/>
    </row>
    <row r="235" spans="1:11" ht="12.75" x14ac:dyDescent="0.35">
      <c r="A235" s="256"/>
      <c r="B235" s="256"/>
      <c r="C235" s="256"/>
      <c r="D235" s="256"/>
      <c r="E235" s="256"/>
      <c r="F235" s="256"/>
      <c r="G235" s="256"/>
      <c r="H235" s="256"/>
      <c r="I235" s="256"/>
      <c r="J235" s="256"/>
      <c r="K235" s="256"/>
    </row>
    <row r="236" spans="1:11" ht="12.75" x14ac:dyDescent="0.35">
      <c r="A236" s="256"/>
      <c r="B236" s="256"/>
      <c r="C236" s="256"/>
      <c r="D236" s="256"/>
      <c r="E236" s="256"/>
      <c r="F236" s="256"/>
      <c r="G236" s="256"/>
      <c r="H236" s="256"/>
      <c r="I236" s="256"/>
      <c r="J236" s="256"/>
      <c r="K236" s="256"/>
    </row>
    <row r="237" spans="1:11" ht="12.75" x14ac:dyDescent="0.35">
      <c r="A237" s="256"/>
      <c r="B237" s="256"/>
      <c r="C237" s="256"/>
      <c r="D237" s="256"/>
      <c r="E237" s="256"/>
      <c r="F237" s="256"/>
      <c r="G237" s="256"/>
      <c r="H237" s="256"/>
      <c r="I237" s="256"/>
      <c r="J237" s="256"/>
      <c r="K237" s="256"/>
    </row>
    <row r="238" spans="1:11" ht="12.75" x14ac:dyDescent="0.35">
      <c r="A238" s="256"/>
      <c r="B238" s="256"/>
      <c r="C238" s="256"/>
      <c r="D238" s="256"/>
      <c r="E238" s="256"/>
      <c r="F238" s="256"/>
      <c r="G238" s="256"/>
      <c r="H238" s="256"/>
      <c r="I238" s="256"/>
      <c r="J238" s="256"/>
      <c r="K238" s="256"/>
    </row>
    <row r="239" spans="1:11" ht="12.75" x14ac:dyDescent="0.35">
      <c r="A239" s="256"/>
      <c r="B239" s="256"/>
      <c r="C239" s="256"/>
      <c r="D239" s="256"/>
      <c r="E239" s="256"/>
      <c r="F239" s="256"/>
      <c r="G239" s="256"/>
      <c r="H239" s="256"/>
      <c r="I239" s="256"/>
      <c r="J239" s="256"/>
      <c r="K239" s="256"/>
    </row>
    <row r="240" spans="1:11" ht="12.75" x14ac:dyDescent="0.35">
      <c r="A240" s="256"/>
      <c r="B240" s="256"/>
      <c r="C240" s="256"/>
      <c r="D240" s="256"/>
      <c r="E240" s="256"/>
      <c r="F240" s="256"/>
      <c r="G240" s="256"/>
      <c r="H240" s="256"/>
      <c r="I240" s="256"/>
      <c r="J240" s="256"/>
      <c r="K240" s="256"/>
    </row>
    <row r="241" spans="1:11" ht="12.75" x14ac:dyDescent="0.35">
      <c r="A241" s="256"/>
      <c r="B241" s="256"/>
      <c r="C241" s="256"/>
      <c r="D241" s="256"/>
      <c r="E241" s="256"/>
      <c r="F241" s="256"/>
      <c r="G241" s="256"/>
      <c r="H241" s="256"/>
      <c r="I241" s="256"/>
      <c r="J241" s="256"/>
      <c r="K241" s="256"/>
    </row>
    <row r="242" spans="1:11" ht="12.75" x14ac:dyDescent="0.35">
      <c r="A242" s="256"/>
      <c r="B242" s="256"/>
      <c r="C242" s="256"/>
      <c r="D242" s="256"/>
      <c r="E242" s="256"/>
      <c r="F242" s="256"/>
      <c r="G242" s="256"/>
      <c r="H242" s="256"/>
      <c r="I242" s="256"/>
      <c r="J242" s="256"/>
      <c r="K242" s="256"/>
    </row>
    <row r="243" spans="1:11" ht="12.75" x14ac:dyDescent="0.35">
      <c r="A243" s="256"/>
      <c r="B243" s="256"/>
      <c r="C243" s="256"/>
      <c r="D243" s="256"/>
      <c r="E243" s="256"/>
      <c r="F243" s="256"/>
      <c r="G243" s="256"/>
      <c r="H243" s="256"/>
      <c r="I243" s="256"/>
      <c r="J243" s="256"/>
      <c r="K243" s="256"/>
    </row>
    <row r="244" spans="1:11" ht="12.75" x14ac:dyDescent="0.35">
      <c r="A244" s="256"/>
      <c r="B244" s="256"/>
      <c r="C244" s="256"/>
      <c r="D244" s="256"/>
      <c r="E244" s="256"/>
      <c r="F244" s="256"/>
      <c r="G244" s="256"/>
      <c r="H244" s="256"/>
      <c r="I244" s="256"/>
      <c r="J244" s="256"/>
      <c r="K244" s="256"/>
    </row>
    <row r="245" spans="1:11" ht="12.75" x14ac:dyDescent="0.35">
      <c r="A245" s="256"/>
      <c r="B245" s="256"/>
      <c r="C245" s="256"/>
      <c r="D245" s="256"/>
      <c r="E245" s="256"/>
      <c r="F245" s="256"/>
      <c r="G245" s="256"/>
      <c r="H245" s="256"/>
      <c r="I245" s="256"/>
      <c r="J245" s="256"/>
      <c r="K245" s="256"/>
    </row>
    <row r="246" spans="1:11" ht="12.75" x14ac:dyDescent="0.35">
      <c r="A246" s="256"/>
      <c r="B246" s="256"/>
      <c r="C246" s="256"/>
      <c r="D246" s="256"/>
      <c r="E246" s="256"/>
      <c r="F246" s="256"/>
      <c r="G246" s="256"/>
      <c r="H246" s="256"/>
      <c r="I246" s="256"/>
      <c r="J246" s="256"/>
      <c r="K246" s="256"/>
    </row>
    <row r="247" spans="1:11" ht="12.75" x14ac:dyDescent="0.35">
      <c r="A247" s="256"/>
      <c r="B247" s="256"/>
      <c r="C247" s="256"/>
      <c r="D247" s="256"/>
      <c r="E247" s="256"/>
      <c r="F247" s="256"/>
      <c r="G247" s="256"/>
      <c r="H247" s="256"/>
      <c r="I247" s="256"/>
      <c r="J247" s="256"/>
      <c r="K247" s="256"/>
    </row>
    <row r="248" spans="1:11" ht="12.75" x14ac:dyDescent="0.35">
      <c r="A248" s="256"/>
      <c r="B248" s="256"/>
      <c r="C248" s="256"/>
      <c r="D248" s="256"/>
      <c r="E248" s="256"/>
      <c r="F248" s="256"/>
      <c r="G248" s="256"/>
      <c r="H248" s="256"/>
      <c r="I248" s="256"/>
      <c r="J248" s="256"/>
      <c r="K248" s="256"/>
    </row>
    <row r="249" spans="1:11" ht="12.75" x14ac:dyDescent="0.35">
      <c r="A249" s="256"/>
      <c r="B249" s="256"/>
      <c r="C249" s="256"/>
      <c r="D249" s="256"/>
      <c r="E249" s="256"/>
      <c r="F249" s="256"/>
      <c r="G249" s="256"/>
      <c r="H249" s="256"/>
      <c r="I249" s="256"/>
      <c r="J249" s="256"/>
      <c r="K249" s="256"/>
    </row>
    <row r="250" spans="1:11" ht="12.75" x14ac:dyDescent="0.35">
      <c r="A250" s="256"/>
      <c r="B250" s="256"/>
      <c r="C250" s="256"/>
      <c r="D250" s="256"/>
      <c r="E250" s="256"/>
      <c r="F250" s="256"/>
      <c r="G250" s="256"/>
      <c r="H250" s="256"/>
      <c r="I250" s="256"/>
      <c r="J250" s="256"/>
      <c r="K250" s="256"/>
    </row>
    <row r="251" spans="1:11" ht="12.75" x14ac:dyDescent="0.35">
      <c r="A251" s="256"/>
      <c r="B251" s="256"/>
      <c r="C251" s="256"/>
      <c r="D251" s="256"/>
      <c r="E251" s="256"/>
      <c r="F251" s="256"/>
      <c r="G251" s="256"/>
      <c r="H251" s="256"/>
      <c r="I251" s="256"/>
      <c r="J251" s="256"/>
      <c r="K251" s="256"/>
    </row>
    <row r="252" spans="1:11" ht="12.75" x14ac:dyDescent="0.35">
      <c r="A252" s="256"/>
      <c r="B252" s="256"/>
      <c r="C252" s="256"/>
      <c r="D252" s="256"/>
      <c r="E252" s="256"/>
      <c r="F252" s="256"/>
      <c r="G252" s="256"/>
      <c r="H252" s="256"/>
      <c r="I252" s="256"/>
      <c r="J252" s="256"/>
      <c r="K252" s="256"/>
    </row>
    <row r="253" spans="1:11" ht="12.75" x14ac:dyDescent="0.35">
      <c r="A253" s="256"/>
      <c r="B253" s="256"/>
      <c r="C253" s="256"/>
      <c r="D253" s="256"/>
      <c r="E253" s="256"/>
      <c r="F253" s="256"/>
      <c r="G253" s="256"/>
      <c r="H253" s="256"/>
      <c r="I253" s="256"/>
      <c r="J253" s="256"/>
      <c r="K253" s="256"/>
    </row>
    <row r="254" spans="1:11" ht="12.75" x14ac:dyDescent="0.35">
      <c r="A254" s="256"/>
      <c r="B254" s="256"/>
      <c r="C254" s="256"/>
      <c r="D254" s="256"/>
      <c r="E254" s="256"/>
      <c r="F254" s="256"/>
      <c r="G254" s="256"/>
      <c r="H254" s="256"/>
      <c r="I254" s="256"/>
      <c r="J254" s="256"/>
      <c r="K254" s="256"/>
    </row>
    <row r="255" spans="1:11" ht="12.75" x14ac:dyDescent="0.35">
      <c r="A255" s="256"/>
      <c r="B255" s="256"/>
      <c r="C255" s="256"/>
      <c r="D255" s="256"/>
      <c r="E255" s="256"/>
      <c r="F255" s="256"/>
      <c r="G255" s="256"/>
      <c r="H255" s="256"/>
      <c r="I255" s="256"/>
      <c r="J255" s="256"/>
      <c r="K255" s="256"/>
    </row>
    <row r="256" spans="1:11" ht="12.75" x14ac:dyDescent="0.35">
      <c r="A256" s="256"/>
      <c r="B256" s="256"/>
      <c r="C256" s="256"/>
      <c r="D256" s="256"/>
      <c r="E256" s="256"/>
      <c r="F256" s="256"/>
      <c r="G256" s="256"/>
      <c r="H256" s="256"/>
      <c r="I256" s="256"/>
      <c r="J256" s="256"/>
      <c r="K256" s="256"/>
    </row>
    <row r="257" spans="1:11" ht="12.75" x14ac:dyDescent="0.35">
      <c r="A257" s="256"/>
      <c r="B257" s="256"/>
      <c r="C257" s="256"/>
      <c r="D257" s="256"/>
      <c r="E257" s="256"/>
      <c r="F257" s="256"/>
      <c r="G257" s="256"/>
      <c r="H257" s="256"/>
      <c r="I257" s="256"/>
      <c r="J257" s="256"/>
      <c r="K257" s="256"/>
    </row>
    <row r="258" spans="1:11" ht="12.75" x14ac:dyDescent="0.35">
      <c r="A258" s="256"/>
      <c r="B258" s="256"/>
      <c r="C258" s="256"/>
      <c r="D258" s="256"/>
      <c r="E258" s="256"/>
      <c r="F258" s="256"/>
      <c r="G258" s="256"/>
      <c r="H258" s="256"/>
      <c r="I258" s="256"/>
      <c r="J258" s="256"/>
      <c r="K258" s="256"/>
    </row>
    <row r="259" spans="1:11" ht="12.75" x14ac:dyDescent="0.35">
      <c r="A259" s="256"/>
      <c r="B259" s="256"/>
      <c r="C259" s="256"/>
      <c r="D259" s="256"/>
      <c r="E259" s="256"/>
      <c r="F259" s="256"/>
      <c r="G259" s="256"/>
      <c r="H259" s="256"/>
      <c r="I259" s="256"/>
      <c r="J259" s="256"/>
      <c r="K259" s="256"/>
    </row>
    <row r="260" spans="1:11" ht="12.75" x14ac:dyDescent="0.35">
      <c r="A260" s="256"/>
      <c r="B260" s="256"/>
      <c r="C260" s="256"/>
      <c r="D260" s="256"/>
      <c r="E260" s="256"/>
      <c r="F260" s="256"/>
      <c r="G260" s="256"/>
      <c r="H260" s="256"/>
      <c r="I260" s="256"/>
      <c r="J260" s="256"/>
      <c r="K260" s="256"/>
    </row>
    <row r="261" spans="1:11" ht="12.75" x14ac:dyDescent="0.35">
      <c r="A261" s="256"/>
      <c r="B261" s="256"/>
      <c r="C261" s="256"/>
      <c r="D261" s="256"/>
      <c r="E261" s="256"/>
      <c r="F261" s="256"/>
      <c r="G261" s="256"/>
      <c r="H261" s="256"/>
      <c r="I261" s="256"/>
      <c r="J261" s="256"/>
      <c r="K261" s="256"/>
    </row>
    <row r="262" spans="1:11" ht="12.75" x14ac:dyDescent="0.35">
      <c r="A262" s="256"/>
      <c r="B262" s="256"/>
      <c r="C262" s="256"/>
      <c r="D262" s="256"/>
      <c r="E262" s="256"/>
      <c r="F262" s="256"/>
      <c r="G262" s="256"/>
      <c r="H262" s="256"/>
      <c r="I262" s="256"/>
      <c r="J262" s="256"/>
      <c r="K262" s="256"/>
    </row>
    <row r="263" spans="1:11" ht="12.75" x14ac:dyDescent="0.35">
      <c r="A263" s="256"/>
      <c r="B263" s="256"/>
      <c r="C263" s="256"/>
      <c r="D263" s="256"/>
      <c r="E263" s="256"/>
      <c r="F263" s="256"/>
      <c r="G263" s="256"/>
      <c r="H263" s="256"/>
      <c r="I263" s="256"/>
      <c r="J263" s="256"/>
      <c r="K263" s="256"/>
    </row>
    <row r="264" spans="1:11" ht="12.75" x14ac:dyDescent="0.35">
      <c r="A264" s="256"/>
      <c r="B264" s="256"/>
      <c r="C264" s="256"/>
      <c r="D264" s="256"/>
      <c r="E264" s="256"/>
      <c r="F264" s="256"/>
      <c r="G264" s="256"/>
      <c r="H264" s="256"/>
      <c r="I264" s="256"/>
      <c r="J264" s="256"/>
      <c r="K264" s="256"/>
    </row>
    <row r="265" spans="1:11" ht="12.75" x14ac:dyDescent="0.35">
      <c r="A265" s="256"/>
      <c r="B265" s="256"/>
      <c r="C265" s="256"/>
      <c r="D265" s="256"/>
      <c r="E265" s="256"/>
      <c r="F265" s="256"/>
      <c r="G265" s="256"/>
      <c r="H265" s="256"/>
      <c r="I265" s="256"/>
      <c r="J265" s="256"/>
      <c r="K265" s="256"/>
    </row>
    <row r="266" spans="1:11" ht="12.75" x14ac:dyDescent="0.35">
      <c r="A266" s="256"/>
      <c r="B266" s="256"/>
      <c r="C266" s="256"/>
      <c r="D266" s="256"/>
      <c r="E266" s="256"/>
      <c r="F266" s="256"/>
      <c r="G266" s="256"/>
      <c r="H266" s="256"/>
      <c r="I266" s="256"/>
      <c r="J266" s="256"/>
      <c r="K266" s="256"/>
    </row>
    <row r="267" spans="1:11" ht="12.75" x14ac:dyDescent="0.35">
      <c r="A267" s="256"/>
      <c r="B267" s="256"/>
      <c r="C267" s="256"/>
      <c r="D267" s="256"/>
      <c r="E267" s="256"/>
      <c r="F267" s="256"/>
      <c r="G267" s="256"/>
      <c r="H267" s="256"/>
      <c r="I267" s="256"/>
      <c r="J267" s="256"/>
      <c r="K267" s="256"/>
    </row>
    <row r="268" spans="1:11" ht="12.75" x14ac:dyDescent="0.35">
      <c r="A268" s="256"/>
      <c r="B268" s="256"/>
      <c r="C268" s="256"/>
      <c r="D268" s="256"/>
      <c r="E268" s="256"/>
      <c r="F268" s="256"/>
      <c r="G268" s="256"/>
      <c r="H268" s="256"/>
      <c r="I268" s="256"/>
      <c r="J268" s="256"/>
      <c r="K268" s="256"/>
    </row>
    <row r="269" spans="1:11" ht="12.75" x14ac:dyDescent="0.35">
      <c r="A269" s="256"/>
      <c r="B269" s="256"/>
      <c r="C269" s="256"/>
      <c r="D269" s="256"/>
      <c r="E269" s="256"/>
      <c r="F269" s="256"/>
      <c r="G269" s="256"/>
      <c r="H269" s="256"/>
      <c r="I269" s="256"/>
      <c r="J269" s="256"/>
      <c r="K269" s="256"/>
    </row>
    <row r="270" spans="1:11" ht="12.75" x14ac:dyDescent="0.35">
      <c r="A270" s="256"/>
      <c r="B270" s="256"/>
      <c r="C270" s="256"/>
      <c r="D270" s="256"/>
      <c r="E270" s="256"/>
      <c r="F270" s="256"/>
      <c r="G270" s="256"/>
      <c r="H270" s="256"/>
      <c r="I270" s="256"/>
      <c r="J270" s="256"/>
      <c r="K270" s="256"/>
    </row>
    <row r="271" spans="1:11" ht="12.75" x14ac:dyDescent="0.35">
      <c r="A271" s="256"/>
      <c r="B271" s="256"/>
      <c r="C271" s="256"/>
      <c r="D271" s="256"/>
      <c r="E271" s="256"/>
      <c r="F271" s="256"/>
      <c r="G271" s="256"/>
      <c r="H271" s="256"/>
      <c r="I271" s="256"/>
      <c r="J271" s="256"/>
      <c r="K271" s="256"/>
    </row>
    <row r="272" spans="1:11" ht="12.75" x14ac:dyDescent="0.35">
      <c r="A272" s="256"/>
      <c r="B272" s="256"/>
      <c r="C272" s="256"/>
      <c r="D272" s="256"/>
      <c r="E272" s="256"/>
      <c r="F272" s="256"/>
      <c r="G272" s="256"/>
      <c r="H272" s="256"/>
      <c r="I272" s="256"/>
      <c r="J272" s="256"/>
      <c r="K272" s="256"/>
    </row>
    <row r="273" spans="1:11" ht="12.75" x14ac:dyDescent="0.35">
      <c r="A273" s="256"/>
      <c r="B273" s="256"/>
      <c r="C273" s="256"/>
      <c r="D273" s="256"/>
      <c r="E273" s="256"/>
      <c r="F273" s="256"/>
      <c r="G273" s="256"/>
      <c r="H273" s="256"/>
      <c r="I273" s="256"/>
      <c r="J273" s="256"/>
      <c r="K273" s="256"/>
    </row>
    <row r="274" spans="1:11" ht="12.75" x14ac:dyDescent="0.35">
      <c r="A274" s="256"/>
      <c r="B274" s="256"/>
      <c r="C274" s="256"/>
      <c r="D274" s="256"/>
      <c r="E274" s="256"/>
      <c r="F274" s="256"/>
      <c r="G274" s="256"/>
      <c r="H274" s="256"/>
      <c r="I274" s="256"/>
      <c r="J274" s="256"/>
      <c r="K274" s="256"/>
    </row>
    <row r="275" spans="1:11" ht="12.75" x14ac:dyDescent="0.35">
      <c r="A275" s="256"/>
      <c r="B275" s="256"/>
      <c r="C275" s="256"/>
      <c r="D275" s="256"/>
      <c r="E275" s="256"/>
      <c r="F275" s="256"/>
      <c r="G275" s="256"/>
      <c r="H275" s="256"/>
      <c r="I275" s="256"/>
      <c r="J275" s="256"/>
      <c r="K275" s="256"/>
    </row>
    <row r="276" spans="1:11" ht="12.75" x14ac:dyDescent="0.35">
      <c r="A276" s="256"/>
      <c r="B276" s="256"/>
      <c r="C276" s="256"/>
      <c r="D276" s="256"/>
      <c r="E276" s="256"/>
      <c r="F276" s="256"/>
      <c r="G276" s="256"/>
      <c r="H276" s="256"/>
      <c r="I276" s="256"/>
      <c r="J276" s="256"/>
      <c r="K276" s="256"/>
    </row>
    <row r="277" spans="1:11" ht="12.75" x14ac:dyDescent="0.35">
      <c r="A277" s="256"/>
      <c r="B277" s="256"/>
      <c r="C277" s="256"/>
      <c r="D277" s="256"/>
      <c r="E277" s="256"/>
      <c r="F277" s="256"/>
      <c r="G277" s="256"/>
      <c r="H277" s="256"/>
      <c r="I277" s="256"/>
      <c r="J277" s="256"/>
      <c r="K277" s="256"/>
    </row>
    <row r="278" spans="1:11" ht="12.75" x14ac:dyDescent="0.35">
      <c r="A278" s="256"/>
      <c r="B278" s="256"/>
      <c r="C278" s="256"/>
      <c r="D278" s="256"/>
      <c r="E278" s="256"/>
      <c r="F278" s="256"/>
      <c r="G278" s="256"/>
      <c r="H278" s="256"/>
      <c r="I278" s="256"/>
      <c r="J278" s="256"/>
      <c r="K278" s="256"/>
    </row>
    <row r="279" spans="1:11" ht="12.75" x14ac:dyDescent="0.35">
      <c r="A279" s="256"/>
      <c r="B279" s="256"/>
      <c r="C279" s="256"/>
      <c r="D279" s="256"/>
      <c r="E279" s="256"/>
      <c r="F279" s="256"/>
      <c r="G279" s="256"/>
      <c r="H279" s="256"/>
      <c r="I279" s="256"/>
      <c r="J279" s="256"/>
      <c r="K279" s="256"/>
    </row>
    <row r="280" spans="1:11" ht="12.75" x14ac:dyDescent="0.35">
      <c r="A280" s="256"/>
      <c r="B280" s="256"/>
      <c r="C280" s="256"/>
      <c r="D280" s="256"/>
      <c r="E280" s="256"/>
      <c r="F280" s="256"/>
      <c r="G280" s="256"/>
      <c r="H280" s="256"/>
      <c r="I280" s="256"/>
      <c r="J280" s="256"/>
      <c r="K280" s="256"/>
    </row>
    <row r="281" spans="1:11" ht="12.75" x14ac:dyDescent="0.35">
      <c r="A281" s="256"/>
      <c r="B281" s="256"/>
      <c r="C281" s="256"/>
      <c r="D281" s="256"/>
      <c r="E281" s="256"/>
      <c r="F281" s="256"/>
      <c r="G281" s="256"/>
      <c r="H281" s="256"/>
      <c r="I281" s="256"/>
      <c r="J281" s="256"/>
      <c r="K281" s="256"/>
    </row>
    <row r="282" spans="1:11" ht="12.75" x14ac:dyDescent="0.35">
      <c r="A282" s="256"/>
      <c r="B282" s="256"/>
      <c r="C282" s="256"/>
      <c r="D282" s="256"/>
      <c r="E282" s="256"/>
      <c r="F282" s="256"/>
      <c r="G282" s="256"/>
      <c r="H282" s="256"/>
      <c r="I282" s="256"/>
      <c r="J282" s="256"/>
      <c r="K282" s="256"/>
    </row>
    <row r="283" spans="1:11" ht="12.75" x14ac:dyDescent="0.35">
      <c r="A283" s="256"/>
      <c r="B283" s="256"/>
      <c r="C283" s="256"/>
      <c r="D283" s="256"/>
      <c r="E283" s="256"/>
      <c r="F283" s="256"/>
      <c r="G283" s="256"/>
      <c r="H283" s="256"/>
      <c r="I283" s="256"/>
      <c r="J283" s="256"/>
      <c r="K283" s="256"/>
    </row>
    <row r="284" spans="1:11" ht="12.75" x14ac:dyDescent="0.35">
      <c r="A284" s="256"/>
      <c r="B284" s="256"/>
      <c r="C284" s="256"/>
      <c r="D284" s="256"/>
      <c r="E284" s="256"/>
      <c r="F284" s="256"/>
      <c r="G284" s="256"/>
      <c r="H284" s="256"/>
      <c r="I284" s="256"/>
      <c r="J284" s="256"/>
      <c r="K284" s="256"/>
    </row>
    <row r="285" spans="1:11" ht="12.75" x14ac:dyDescent="0.35">
      <c r="A285" s="256"/>
      <c r="B285" s="256"/>
      <c r="C285" s="256"/>
      <c r="D285" s="256"/>
      <c r="E285" s="256"/>
      <c r="F285" s="256"/>
      <c r="G285" s="256"/>
      <c r="H285" s="256"/>
      <c r="I285" s="256"/>
      <c r="J285" s="256"/>
      <c r="K285" s="256"/>
    </row>
    <row r="286" spans="1:11" ht="12.75" x14ac:dyDescent="0.35">
      <c r="A286" s="256"/>
      <c r="B286" s="256"/>
      <c r="C286" s="256"/>
      <c r="D286" s="256"/>
      <c r="E286" s="256"/>
      <c r="F286" s="256"/>
      <c r="G286" s="256"/>
      <c r="H286" s="256"/>
      <c r="I286" s="256"/>
      <c r="J286" s="256"/>
      <c r="K286" s="256"/>
    </row>
    <row r="287" spans="1:11" ht="12.75" x14ac:dyDescent="0.35">
      <c r="A287" s="256"/>
      <c r="B287" s="256"/>
      <c r="C287" s="256"/>
      <c r="D287" s="256"/>
      <c r="E287" s="256"/>
      <c r="F287" s="256"/>
      <c r="G287" s="256"/>
      <c r="H287" s="256"/>
      <c r="I287" s="256"/>
      <c r="J287" s="256"/>
      <c r="K287" s="256"/>
    </row>
    <row r="288" spans="1:11" ht="12.75" x14ac:dyDescent="0.35">
      <c r="A288" s="256"/>
      <c r="B288" s="256"/>
      <c r="C288" s="256"/>
      <c r="D288" s="256"/>
      <c r="E288" s="256"/>
      <c r="F288" s="256"/>
      <c r="G288" s="256"/>
      <c r="H288" s="256"/>
      <c r="I288" s="256"/>
      <c r="J288" s="256"/>
      <c r="K288" s="256"/>
    </row>
    <row r="289" spans="1:11" ht="12.75" x14ac:dyDescent="0.35">
      <c r="A289" s="256"/>
      <c r="B289" s="256"/>
      <c r="C289" s="256"/>
      <c r="D289" s="256"/>
      <c r="E289" s="256"/>
      <c r="F289" s="256"/>
      <c r="G289" s="256"/>
      <c r="H289" s="256"/>
      <c r="I289" s="256"/>
      <c r="J289" s="256"/>
      <c r="K289" s="256"/>
    </row>
    <row r="290" spans="1:11" ht="12.75" x14ac:dyDescent="0.35">
      <c r="A290" s="256"/>
      <c r="B290" s="256"/>
      <c r="C290" s="256"/>
      <c r="D290" s="256"/>
      <c r="E290" s="256"/>
      <c r="F290" s="256"/>
      <c r="G290" s="256"/>
      <c r="H290" s="256"/>
      <c r="I290" s="256"/>
      <c r="J290" s="256"/>
      <c r="K290" s="256"/>
    </row>
    <row r="291" spans="1:11" ht="12.75" x14ac:dyDescent="0.35">
      <c r="A291" s="256"/>
      <c r="B291" s="256"/>
      <c r="C291" s="256"/>
      <c r="D291" s="256"/>
      <c r="E291" s="256"/>
      <c r="F291" s="256"/>
      <c r="G291" s="256"/>
      <c r="H291" s="256"/>
      <c r="I291" s="256"/>
      <c r="J291" s="256"/>
      <c r="K291" s="256"/>
    </row>
    <row r="292" spans="1:11" ht="12.75" x14ac:dyDescent="0.35">
      <c r="A292" s="256"/>
      <c r="B292" s="256"/>
      <c r="C292" s="256"/>
      <c r="D292" s="256"/>
      <c r="E292" s="256"/>
      <c r="F292" s="256"/>
      <c r="G292" s="256"/>
      <c r="H292" s="256"/>
      <c r="I292" s="256"/>
      <c r="J292" s="256"/>
      <c r="K292" s="256"/>
    </row>
    <row r="293" spans="1:11" ht="12.75" x14ac:dyDescent="0.35">
      <c r="A293" s="256"/>
      <c r="B293" s="256"/>
      <c r="C293" s="256"/>
      <c r="D293" s="256"/>
      <c r="E293" s="256"/>
      <c r="F293" s="256"/>
      <c r="G293" s="256"/>
      <c r="H293" s="256"/>
      <c r="I293" s="256"/>
      <c r="J293" s="256"/>
      <c r="K293" s="256"/>
    </row>
    <row r="294" spans="1:11" ht="12.75" x14ac:dyDescent="0.35">
      <c r="A294" s="256"/>
      <c r="B294" s="256"/>
      <c r="C294" s="256"/>
      <c r="D294" s="256"/>
      <c r="E294" s="256"/>
      <c r="F294" s="256"/>
      <c r="G294" s="256"/>
      <c r="H294" s="256"/>
      <c r="I294" s="256"/>
      <c r="J294" s="256"/>
      <c r="K294" s="256"/>
    </row>
    <row r="295" spans="1:11" ht="12.75" x14ac:dyDescent="0.35">
      <c r="A295" s="256"/>
      <c r="B295" s="256"/>
      <c r="C295" s="256"/>
      <c r="D295" s="256"/>
      <c r="E295" s="256"/>
      <c r="F295" s="256"/>
      <c r="G295" s="256"/>
      <c r="H295" s="256"/>
      <c r="I295" s="256"/>
      <c r="J295" s="256"/>
      <c r="K295" s="256"/>
    </row>
    <row r="296" spans="1:11" ht="12.75" x14ac:dyDescent="0.35">
      <c r="A296" s="256"/>
      <c r="B296" s="256"/>
      <c r="C296" s="256"/>
      <c r="D296" s="256"/>
      <c r="E296" s="256"/>
      <c r="F296" s="256"/>
      <c r="G296" s="256"/>
      <c r="H296" s="256"/>
      <c r="I296" s="256"/>
      <c r="J296" s="256"/>
      <c r="K296" s="256"/>
    </row>
    <row r="297" spans="1:11" ht="12.75" x14ac:dyDescent="0.35">
      <c r="A297" s="256"/>
      <c r="B297" s="256"/>
      <c r="C297" s="256"/>
      <c r="D297" s="256"/>
      <c r="E297" s="256"/>
      <c r="F297" s="256"/>
      <c r="G297" s="256"/>
      <c r="H297" s="256"/>
      <c r="I297" s="256"/>
      <c r="J297" s="256"/>
      <c r="K297" s="256"/>
    </row>
    <row r="298" spans="1:11" ht="12.75" x14ac:dyDescent="0.35">
      <c r="A298" s="256"/>
      <c r="B298" s="256"/>
      <c r="C298" s="256"/>
      <c r="D298" s="256"/>
      <c r="E298" s="256"/>
      <c r="F298" s="256"/>
      <c r="G298" s="256"/>
      <c r="H298" s="256"/>
      <c r="I298" s="256"/>
      <c r="J298" s="256"/>
      <c r="K298" s="256"/>
    </row>
    <row r="299" spans="1:11" ht="12.75" x14ac:dyDescent="0.35">
      <c r="A299" s="256"/>
      <c r="B299" s="256"/>
      <c r="C299" s="256"/>
      <c r="D299" s="256"/>
      <c r="E299" s="256"/>
      <c r="F299" s="256"/>
      <c r="G299" s="256"/>
      <c r="H299" s="256"/>
      <c r="I299" s="256"/>
      <c r="J299" s="256"/>
      <c r="K299" s="256"/>
    </row>
    <row r="300" spans="1:11" ht="12.75" x14ac:dyDescent="0.35">
      <c r="A300" s="256"/>
      <c r="B300" s="256"/>
      <c r="C300" s="256"/>
      <c r="D300" s="256"/>
      <c r="E300" s="256"/>
      <c r="F300" s="256"/>
      <c r="G300" s="256"/>
      <c r="H300" s="256"/>
      <c r="I300" s="256"/>
      <c r="J300" s="256"/>
      <c r="K300" s="256"/>
    </row>
    <row r="301" spans="1:11" ht="12.75" x14ac:dyDescent="0.35">
      <c r="A301" s="256"/>
      <c r="B301" s="256"/>
      <c r="C301" s="256"/>
      <c r="D301" s="256"/>
      <c r="E301" s="256"/>
      <c r="F301" s="256"/>
      <c r="G301" s="256"/>
      <c r="H301" s="256"/>
      <c r="I301" s="256"/>
      <c r="J301" s="256"/>
      <c r="K301" s="256"/>
    </row>
    <row r="302" spans="1:11" ht="12.75" x14ac:dyDescent="0.35">
      <c r="A302" s="256"/>
      <c r="B302" s="256"/>
      <c r="C302" s="256"/>
      <c r="D302" s="256"/>
      <c r="E302" s="256"/>
      <c r="F302" s="256"/>
      <c r="G302" s="256"/>
      <c r="H302" s="256"/>
      <c r="I302" s="256"/>
      <c r="J302" s="256"/>
      <c r="K302" s="256"/>
    </row>
    <row r="303" spans="1:11" ht="12.75" x14ac:dyDescent="0.35">
      <c r="A303" s="256"/>
      <c r="B303" s="256"/>
      <c r="C303" s="256"/>
      <c r="D303" s="256"/>
      <c r="E303" s="256"/>
      <c r="F303" s="256"/>
      <c r="G303" s="256"/>
      <c r="H303" s="256"/>
      <c r="I303" s="256"/>
      <c r="J303" s="256"/>
      <c r="K303" s="256"/>
    </row>
    <row r="304" spans="1:11" ht="12.75" x14ac:dyDescent="0.35">
      <c r="A304" s="256"/>
      <c r="B304" s="256"/>
      <c r="C304" s="256"/>
      <c r="D304" s="256"/>
      <c r="E304" s="256"/>
      <c r="F304" s="256"/>
      <c r="G304" s="256"/>
      <c r="H304" s="256"/>
      <c r="I304" s="256"/>
      <c r="J304" s="256"/>
      <c r="K304" s="256"/>
    </row>
    <row r="305" spans="1:11" ht="12.75" x14ac:dyDescent="0.35">
      <c r="A305" s="256"/>
      <c r="B305" s="256"/>
      <c r="C305" s="256"/>
      <c r="D305" s="256"/>
      <c r="E305" s="256"/>
      <c r="F305" s="256"/>
      <c r="G305" s="256"/>
      <c r="H305" s="256"/>
      <c r="I305" s="256"/>
      <c r="J305" s="256"/>
      <c r="K305" s="256"/>
    </row>
    <row r="306" spans="1:11" ht="12.75" x14ac:dyDescent="0.35">
      <c r="A306" s="256"/>
      <c r="B306" s="256"/>
      <c r="C306" s="256"/>
      <c r="D306" s="256"/>
      <c r="E306" s="256"/>
      <c r="F306" s="256"/>
      <c r="G306" s="256"/>
      <c r="H306" s="256"/>
      <c r="I306" s="256"/>
      <c r="J306" s="256"/>
      <c r="K306" s="256"/>
    </row>
    <row r="307" spans="1:11" ht="12.75" x14ac:dyDescent="0.35">
      <c r="A307" s="256"/>
      <c r="B307" s="256"/>
      <c r="C307" s="256"/>
      <c r="D307" s="256"/>
      <c r="E307" s="256"/>
      <c r="F307" s="256"/>
      <c r="G307" s="256"/>
      <c r="H307" s="256"/>
      <c r="I307" s="256"/>
      <c r="J307" s="256"/>
      <c r="K307" s="256"/>
    </row>
    <row r="308" spans="1:11" ht="12.75" x14ac:dyDescent="0.35">
      <c r="A308" s="256"/>
      <c r="B308" s="256"/>
      <c r="C308" s="256"/>
      <c r="D308" s="256"/>
      <c r="E308" s="256"/>
      <c r="F308" s="256"/>
      <c r="G308" s="256"/>
      <c r="H308" s="256"/>
      <c r="I308" s="256"/>
      <c r="J308" s="256"/>
      <c r="K308" s="256"/>
    </row>
    <row r="309" spans="1:11" ht="12.75" x14ac:dyDescent="0.35">
      <c r="A309" s="256"/>
      <c r="B309" s="256"/>
      <c r="C309" s="256"/>
      <c r="D309" s="256"/>
      <c r="E309" s="256"/>
      <c r="F309" s="256"/>
      <c r="G309" s="256"/>
      <c r="H309" s="256"/>
      <c r="I309" s="256"/>
      <c r="J309" s="256"/>
      <c r="K309" s="256"/>
    </row>
    <row r="310" spans="1:11" ht="12.75" x14ac:dyDescent="0.35">
      <c r="A310" s="256"/>
      <c r="B310" s="256"/>
      <c r="C310" s="256"/>
      <c r="D310" s="256"/>
      <c r="E310" s="256"/>
      <c r="F310" s="256"/>
      <c r="G310" s="256"/>
      <c r="H310" s="256"/>
      <c r="I310" s="256"/>
      <c r="J310" s="256"/>
      <c r="K310" s="256"/>
    </row>
    <row r="311" spans="1:11" ht="12.75" x14ac:dyDescent="0.35">
      <c r="A311" s="256"/>
      <c r="B311" s="256"/>
      <c r="C311" s="256"/>
      <c r="D311" s="256"/>
      <c r="E311" s="256"/>
      <c r="F311" s="256"/>
      <c r="G311" s="256"/>
      <c r="H311" s="256"/>
      <c r="I311" s="256"/>
      <c r="J311" s="256"/>
      <c r="K311" s="256"/>
    </row>
    <row r="312" spans="1:11" ht="12.75" x14ac:dyDescent="0.35">
      <c r="A312" s="256"/>
      <c r="B312" s="256"/>
      <c r="C312" s="256"/>
      <c r="D312" s="256"/>
      <c r="E312" s="256"/>
      <c r="F312" s="256"/>
      <c r="G312" s="256"/>
      <c r="H312" s="256"/>
      <c r="I312" s="256"/>
      <c r="J312" s="256"/>
      <c r="K312" s="256"/>
    </row>
    <row r="313" spans="1:11" ht="12.75" x14ac:dyDescent="0.35">
      <c r="A313" s="256"/>
      <c r="B313" s="256"/>
      <c r="C313" s="256"/>
      <c r="D313" s="256"/>
      <c r="E313" s="256"/>
      <c r="F313" s="256"/>
      <c r="G313" s="256"/>
      <c r="H313" s="256"/>
      <c r="I313" s="256"/>
      <c r="J313" s="256"/>
      <c r="K313" s="256"/>
    </row>
    <row r="314" spans="1:11" ht="12.75" x14ac:dyDescent="0.35">
      <c r="A314" s="256"/>
      <c r="B314" s="256"/>
      <c r="C314" s="256"/>
      <c r="D314" s="256"/>
      <c r="E314" s="256"/>
      <c r="F314" s="256"/>
      <c r="G314" s="256"/>
      <c r="H314" s="256"/>
      <c r="I314" s="256"/>
      <c r="J314" s="256"/>
      <c r="K314" s="256"/>
    </row>
    <row r="315" spans="1:11" ht="12.75" x14ac:dyDescent="0.35">
      <c r="A315" s="256"/>
      <c r="B315" s="256"/>
      <c r="C315" s="256"/>
      <c r="D315" s="256"/>
      <c r="E315" s="256"/>
      <c r="F315" s="256"/>
      <c r="G315" s="256"/>
      <c r="H315" s="256"/>
      <c r="I315" s="256"/>
      <c r="J315" s="256"/>
      <c r="K315" s="256"/>
    </row>
    <row r="316" spans="1:11" ht="12.75" x14ac:dyDescent="0.35">
      <c r="A316" s="256"/>
      <c r="B316" s="256"/>
      <c r="C316" s="256"/>
      <c r="D316" s="256"/>
      <c r="E316" s="256"/>
      <c r="F316" s="256"/>
      <c r="G316" s="256"/>
      <c r="H316" s="256"/>
      <c r="I316" s="256"/>
      <c r="J316" s="256"/>
      <c r="K316" s="256"/>
    </row>
    <row r="317" spans="1:11" ht="12.75" x14ac:dyDescent="0.35">
      <c r="A317" s="256"/>
      <c r="B317" s="256"/>
      <c r="C317" s="256"/>
      <c r="D317" s="256"/>
      <c r="E317" s="256"/>
      <c r="F317" s="256"/>
      <c r="G317" s="256"/>
      <c r="H317" s="256"/>
      <c r="I317" s="256"/>
      <c r="J317" s="256"/>
      <c r="K317" s="256"/>
    </row>
    <row r="318" spans="1:11" ht="12.75" x14ac:dyDescent="0.35">
      <c r="A318" s="256"/>
      <c r="B318" s="256"/>
      <c r="C318" s="256"/>
      <c r="D318" s="256"/>
      <c r="E318" s="256"/>
      <c r="F318" s="256"/>
      <c r="G318" s="256"/>
      <c r="H318" s="256"/>
      <c r="I318" s="256"/>
      <c r="J318" s="256"/>
      <c r="K318" s="256"/>
    </row>
    <row r="319" spans="1:11" ht="12.75" x14ac:dyDescent="0.35">
      <c r="A319" s="256"/>
      <c r="B319" s="256"/>
      <c r="C319" s="256"/>
      <c r="D319" s="256"/>
      <c r="E319" s="256"/>
      <c r="F319" s="256"/>
      <c r="G319" s="256"/>
      <c r="H319" s="256"/>
      <c r="I319" s="256"/>
      <c r="J319" s="256"/>
      <c r="K319" s="256"/>
    </row>
    <row r="320" spans="1:11" ht="12.75" x14ac:dyDescent="0.35">
      <c r="A320" s="256"/>
      <c r="B320" s="256"/>
      <c r="C320" s="256"/>
      <c r="D320" s="256"/>
      <c r="E320" s="256"/>
      <c r="F320" s="256"/>
      <c r="G320" s="256"/>
      <c r="H320" s="256"/>
      <c r="I320" s="256"/>
      <c r="J320" s="256"/>
      <c r="K320" s="256"/>
    </row>
    <row r="321" spans="1:11" ht="12.75" x14ac:dyDescent="0.35">
      <c r="A321" s="256"/>
      <c r="B321" s="256"/>
      <c r="C321" s="256"/>
      <c r="D321" s="256"/>
      <c r="E321" s="256"/>
      <c r="F321" s="256"/>
      <c r="G321" s="256"/>
      <c r="H321" s="256"/>
      <c r="I321" s="256"/>
      <c r="J321" s="256"/>
      <c r="K321" s="256"/>
    </row>
    <row r="322" spans="1:11" ht="12.75" x14ac:dyDescent="0.35">
      <c r="A322" s="256"/>
      <c r="B322" s="256"/>
      <c r="C322" s="256"/>
      <c r="D322" s="256"/>
      <c r="E322" s="256"/>
      <c r="F322" s="256"/>
      <c r="G322" s="256"/>
      <c r="H322" s="256"/>
      <c r="I322" s="256"/>
      <c r="J322" s="256"/>
      <c r="K322" s="256"/>
    </row>
    <row r="323" spans="1:11" ht="12.75" x14ac:dyDescent="0.35">
      <c r="A323" s="256"/>
      <c r="B323" s="256"/>
      <c r="C323" s="256"/>
      <c r="D323" s="256"/>
      <c r="E323" s="256"/>
      <c r="F323" s="256"/>
      <c r="G323" s="256"/>
      <c r="H323" s="256"/>
      <c r="I323" s="256"/>
      <c r="J323" s="256"/>
      <c r="K323" s="256"/>
    </row>
    <row r="324" spans="1:11" ht="12.75" x14ac:dyDescent="0.35">
      <c r="A324" s="256"/>
      <c r="B324" s="256"/>
      <c r="C324" s="256"/>
      <c r="D324" s="256"/>
      <c r="E324" s="256"/>
      <c r="F324" s="256"/>
      <c r="G324" s="256"/>
      <c r="H324" s="256"/>
      <c r="I324" s="256"/>
      <c r="J324" s="256"/>
      <c r="K324" s="256"/>
    </row>
    <row r="325" spans="1:11" ht="12.75" x14ac:dyDescent="0.35">
      <c r="A325" s="256"/>
      <c r="B325" s="256"/>
      <c r="C325" s="256"/>
      <c r="D325" s="256"/>
      <c r="E325" s="256"/>
      <c r="F325" s="256"/>
      <c r="G325" s="256"/>
      <c r="H325" s="256"/>
      <c r="I325" s="256"/>
      <c r="J325" s="256"/>
      <c r="K325" s="256"/>
    </row>
    <row r="326" spans="1:11" ht="12.75" x14ac:dyDescent="0.35">
      <c r="A326" s="256"/>
      <c r="B326" s="256"/>
      <c r="C326" s="256"/>
      <c r="D326" s="256"/>
      <c r="E326" s="256"/>
      <c r="F326" s="256"/>
      <c r="G326" s="256"/>
      <c r="H326" s="256"/>
      <c r="I326" s="256"/>
      <c r="J326" s="256"/>
      <c r="K326" s="256"/>
    </row>
    <row r="327" spans="1:11" ht="12.75" x14ac:dyDescent="0.35">
      <c r="A327" s="256"/>
      <c r="B327" s="256"/>
      <c r="C327" s="256"/>
      <c r="D327" s="256"/>
      <c r="E327" s="256"/>
      <c r="F327" s="256"/>
      <c r="G327" s="256"/>
      <c r="H327" s="256"/>
      <c r="I327" s="256"/>
      <c r="J327" s="256"/>
      <c r="K327" s="256"/>
    </row>
    <row r="328" spans="1:11" ht="12.75" x14ac:dyDescent="0.35">
      <c r="A328" s="256"/>
      <c r="B328" s="256"/>
      <c r="C328" s="256"/>
      <c r="D328" s="256"/>
      <c r="E328" s="256"/>
      <c r="F328" s="256"/>
      <c r="G328" s="256"/>
      <c r="H328" s="256"/>
      <c r="I328" s="256"/>
      <c r="J328" s="256"/>
      <c r="K328" s="256"/>
    </row>
    <row r="329" spans="1:11" ht="12.75" x14ac:dyDescent="0.35">
      <c r="A329" s="256"/>
      <c r="B329" s="256"/>
      <c r="C329" s="256"/>
      <c r="D329" s="256"/>
      <c r="E329" s="256"/>
      <c r="F329" s="256"/>
      <c r="G329" s="256"/>
      <c r="H329" s="256"/>
      <c r="I329" s="256"/>
      <c r="J329" s="256"/>
      <c r="K329" s="256"/>
    </row>
    <row r="330" spans="1:11" ht="12.75" x14ac:dyDescent="0.35">
      <c r="A330" s="256"/>
      <c r="B330" s="256"/>
      <c r="C330" s="256"/>
      <c r="D330" s="256"/>
      <c r="E330" s="256"/>
      <c r="F330" s="256"/>
      <c r="G330" s="256"/>
      <c r="H330" s="256"/>
      <c r="I330" s="256"/>
      <c r="J330" s="256"/>
      <c r="K330" s="256"/>
    </row>
    <row r="331" spans="1:11" ht="12.75" x14ac:dyDescent="0.35">
      <c r="A331" s="256"/>
      <c r="B331" s="256"/>
      <c r="C331" s="256"/>
      <c r="D331" s="256"/>
      <c r="E331" s="256"/>
      <c r="F331" s="256"/>
      <c r="G331" s="256"/>
      <c r="H331" s="256"/>
      <c r="I331" s="256"/>
      <c r="J331" s="256"/>
      <c r="K331" s="256"/>
    </row>
    <row r="332" spans="1:11" ht="12.75" x14ac:dyDescent="0.35">
      <c r="A332" s="256"/>
      <c r="B332" s="256"/>
      <c r="C332" s="256"/>
      <c r="D332" s="256"/>
      <c r="E332" s="256"/>
      <c r="F332" s="256"/>
      <c r="G332" s="256"/>
      <c r="H332" s="256"/>
      <c r="I332" s="256"/>
      <c r="J332" s="256"/>
      <c r="K332" s="256"/>
    </row>
    <row r="333" spans="1:11" ht="12.75" x14ac:dyDescent="0.35">
      <c r="A333" s="256"/>
      <c r="B333" s="256"/>
      <c r="C333" s="256"/>
      <c r="D333" s="256"/>
      <c r="E333" s="256"/>
      <c r="F333" s="256"/>
      <c r="G333" s="256"/>
      <c r="H333" s="256"/>
      <c r="I333" s="256"/>
      <c r="J333" s="256"/>
      <c r="K333" s="256"/>
    </row>
    <row r="334" spans="1:11" ht="12.75" x14ac:dyDescent="0.35">
      <c r="A334" s="256"/>
      <c r="B334" s="256"/>
      <c r="C334" s="256"/>
      <c r="D334" s="256"/>
      <c r="E334" s="256"/>
      <c r="F334" s="256"/>
      <c r="G334" s="256"/>
      <c r="H334" s="256"/>
      <c r="I334" s="256"/>
      <c r="J334" s="256"/>
      <c r="K334" s="256"/>
    </row>
    <row r="335" spans="1:11" ht="12.75" x14ac:dyDescent="0.35">
      <c r="A335" s="256"/>
      <c r="B335" s="256"/>
      <c r="C335" s="256"/>
      <c r="D335" s="256"/>
      <c r="E335" s="256"/>
      <c r="F335" s="256"/>
      <c r="G335" s="256"/>
      <c r="H335" s="256"/>
      <c r="I335" s="256"/>
      <c r="J335" s="256"/>
      <c r="K335" s="256"/>
    </row>
    <row r="336" spans="1:11" ht="12.75" x14ac:dyDescent="0.35">
      <c r="A336" s="256"/>
      <c r="B336" s="256"/>
      <c r="C336" s="256"/>
      <c r="D336" s="256"/>
      <c r="E336" s="256"/>
      <c r="F336" s="256"/>
      <c r="G336" s="256"/>
      <c r="H336" s="256"/>
      <c r="I336" s="256"/>
      <c r="J336" s="256"/>
      <c r="K336" s="256"/>
    </row>
    <row r="337" spans="1:11" ht="12.75" x14ac:dyDescent="0.35">
      <c r="A337" s="256"/>
      <c r="B337" s="256"/>
      <c r="C337" s="256"/>
      <c r="D337" s="256"/>
      <c r="E337" s="256"/>
      <c r="F337" s="256"/>
      <c r="G337" s="256"/>
      <c r="H337" s="256"/>
      <c r="I337" s="256"/>
      <c r="J337" s="256"/>
      <c r="K337" s="256"/>
    </row>
    <row r="338" spans="1:11" ht="12.75" x14ac:dyDescent="0.35">
      <c r="A338" s="256"/>
      <c r="B338" s="256"/>
      <c r="C338" s="256"/>
      <c r="D338" s="256"/>
      <c r="E338" s="256"/>
      <c r="F338" s="256"/>
      <c r="G338" s="256"/>
      <c r="H338" s="256"/>
      <c r="I338" s="256"/>
      <c r="J338" s="256"/>
      <c r="K338" s="256"/>
    </row>
    <row r="339" spans="1:11" ht="12.75" x14ac:dyDescent="0.35">
      <c r="A339" s="256"/>
      <c r="B339" s="256"/>
      <c r="C339" s="256"/>
      <c r="D339" s="256"/>
      <c r="E339" s="256"/>
      <c r="F339" s="256"/>
      <c r="G339" s="256"/>
      <c r="H339" s="256"/>
      <c r="I339" s="256"/>
      <c r="J339" s="256"/>
      <c r="K339" s="256"/>
    </row>
    <row r="340" spans="1:11" ht="12.75" x14ac:dyDescent="0.35">
      <c r="A340" s="256"/>
      <c r="B340" s="256"/>
      <c r="C340" s="256"/>
      <c r="D340" s="256"/>
      <c r="E340" s="256"/>
      <c r="F340" s="256"/>
      <c r="G340" s="256"/>
      <c r="H340" s="256"/>
      <c r="I340" s="256"/>
      <c r="J340" s="256"/>
      <c r="K340" s="256"/>
    </row>
    <row r="341" spans="1:11" ht="12.75" x14ac:dyDescent="0.35">
      <c r="A341" s="256"/>
      <c r="B341" s="256"/>
      <c r="C341" s="256"/>
      <c r="D341" s="256"/>
      <c r="E341" s="256"/>
      <c r="F341" s="256"/>
      <c r="G341" s="256"/>
      <c r="H341" s="256"/>
      <c r="I341" s="256"/>
      <c r="J341" s="256"/>
      <c r="K341" s="256"/>
    </row>
    <row r="342" spans="1:11" ht="12.75" x14ac:dyDescent="0.35">
      <c r="A342" s="256"/>
      <c r="B342" s="256"/>
      <c r="C342" s="256"/>
      <c r="D342" s="256"/>
      <c r="E342" s="256"/>
      <c r="F342" s="256"/>
      <c r="G342" s="256"/>
      <c r="H342" s="256"/>
      <c r="I342" s="256"/>
      <c r="J342" s="256"/>
      <c r="K342" s="256"/>
    </row>
    <row r="343" spans="1:11" ht="12.75" x14ac:dyDescent="0.35">
      <c r="A343" s="256"/>
      <c r="B343" s="256"/>
      <c r="C343" s="256"/>
      <c r="D343" s="256"/>
      <c r="E343" s="256"/>
      <c r="F343" s="256"/>
      <c r="G343" s="256"/>
      <c r="H343" s="256"/>
      <c r="I343" s="256"/>
      <c r="J343" s="256"/>
      <c r="K343" s="256"/>
    </row>
    <row r="344" spans="1:11" ht="12.75" x14ac:dyDescent="0.35">
      <c r="A344" s="256"/>
      <c r="B344" s="256"/>
      <c r="C344" s="256"/>
      <c r="D344" s="256"/>
      <c r="E344" s="256"/>
      <c r="F344" s="256"/>
      <c r="G344" s="256"/>
      <c r="H344" s="256"/>
      <c r="I344" s="256"/>
      <c r="J344" s="256"/>
      <c r="K344" s="256"/>
    </row>
    <row r="345" spans="1:11" ht="12.75" x14ac:dyDescent="0.35">
      <c r="A345" s="256"/>
      <c r="B345" s="256"/>
      <c r="C345" s="256"/>
      <c r="D345" s="256"/>
      <c r="E345" s="256"/>
      <c r="F345" s="256"/>
      <c r="G345" s="256"/>
      <c r="H345" s="256"/>
      <c r="I345" s="256"/>
      <c r="J345" s="256"/>
      <c r="K345" s="256"/>
    </row>
    <row r="346" spans="1:11" ht="12.75" x14ac:dyDescent="0.35">
      <c r="A346" s="256"/>
      <c r="B346" s="256"/>
      <c r="C346" s="256"/>
      <c r="D346" s="256"/>
      <c r="E346" s="256"/>
      <c r="F346" s="256"/>
      <c r="G346" s="256"/>
      <c r="H346" s="256"/>
      <c r="I346" s="256"/>
      <c r="J346" s="256"/>
      <c r="K346" s="256"/>
    </row>
    <row r="347" spans="1:11" ht="12.75" x14ac:dyDescent="0.35">
      <c r="A347" s="256"/>
      <c r="B347" s="256"/>
      <c r="C347" s="256"/>
      <c r="D347" s="256"/>
      <c r="E347" s="256"/>
      <c r="F347" s="256"/>
      <c r="G347" s="256"/>
      <c r="H347" s="256"/>
      <c r="I347" s="256"/>
      <c r="J347" s="256"/>
      <c r="K347" s="256"/>
    </row>
    <row r="348" spans="1:11" ht="12.75" x14ac:dyDescent="0.35">
      <c r="A348" s="256"/>
      <c r="B348" s="256"/>
      <c r="C348" s="256"/>
      <c r="D348" s="256"/>
      <c r="E348" s="256"/>
      <c r="F348" s="256"/>
      <c r="G348" s="256"/>
      <c r="H348" s="256"/>
      <c r="I348" s="256"/>
      <c r="J348" s="256"/>
      <c r="K348" s="256"/>
    </row>
    <row r="349" spans="1:11" ht="12.75" x14ac:dyDescent="0.35">
      <c r="A349" s="256"/>
      <c r="B349" s="256"/>
      <c r="C349" s="256"/>
      <c r="D349" s="256"/>
      <c r="E349" s="256"/>
      <c r="F349" s="256"/>
      <c r="G349" s="256"/>
      <c r="H349" s="256"/>
      <c r="I349" s="256"/>
      <c r="J349" s="256"/>
      <c r="K349" s="256"/>
    </row>
    <row r="350" spans="1:11" ht="12.75" x14ac:dyDescent="0.35">
      <c r="A350" s="256"/>
      <c r="B350" s="256"/>
      <c r="C350" s="256"/>
      <c r="D350" s="256"/>
      <c r="E350" s="256"/>
      <c r="F350" s="256"/>
      <c r="G350" s="256"/>
      <c r="H350" s="256"/>
      <c r="I350" s="256"/>
      <c r="J350" s="256"/>
      <c r="K350" s="256"/>
    </row>
    <row r="351" spans="1:11" ht="12.75" x14ac:dyDescent="0.35">
      <c r="A351" s="256"/>
      <c r="B351" s="256"/>
      <c r="C351" s="256"/>
      <c r="D351" s="256"/>
      <c r="E351" s="256"/>
      <c r="F351" s="256"/>
      <c r="G351" s="256"/>
      <c r="H351" s="256"/>
      <c r="I351" s="256"/>
      <c r="J351" s="256"/>
      <c r="K351" s="256"/>
    </row>
    <row r="352" spans="1:11" ht="12.75" x14ac:dyDescent="0.35">
      <c r="A352" s="256"/>
      <c r="B352" s="256"/>
      <c r="C352" s="256"/>
      <c r="D352" s="256"/>
      <c r="E352" s="256"/>
      <c r="F352" s="256"/>
      <c r="G352" s="256"/>
      <c r="H352" s="256"/>
      <c r="I352" s="256"/>
      <c r="J352" s="256"/>
      <c r="K352" s="256"/>
    </row>
    <row r="353" spans="1:11" ht="12.75" x14ac:dyDescent="0.35">
      <c r="A353" s="256"/>
      <c r="B353" s="256"/>
      <c r="C353" s="256"/>
      <c r="D353" s="256"/>
      <c r="E353" s="256"/>
      <c r="F353" s="256"/>
      <c r="G353" s="256"/>
      <c r="H353" s="256"/>
      <c r="I353" s="256"/>
      <c r="J353" s="256"/>
      <c r="K353" s="256"/>
    </row>
    <row r="354" spans="1:11" ht="12.75" x14ac:dyDescent="0.35">
      <c r="A354" s="256"/>
      <c r="B354" s="256"/>
      <c r="C354" s="256"/>
      <c r="D354" s="256"/>
      <c r="E354" s="256"/>
      <c r="F354" s="256"/>
      <c r="G354" s="256"/>
      <c r="H354" s="256"/>
      <c r="I354" s="256"/>
      <c r="J354" s="256"/>
      <c r="K354" s="256"/>
    </row>
    <row r="355" spans="1:11" ht="12.75" x14ac:dyDescent="0.35">
      <c r="A355" s="256"/>
      <c r="B355" s="256"/>
      <c r="C355" s="256"/>
      <c r="D355" s="256"/>
      <c r="E355" s="256"/>
      <c r="F355" s="256"/>
      <c r="G355" s="256"/>
      <c r="H355" s="256"/>
      <c r="I355" s="256"/>
      <c r="J355" s="256"/>
      <c r="K355" s="256"/>
    </row>
    <row r="356" spans="1:11" ht="12.75" x14ac:dyDescent="0.35">
      <c r="A356" s="256"/>
      <c r="B356" s="256"/>
      <c r="C356" s="256"/>
      <c r="D356" s="256"/>
      <c r="E356" s="256"/>
      <c r="F356" s="256"/>
      <c r="G356" s="256"/>
      <c r="H356" s="256"/>
      <c r="I356" s="256"/>
      <c r="J356" s="256"/>
      <c r="K356" s="256"/>
    </row>
    <row r="357" spans="1:11" ht="12.75" x14ac:dyDescent="0.35">
      <c r="A357" s="256"/>
      <c r="B357" s="256"/>
      <c r="C357" s="256"/>
      <c r="D357" s="256"/>
      <c r="E357" s="256"/>
      <c r="F357" s="256"/>
      <c r="G357" s="256"/>
      <c r="H357" s="256"/>
      <c r="I357" s="256"/>
      <c r="J357" s="256"/>
      <c r="K357" s="256"/>
    </row>
    <row r="358" spans="1:11" ht="12.75" x14ac:dyDescent="0.35">
      <c r="A358" s="256"/>
      <c r="B358" s="256"/>
      <c r="C358" s="256"/>
      <c r="D358" s="256"/>
      <c r="E358" s="256"/>
      <c r="F358" s="256"/>
      <c r="G358" s="256"/>
      <c r="H358" s="256"/>
      <c r="I358" s="256"/>
      <c r="J358" s="256"/>
      <c r="K358" s="256"/>
    </row>
    <row r="359" spans="1:11" ht="12.75" x14ac:dyDescent="0.35">
      <c r="A359" s="256"/>
      <c r="B359" s="256"/>
      <c r="C359" s="256"/>
      <c r="D359" s="256"/>
      <c r="E359" s="256"/>
      <c r="F359" s="256"/>
      <c r="G359" s="256"/>
      <c r="H359" s="256"/>
      <c r="I359" s="256"/>
      <c r="J359" s="256"/>
      <c r="K359" s="256"/>
    </row>
    <row r="360" spans="1:11" ht="12.75" x14ac:dyDescent="0.35">
      <c r="A360" s="256"/>
      <c r="B360" s="256"/>
      <c r="C360" s="256"/>
      <c r="D360" s="256"/>
      <c r="E360" s="256"/>
      <c r="F360" s="256"/>
      <c r="G360" s="256"/>
      <c r="H360" s="256"/>
      <c r="I360" s="256"/>
      <c r="J360" s="256"/>
      <c r="K360" s="256"/>
    </row>
    <row r="361" spans="1:11" ht="12.75" x14ac:dyDescent="0.35">
      <c r="A361" s="256"/>
      <c r="B361" s="256"/>
      <c r="C361" s="256"/>
      <c r="D361" s="256"/>
      <c r="E361" s="256"/>
      <c r="F361" s="256"/>
      <c r="G361" s="256"/>
      <c r="H361" s="256"/>
      <c r="I361" s="256"/>
      <c r="J361" s="256"/>
      <c r="K361" s="256"/>
    </row>
    <row r="362" spans="1:11" ht="12.75" x14ac:dyDescent="0.35">
      <c r="A362" s="256"/>
      <c r="B362" s="256"/>
      <c r="C362" s="256"/>
      <c r="D362" s="256"/>
      <c r="E362" s="256"/>
      <c r="F362" s="256"/>
      <c r="G362" s="256"/>
      <c r="H362" s="256"/>
      <c r="I362" s="256"/>
      <c r="J362" s="256"/>
      <c r="K362" s="256"/>
    </row>
    <row r="363" spans="1:11" ht="12.75" x14ac:dyDescent="0.35">
      <c r="A363" s="256"/>
      <c r="B363" s="256"/>
      <c r="C363" s="256"/>
      <c r="D363" s="256"/>
      <c r="E363" s="256"/>
      <c r="F363" s="256"/>
      <c r="G363" s="256"/>
      <c r="H363" s="256"/>
      <c r="I363" s="256"/>
      <c r="J363" s="256"/>
      <c r="K363" s="256"/>
    </row>
    <row r="364" spans="1:11" ht="12.75" x14ac:dyDescent="0.35">
      <c r="A364" s="256"/>
      <c r="B364" s="256"/>
      <c r="C364" s="256"/>
      <c r="D364" s="256"/>
      <c r="E364" s="256"/>
      <c r="F364" s="256"/>
      <c r="G364" s="256"/>
      <c r="H364" s="256"/>
      <c r="I364" s="256"/>
      <c r="J364" s="256"/>
      <c r="K364" s="256"/>
    </row>
    <row r="365" spans="1:11" ht="12.75" x14ac:dyDescent="0.35">
      <c r="A365" s="256"/>
      <c r="B365" s="256"/>
      <c r="C365" s="256"/>
      <c r="D365" s="256"/>
      <c r="E365" s="256"/>
      <c r="F365" s="256"/>
      <c r="G365" s="256"/>
      <c r="H365" s="256"/>
      <c r="I365" s="256"/>
      <c r="J365" s="256"/>
      <c r="K365" s="256"/>
    </row>
    <row r="366" spans="1:11" ht="12.75" x14ac:dyDescent="0.35">
      <c r="A366" s="256"/>
      <c r="B366" s="256"/>
      <c r="C366" s="256"/>
      <c r="D366" s="256"/>
      <c r="E366" s="256"/>
      <c r="F366" s="256"/>
      <c r="G366" s="256"/>
      <c r="H366" s="256"/>
      <c r="I366" s="256"/>
      <c r="J366" s="256"/>
      <c r="K366" s="256"/>
    </row>
    <row r="367" spans="1:11" ht="12.75" x14ac:dyDescent="0.35">
      <c r="A367" s="256"/>
      <c r="B367" s="256"/>
      <c r="C367" s="256"/>
      <c r="D367" s="256"/>
      <c r="E367" s="256"/>
      <c r="F367" s="256"/>
      <c r="G367" s="256"/>
      <c r="H367" s="256"/>
      <c r="I367" s="256"/>
      <c r="J367" s="256"/>
      <c r="K367" s="256"/>
    </row>
    <row r="368" spans="1:11" ht="12.75" x14ac:dyDescent="0.35">
      <c r="A368" s="256"/>
      <c r="B368" s="256"/>
      <c r="C368" s="256"/>
      <c r="D368" s="256"/>
      <c r="E368" s="256"/>
      <c r="F368" s="256"/>
      <c r="G368" s="256"/>
      <c r="H368" s="256"/>
      <c r="I368" s="256"/>
      <c r="J368" s="256"/>
      <c r="K368" s="256"/>
    </row>
    <row r="369" spans="1:11" ht="12.75" x14ac:dyDescent="0.35">
      <c r="A369" s="256"/>
      <c r="B369" s="256"/>
      <c r="C369" s="256"/>
      <c r="D369" s="256"/>
      <c r="E369" s="256"/>
      <c r="F369" s="256"/>
      <c r="G369" s="256"/>
      <c r="H369" s="256"/>
      <c r="I369" s="256"/>
      <c r="J369" s="256"/>
      <c r="K369" s="256"/>
    </row>
    <row r="370" spans="1:11" ht="12.75" x14ac:dyDescent="0.35">
      <c r="A370" s="256"/>
      <c r="B370" s="256"/>
      <c r="C370" s="256"/>
      <c r="D370" s="256"/>
      <c r="E370" s="256"/>
      <c r="F370" s="256"/>
      <c r="G370" s="256"/>
      <c r="H370" s="256"/>
      <c r="I370" s="256"/>
      <c r="J370" s="256"/>
      <c r="K370" s="256"/>
    </row>
    <row r="371" spans="1:11" ht="12.75" x14ac:dyDescent="0.35">
      <c r="A371" s="256"/>
      <c r="B371" s="256"/>
      <c r="C371" s="256"/>
      <c r="D371" s="256"/>
      <c r="E371" s="256"/>
      <c r="F371" s="256"/>
      <c r="G371" s="256"/>
      <c r="H371" s="256"/>
      <c r="I371" s="256"/>
      <c r="J371" s="256"/>
      <c r="K371" s="256"/>
    </row>
    <row r="372" spans="1:11" ht="12.75" x14ac:dyDescent="0.35">
      <c r="A372" s="256"/>
      <c r="B372" s="256"/>
      <c r="C372" s="256"/>
      <c r="D372" s="256"/>
      <c r="E372" s="256"/>
      <c r="F372" s="256"/>
      <c r="G372" s="256"/>
      <c r="H372" s="256"/>
      <c r="I372" s="256"/>
      <c r="J372" s="256"/>
      <c r="K372" s="256"/>
    </row>
    <row r="373" spans="1:11" ht="12.75" x14ac:dyDescent="0.35">
      <c r="A373" s="256"/>
      <c r="B373" s="256"/>
      <c r="C373" s="256"/>
      <c r="D373" s="256"/>
      <c r="E373" s="256"/>
      <c r="F373" s="256"/>
      <c r="G373" s="256"/>
      <c r="H373" s="256"/>
      <c r="I373" s="256"/>
      <c r="J373" s="256"/>
      <c r="K373" s="256"/>
    </row>
    <row r="374" spans="1:11" ht="12.75" x14ac:dyDescent="0.35">
      <c r="A374" s="256"/>
      <c r="B374" s="256"/>
      <c r="C374" s="256"/>
      <c r="D374" s="256"/>
      <c r="E374" s="256"/>
      <c r="F374" s="256"/>
      <c r="G374" s="256"/>
      <c r="H374" s="256"/>
      <c r="I374" s="256"/>
      <c r="J374" s="256"/>
      <c r="K374" s="256"/>
    </row>
    <row r="375" spans="1:11" ht="12.75" x14ac:dyDescent="0.35">
      <c r="A375" s="256"/>
      <c r="B375" s="256"/>
      <c r="C375" s="256"/>
      <c r="D375" s="256"/>
      <c r="E375" s="256"/>
      <c r="F375" s="256"/>
      <c r="G375" s="256"/>
      <c r="H375" s="256"/>
      <c r="I375" s="256"/>
      <c r="J375" s="256"/>
      <c r="K375" s="256"/>
    </row>
    <row r="376" spans="1:11" ht="12.75" x14ac:dyDescent="0.35">
      <c r="A376" s="256"/>
      <c r="B376" s="256"/>
      <c r="C376" s="256"/>
      <c r="D376" s="256"/>
      <c r="E376" s="256"/>
      <c r="F376" s="256"/>
      <c r="G376" s="256"/>
      <c r="H376" s="256"/>
      <c r="I376" s="256"/>
      <c r="J376" s="256"/>
      <c r="K376" s="256"/>
    </row>
    <row r="377" spans="1:11" ht="12.75" x14ac:dyDescent="0.35">
      <c r="A377" s="256"/>
      <c r="B377" s="256"/>
      <c r="C377" s="256"/>
      <c r="D377" s="256"/>
      <c r="E377" s="256"/>
      <c r="F377" s="256"/>
      <c r="G377" s="256"/>
      <c r="H377" s="256"/>
      <c r="I377" s="256"/>
      <c r="J377" s="256"/>
      <c r="K377" s="256"/>
    </row>
    <row r="378" spans="1:11" ht="12.75" x14ac:dyDescent="0.35">
      <c r="A378" s="256"/>
      <c r="B378" s="256"/>
      <c r="C378" s="256"/>
      <c r="D378" s="256"/>
      <c r="E378" s="256"/>
      <c r="F378" s="256"/>
      <c r="G378" s="256"/>
      <c r="H378" s="256"/>
      <c r="I378" s="256"/>
      <c r="J378" s="256"/>
      <c r="K378" s="256"/>
    </row>
    <row r="379" spans="1:11" ht="12.75" x14ac:dyDescent="0.35">
      <c r="A379" s="256"/>
      <c r="B379" s="256"/>
      <c r="C379" s="256"/>
      <c r="D379" s="256"/>
      <c r="E379" s="256"/>
      <c r="F379" s="256"/>
      <c r="G379" s="256"/>
      <c r="H379" s="256"/>
      <c r="I379" s="256"/>
      <c r="J379" s="256"/>
      <c r="K379" s="256"/>
    </row>
    <row r="380" spans="1:11" ht="12.75" x14ac:dyDescent="0.35">
      <c r="A380" s="256"/>
      <c r="B380" s="256"/>
      <c r="C380" s="256"/>
      <c r="D380" s="256"/>
      <c r="E380" s="256"/>
      <c r="F380" s="256"/>
      <c r="G380" s="256"/>
      <c r="H380" s="256"/>
      <c r="I380" s="256"/>
      <c r="J380" s="256"/>
      <c r="K380" s="256"/>
    </row>
    <row r="381" spans="1:11" ht="12.75" x14ac:dyDescent="0.35">
      <c r="A381" s="256"/>
      <c r="B381" s="256"/>
      <c r="C381" s="256"/>
      <c r="D381" s="256"/>
      <c r="E381" s="256"/>
      <c r="F381" s="256"/>
      <c r="G381" s="256"/>
      <c r="H381" s="256"/>
      <c r="I381" s="256"/>
      <c r="J381" s="256"/>
      <c r="K381" s="256"/>
    </row>
    <row r="382" spans="1:11" ht="12.75" x14ac:dyDescent="0.35">
      <c r="A382" s="256"/>
      <c r="B382" s="256"/>
      <c r="C382" s="256"/>
      <c r="D382" s="256"/>
      <c r="E382" s="256"/>
      <c r="F382" s="256"/>
      <c r="G382" s="256"/>
      <c r="H382" s="256"/>
      <c r="I382" s="256"/>
      <c r="J382" s="256"/>
      <c r="K382" s="256"/>
    </row>
    <row r="383" spans="1:11" ht="12.75" x14ac:dyDescent="0.35">
      <c r="A383" s="256"/>
      <c r="B383" s="256"/>
      <c r="C383" s="256"/>
      <c r="D383" s="256"/>
      <c r="E383" s="256"/>
      <c r="F383" s="256"/>
      <c r="G383" s="256"/>
      <c r="H383" s="256"/>
      <c r="I383" s="256"/>
      <c r="J383" s="256"/>
      <c r="K383" s="256"/>
    </row>
    <row r="384" spans="1:11" ht="12.75" x14ac:dyDescent="0.35">
      <c r="A384" s="256"/>
      <c r="B384" s="256"/>
      <c r="C384" s="256"/>
      <c r="D384" s="256"/>
      <c r="E384" s="256"/>
      <c r="F384" s="256"/>
      <c r="G384" s="256"/>
      <c r="H384" s="256"/>
      <c r="I384" s="256"/>
      <c r="J384" s="256"/>
      <c r="K384" s="256"/>
    </row>
    <row r="385" spans="1:11" ht="12.75" x14ac:dyDescent="0.35">
      <c r="A385" s="256"/>
      <c r="B385" s="256"/>
      <c r="C385" s="256"/>
      <c r="D385" s="256"/>
      <c r="E385" s="256"/>
      <c r="F385" s="256"/>
      <c r="G385" s="256"/>
      <c r="H385" s="256"/>
      <c r="I385" s="256"/>
      <c r="J385" s="256"/>
      <c r="K385" s="256"/>
    </row>
    <row r="386" spans="1:11" ht="12.75" x14ac:dyDescent="0.35">
      <c r="A386" s="256"/>
      <c r="B386" s="256"/>
      <c r="C386" s="256"/>
      <c r="D386" s="256"/>
      <c r="E386" s="256"/>
      <c r="F386" s="256"/>
      <c r="G386" s="256"/>
      <c r="H386" s="256"/>
      <c r="I386" s="256"/>
      <c r="J386" s="256"/>
      <c r="K386" s="256"/>
    </row>
    <row r="387" spans="1:11" ht="12.75" x14ac:dyDescent="0.35">
      <c r="A387" s="256"/>
      <c r="B387" s="256"/>
      <c r="C387" s="256"/>
      <c r="D387" s="256"/>
      <c r="E387" s="256"/>
      <c r="F387" s="256"/>
      <c r="G387" s="256"/>
      <c r="H387" s="256"/>
      <c r="I387" s="256"/>
      <c r="J387" s="256"/>
      <c r="K387" s="256"/>
    </row>
    <row r="388" spans="1:11" ht="12.75" x14ac:dyDescent="0.35">
      <c r="A388" s="256"/>
      <c r="B388" s="256"/>
      <c r="C388" s="256"/>
      <c r="D388" s="256"/>
      <c r="E388" s="256"/>
      <c r="F388" s="256"/>
      <c r="G388" s="256"/>
      <c r="H388" s="256"/>
      <c r="I388" s="256"/>
      <c r="J388" s="256"/>
      <c r="K388" s="256"/>
    </row>
    <row r="389" spans="1:11" ht="12.75" x14ac:dyDescent="0.35">
      <c r="A389" s="256"/>
      <c r="B389" s="256"/>
      <c r="C389" s="256"/>
      <c r="D389" s="256"/>
      <c r="E389" s="256"/>
      <c r="F389" s="256"/>
      <c r="G389" s="256"/>
      <c r="H389" s="256"/>
      <c r="I389" s="256"/>
      <c r="J389" s="256"/>
      <c r="K389" s="256"/>
    </row>
    <row r="390" spans="1:11" ht="12.75" x14ac:dyDescent="0.35">
      <c r="A390" s="256"/>
      <c r="B390" s="256"/>
      <c r="C390" s="256"/>
      <c r="D390" s="256"/>
      <c r="E390" s="256"/>
      <c r="F390" s="256"/>
      <c r="G390" s="256"/>
      <c r="H390" s="256"/>
      <c r="I390" s="256"/>
      <c r="J390" s="256"/>
      <c r="K390" s="256"/>
    </row>
    <row r="391" spans="1:11" ht="12.75" x14ac:dyDescent="0.35">
      <c r="A391" s="256"/>
      <c r="B391" s="256"/>
      <c r="C391" s="256"/>
      <c r="D391" s="256"/>
      <c r="E391" s="256"/>
      <c r="F391" s="256"/>
      <c r="G391" s="256"/>
      <c r="H391" s="256"/>
      <c r="I391" s="256"/>
      <c r="J391" s="256"/>
      <c r="K391" s="256"/>
    </row>
    <row r="392" spans="1:11" ht="12.75" x14ac:dyDescent="0.35">
      <c r="A392" s="256"/>
      <c r="B392" s="256"/>
      <c r="C392" s="256"/>
      <c r="D392" s="256"/>
      <c r="E392" s="256"/>
      <c r="F392" s="256"/>
      <c r="G392" s="256"/>
      <c r="H392" s="256"/>
      <c r="I392" s="256"/>
      <c r="J392" s="256"/>
      <c r="K392" s="256"/>
    </row>
    <row r="393" spans="1:11" ht="12.75" x14ac:dyDescent="0.35">
      <c r="A393" s="256"/>
      <c r="B393" s="256"/>
      <c r="C393" s="256"/>
      <c r="D393" s="256"/>
      <c r="E393" s="256"/>
      <c r="F393" s="256"/>
      <c r="G393" s="256"/>
      <c r="H393" s="256"/>
      <c r="I393" s="256"/>
      <c r="J393" s="256"/>
      <c r="K393" s="256"/>
    </row>
    <row r="394" spans="1:11" ht="12.75" x14ac:dyDescent="0.35">
      <c r="A394" s="256"/>
      <c r="B394" s="256"/>
      <c r="C394" s="256"/>
      <c r="D394" s="256"/>
      <c r="E394" s="256"/>
      <c r="F394" s="256"/>
      <c r="G394" s="256"/>
      <c r="H394" s="256"/>
      <c r="I394" s="256"/>
      <c r="J394" s="256"/>
      <c r="K394" s="256"/>
    </row>
    <row r="395" spans="1:11" ht="12.75" x14ac:dyDescent="0.35">
      <c r="A395" s="256"/>
      <c r="B395" s="256"/>
      <c r="C395" s="256"/>
      <c r="D395" s="256"/>
      <c r="E395" s="256"/>
      <c r="F395" s="256"/>
      <c r="G395" s="256"/>
      <c r="H395" s="256"/>
      <c r="I395" s="256"/>
      <c r="J395" s="256"/>
      <c r="K395" s="256"/>
    </row>
    <row r="396" spans="1:11" ht="12.75" x14ac:dyDescent="0.35">
      <c r="A396" s="256"/>
      <c r="B396" s="256"/>
      <c r="C396" s="256"/>
      <c r="D396" s="256"/>
      <c r="E396" s="256"/>
      <c r="F396" s="256"/>
      <c r="G396" s="256"/>
      <c r="H396" s="256"/>
      <c r="I396" s="256"/>
      <c r="J396" s="256"/>
      <c r="K396" s="256"/>
    </row>
    <row r="397" spans="1:11" ht="12.75" x14ac:dyDescent="0.35">
      <c r="A397" s="256"/>
      <c r="B397" s="256"/>
      <c r="C397" s="256"/>
      <c r="D397" s="256"/>
      <c r="E397" s="256"/>
      <c r="F397" s="256"/>
      <c r="G397" s="256"/>
      <c r="H397" s="256"/>
      <c r="I397" s="256"/>
      <c r="J397" s="256"/>
      <c r="K397" s="256"/>
    </row>
    <row r="398" spans="1:11" ht="12.75" x14ac:dyDescent="0.35">
      <c r="A398" s="256"/>
      <c r="B398" s="256"/>
      <c r="C398" s="256"/>
      <c r="D398" s="256"/>
      <c r="E398" s="256"/>
      <c r="F398" s="256"/>
      <c r="G398" s="256"/>
      <c r="H398" s="256"/>
      <c r="I398" s="256"/>
      <c r="J398" s="256"/>
      <c r="K398" s="256"/>
    </row>
    <row r="399" spans="1:11" ht="12.75" x14ac:dyDescent="0.35">
      <c r="A399" s="256"/>
      <c r="B399" s="256"/>
      <c r="C399" s="256"/>
      <c r="D399" s="256"/>
      <c r="E399" s="256"/>
      <c r="F399" s="256"/>
      <c r="G399" s="256"/>
      <c r="H399" s="256"/>
      <c r="I399" s="256"/>
      <c r="J399" s="256"/>
      <c r="K399" s="256"/>
    </row>
    <row r="400" spans="1:11" ht="12.75" x14ac:dyDescent="0.35">
      <c r="A400" s="256"/>
      <c r="B400" s="256"/>
      <c r="C400" s="256"/>
      <c r="D400" s="256"/>
      <c r="E400" s="256"/>
      <c r="F400" s="256"/>
      <c r="G400" s="256"/>
      <c r="H400" s="256"/>
      <c r="I400" s="256"/>
      <c r="J400" s="256"/>
      <c r="K400" s="256"/>
    </row>
    <row r="401" spans="1:11" ht="12.75" x14ac:dyDescent="0.35">
      <c r="A401" s="256"/>
      <c r="B401" s="256"/>
      <c r="C401" s="256"/>
      <c r="D401" s="256"/>
      <c r="E401" s="256"/>
      <c r="F401" s="256"/>
      <c r="G401" s="256"/>
      <c r="H401" s="256"/>
      <c r="I401" s="256"/>
      <c r="J401" s="256"/>
      <c r="K401" s="256"/>
    </row>
    <row r="402" spans="1:11" ht="12.75" x14ac:dyDescent="0.35">
      <c r="A402" s="256"/>
      <c r="B402" s="256"/>
      <c r="C402" s="256"/>
      <c r="D402" s="256"/>
      <c r="E402" s="256"/>
      <c r="F402" s="256"/>
      <c r="G402" s="256"/>
      <c r="H402" s="256"/>
      <c r="I402" s="256"/>
      <c r="J402" s="256"/>
      <c r="K402" s="256"/>
    </row>
    <row r="403" spans="1:11" ht="12.75" x14ac:dyDescent="0.35">
      <c r="A403" s="256"/>
      <c r="B403" s="256"/>
      <c r="C403" s="256"/>
      <c r="D403" s="256"/>
      <c r="E403" s="256"/>
      <c r="F403" s="256"/>
      <c r="G403" s="256"/>
      <c r="H403" s="256"/>
      <c r="I403" s="256"/>
      <c r="J403" s="256"/>
      <c r="K403" s="256"/>
    </row>
    <row r="404" spans="1:11" ht="12.75" x14ac:dyDescent="0.35">
      <c r="A404" s="256"/>
      <c r="B404" s="256"/>
      <c r="C404" s="256"/>
      <c r="D404" s="256"/>
      <c r="E404" s="256"/>
      <c r="F404" s="256"/>
      <c r="G404" s="256"/>
      <c r="H404" s="256"/>
      <c r="I404" s="256"/>
      <c r="J404" s="256"/>
      <c r="K404" s="256"/>
    </row>
    <row r="405" spans="1:11" ht="12.75" x14ac:dyDescent="0.35">
      <c r="A405" s="256"/>
      <c r="B405" s="256"/>
      <c r="C405" s="256"/>
      <c r="D405" s="256"/>
      <c r="E405" s="256"/>
      <c r="F405" s="256"/>
      <c r="G405" s="256"/>
      <c r="H405" s="256"/>
      <c r="I405" s="256"/>
      <c r="J405" s="256"/>
      <c r="K405" s="256"/>
    </row>
    <row r="406" spans="1:11" ht="12.75" x14ac:dyDescent="0.35">
      <c r="A406" s="256"/>
      <c r="B406" s="256"/>
      <c r="C406" s="256"/>
      <c r="D406" s="256"/>
      <c r="E406" s="256"/>
      <c r="F406" s="256"/>
      <c r="G406" s="256"/>
      <c r="H406" s="256"/>
      <c r="I406" s="256"/>
      <c r="J406" s="256"/>
      <c r="K406" s="256"/>
    </row>
    <row r="407" spans="1:11" ht="12.75" x14ac:dyDescent="0.35">
      <c r="A407" s="256"/>
      <c r="B407" s="256"/>
      <c r="C407" s="256"/>
      <c r="D407" s="256"/>
      <c r="E407" s="256"/>
      <c r="F407" s="256"/>
      <c r="G407" s="256"/>
      <c r="H407" s="256"/>
      <c r="I407" s="256"/>
      <c r="J407" s="256"/>
      <c r="K407" s="256"/>
    </row>
    <row r="408" spans="1:11" ht="12.75" x14ac:dyDescent="0.35">
      <c r="A408" s="256"/>
      <c r="B408" s="256"/>
      <c r="C408" s="256"/>
      <c r="D408" s="256"/>
      <c r="E408" s="256"/>
      <c r="F408" s="256"/>
      <c r="G408" s="256"/>
      <c r="H408" s="256"/>
      <c r="I408" s="256"/>
      <c r="J408" s="256"/>
      <c r="K408" s="256"/>
    </row>
    <row r="409" spans="1:11" ht="12.75" x14ac:dyDescent="0.35">
      <c r="A409" s="256"/>
      <c r="B409" s="256"/>
      <c r="C409" s="256"/>
      <c r="D409" s="256"/>
      <c r="E409" s="256"/>
      <c r="F409" s="256"/>
      <c r="G409" s="256"/>
      <c r="H409" s="256"/>
      <c r="I409" s="256"/>
      <c r="J409" s="256"/>
      <c r="K409" s="256"/>
    </row>
    <row r="410" spans="1:11" ht="12.75" x14ac:dyDescent="0.35">
      <c r="A410" s="256"/>
      <c r="B410" s="256"/>
      <c r="C410" s="256"/>
      <c r="D410" s="256"/>
      <c r="E410" s="256"/>
      <c r="F410" s="256"/>
      <c r="G410" s="256"/>
      <c r="H410" s="256"/>
      <c r="I410" s="256"/>
      <c r="J410" s="256"/>
      <c r="K410" s="256"/>
    </row>
    <row r="411" spans="1:11" ht="12.75" x14ac:dyDescent="0.35">
      <c r="A411" s="256"/>
      <c r="B411" s="256"/>
      <c r="C411" s="256"/>
      <c r="D411" s="256"/>
      <c r="E411" s="256"/>
      <c r="F411" s="256"/>
      <c r="G411" s="256"/>
      <c r="H411" s="256"/>
      <c r="I411" s="256"/>
      <c r="J411" s="256"/>
      <c r="K411" s="256"/>
    </row>
    <row r="412" spans="1:11" ht="12.75" x14ac:dyDescent="0.35">
      <c r="A412" s="256"/>
      <c r="B412" s="256"/>
      <c r="C412" s="256"/>
      <c r="D412" s="256"/>
      <c r="E412" s="256"/>
      <c r="F412" s="256"/>
      <c r="G412" s="256"/>
      <c r="H412" s="256"/>
      <c r="I412" s="256"/>
      <c r="J412" s="256"/>
      <c r="K412" s="256"/>
    </row>
    <row r="413" spans="1:11" ht="12.75" x14ac:dyDescent="0.35">
      <c r="A413" s="256"/>
      <c r="B413" s="256"/>
      <c r="C413" s="256"/>
      <c r="D413" s="256"/>
      <c r="E413" s="256"/>
      <c r="F413" s="256"/>
      <c r="G413" s="256"/>
      <c r="H413" s="256"/>
      <c r="I413" s="256"/>
      <c r="J413" s="256"/>
      <c r="K413" s="256"/>
    </row>
    <row r="414" spans="1:11" ht="12.75" x14ac:dyDescent="0.35">
      <c r="A414" s="256"/>
      <c r="B414" s="256"/>
      <c r="C414" s="256"/>
      <c r="D414" s="256"/>
      <c r="E414" s="256"/>
      <c r="F414" s="256"/>
      <c r="G414" s="256"/>
      <c r="H414" s="256"/>
      <c r="I414" s="256"/>
      <c r="J414" s="256"/>
      <c r="K414" s="256"/>
    </row>
    <row r="415" spans="1:11" ht="12.75" x14ac:dyDescent="0.35">
      <c r="A415" s="256"/>
      <c r="B415" s="256"/>
      <c r="C415" s="256"/>
      <c r="D415" s="256"/>
      <c r="E415" s="256"/>
      <c r="F415" s="256"/>
      <c r="G415" s="256"/>
      <c r="H415" s="256"/>
      <c r="I415" s="256"/>
      <c r="J415" s="256"/>
      <c r="K415" s="256"/>
    </row>
    <row r="416" spans="1:11" ht="12.75" x14ac:dyDescent="0.35">
      <c r="A416" s="256"/>
      <c r="B416" s="256"/>
      <c r="C416" s="256"/>
      <c r="D416" s="256"/>
      <c r="E416" s="256"/>
      <c r="F416" s="256"/>
      <c r="G416" s="256"/>
      <c r="H416" s="256"/>
      <c r="I416" s="256"/>
      <c r="J416" s="256"/>
      <c r="K416" s="256"/>
    </row>
    <row r="417" spans="1:11" ht="12.75" x14ac:dyDescent="0.35">
      <c r="A417" s="256"/>
      <c r="B417" s="256"/>
      <c r="C417" s="256"/>
      <c r="D417" s="256"/>
      <c r="E417" s="256"/>
      <c r="F417" s="256"/>
      <c r="G417" s="256"/>
      <c r="H417" s="256"/>
      <c r="I417" s="256"/>
      <c r="J417" s="256"/>
      <c r="K417" s="256"/>
    </row>
    <row r="418" spans="1:11" ht="12.75" x14ac:dyDescent="0.35">
      <c r="A418" s="256"/>
      <c r="B418" s="256"/>
      <c r="C418" s="256"/>
      <c r="D418" s="256"/>
      <c r="E418" s="256"/>
      <c r="F418" s="256"/>
      <c r="G418" s="256"/>
      <c r="H418" s="256"/>
      <c r="I418" s="256"/>
      <c r="J418" s="256"/>
      <c r="K418" s="256"/>
    </row>
    <row r="419" spans="1:11" ht="12.75" x14ac:dyDescent="0.35">
      <c r="A419" s="256"/>
      <c r="B419" s="256"/>
      <c r="C419" s="256"/>
      <c r="D419" s="256"/>
      <c r="E419" s="256"/>
      <c r="F419" s="256"/>
      <c r="G419" s="256"/>
      <c r="H419" s="256"/>
      <c r="I419" s="256"/>
      <c r="J419" s="256"/>
      <c r="K419" s="256"/>
    </row>
    <row r="420" spans="1:11" ht="12.75" x14ac:dyDescent="0.35">
      <c r="A420" s="256"/>
      <c r="B420" s="256"/>
      <c r="C420" s="256"/>
      <c r="D420" s="256"/>
      <c r="E420" s="256"/>
      <c r="F420" s="256"/>
      <c r="G420" s="256"/>
      <c r="H420" s="256"/>
      <c r="I420" s="256"/>
      <c r="J420" s="256"/>
      <c r="K420" s="256"/>
    </row>
    <row r="421" spans="1:11" ht="12.75" x14ac:dyDescent="0.35">
      <c r="A421" s="256"/>
      <c r="B421" s="256"/>
      <c r="C421" s="256"/>
      <c r="D421" s="256"/>
      <c r="E421" s="256"/>
      <c r="F421" s="256"/>
      <c r="G421" s="256"/>
      <c r="H421" s="256"/>
      <c r="I421" s="256"/>
      <c r="J421" s="256"/>
      <c r="K421" s="256"/>
    </row>
    <row r="422" spans="1:11" ht="12.75" x14ac:dyDescent="0.35">
      <c r="A422" s="256"/>
      <c r="B422" s="256"/>
      <c r="C422" s="256"/>
      <c r="D422" s="256"/>
      <c r="E422" s="256"/>
      <c r="F422" s="256"/>
      <c r="G422" s="256"/>
      <c r="H422" s="256"/>
      <c r="I422" s="256"/>
      <c r="J422" s="256"/>
      <c r="K422" s="256"/>
    </row>
    <row r="423" spans="1:11" ht="12.75" x14ac:dyDescent="0.35">
      <c r="A423" s="256"/>
      <c r="B423" s="256"/>
      <c r="C423" s="256"/>
      <c r="D423" s="256"/>
      <c r="E423" s="256"/>
      <c r="F423" s="256"/>
      <c r="G423" s="256"/>
      <c r="H423" s="256"/>
      <c r="I423" s="256"/>
      <c r="J423" s="256"/>
      <c r="K423" s="256"/>
    </row>
    <row r="424" spans="1:11" ht="12.75" x14ac:dyDescent="0.35">
      <c r="A424" s="256"/>
      <c r="B424" s="256"/>
      <c r="C424" s="256"/>
      <c r="D424" s="256"/>
      <c r="E424" s="256"/>
      <c r="F424" s="256"/>
      <c r="G424" s="256"/>
      <c r="H424" s="256"/>
      <c r="I424" s="256"/>
      <c r="J424" s="256"/>
      <c r="K424" s="256"/>
    </row>
    <row r="425" spans="1:11" ht="12.75" x14ac:dyDescent="0.35">
      <c r="A425" s="256"/>
      <c r="B425" s="256"/>
      <c r="C425" s="256"/>
      <c r="D425" s="256"/>
      <c r="E425" s="256"/>
      <c r="F425" s="256"/>
      <c r="G425" s="256"/>
      <c r="H425" s="256"/>
      <c r="I425" s="256"/>
      <c r="J425" s="256"/>
      <c r="K425" s="256"/>
    </row>
    <row r="426" spans="1:11" ht="12.75" x14ac:dyDescent="0.35">
      <c r="A426" s="256"/>
      <c r="B426" s="256"/>
      <c r="C426" s="256"/>
      <c r="D426" s="256"/>
      <c r="E426" s="256"/>
      <c r="F426" s="256"/>
      <c r="G426" s="256"/>
      <c r="H426" s="256"/>
      <c r="I426" s="256"/>
      <c r="J426" s="256"/>
      <c r="K426" s="256"/>
    </row>
    <row r="427" spans="1:11" ht="12.75" x14ac:dyDescent="0.35">
      <c r="A427" s="256"/>
      <c r="B427" s="256"/>
      <c r="C427" s="256"/>
      <c r="D427" s="256"/>
      <c r="E427" s="256"/>
      <c r="F427" s="256"/>
      <c r="G427" s="256"/>
      <c r="H427" s="256"/>
      <c r="I427" s="256"/>
      <c r="J427" s="256"/>
      <c r="K427" s="256"/>
    </row>
    <row r="428" spans="1:11" ht="12.75" x14ac:dyDescent="0.35">
      <c r="A428" s="256"/>
      <c r="B428" s="256"/>
      <c r="C428" s="256"/>
      <c r="D428" s="256"/>
      <c r="E428" s="256"/>
      <c r="F428" s="256"/>
      <c r="G428" s="256"/>
      <c r="H428" s="256"/>
      <c r="I428" s="256"/>
      <c r="J428" s="256"/>
      <c r="K428" s="256"/>
    </row>
    <row r="429" spans="1:11" ht="12.75" x14ac:dyDescent="0.35">
      <c r="A429" s="256"/>
      <c r="B429" s="256"/>
      <c r="C429" s="256"/>
      <c r="D429" s="256"/>
      <c r="E429" s="256"/>
      <c r="F429" s="256"/>
      <c r="G429" s="256"/>
      <c r="H429" s="256"/>
      <c r="I429" s="256"/>
      <c r="J429" s="256"/>
      <c r="K429" s="256"/>
    </row>
    <row r="430" spans="1:11" ht="12.75" x14ac:dyDescent="0.35">
      <c r="A430" s="256"/>
      <c r="B430" s="256"/>
      <c r="C430" s="256"/>
      <c r="D430" s="256"/>
      <c r="E430" s="256"/>
      <c r="F430" s="256"/>
      <c r="G430" s="256"/>
      <c r="H430" s="256"/>
      <c r="I430" s="256"/>
      <c r="J430" s="256"/>
      <c r="K430" s="256"/>
    </row>
    <row r="431" spans="1:11" ht="12.75" x14ac:dyDescent="0.35">
      <c r="A431" s="256"/>
      <c r="B431" s="256"/>
      <c r="C431" s="256"/>
      <c r="D431" s="256"/>
      <c r="E431" s="256"/>
      <c r="F431" s="256"/>
      <c r="G431" s="256"/>
      <c r="H431" s="256"/>
      <c r="I431" s="256"/>
      <c r="J431" s="256"/>
      <c r="K431" s="256"/>
    </row>
    <row r="432" spans="1:11" ht="12.75" x14ac:dyDescent="0.35">
      <c r="A432" s="256"/>
      <c r="B432" s="256"/>
      <c r="C432" s="256"/>
      <c r="D432" s="256"/>
      <c r="E432" s="256"/>
      <c r="F432" s="256"/>
      <c r="G432" s="256"/>
      <c r="H432" s="256"/>
      <c r="I432" s="256"/>
      <c r="J432" s="256"/>
      <c r="K432" s="256"/>
    </row>
    <row r="433" spans="1:11" ht="12.75" x14ac:dyDescent="0.35">
      <c r="A433" s="256"/>
      <c r="B433" s="256"/>
      <c r="C433" s="256"/>
      <c r="D433" s="256"/>
      <c r="E433" s="256"/>
      <c r="F433" s="256"/>
      <c r="G433" s="256"/>
      <c r="H433" s="256"/>
      <c r="I433" s="256"/>
      <c r="J433" s="256"/>
      <c r="K433" s="256"/>
    </row>
    <row r="434" spans="1:11" ht="12.75" x14ac:dyDescent="0.35">
      <c r="A434" s="256"/>
      <c r="B434" s="256"/>
      <c r="C434" s="256"/>
      <c r="D434" s="256"/>
      <c r="E434" s="256"/>
      <c r="F434" s="256"/>
      <c r="G434" s="256"/>
      <c r="H434" s="256"/>
      <c r="I434" s="256"/>
      <c r="J434" s="256"/>
      <c r="K434" s="256"/>
    </row>
    <row r="435" spans="1:11" ht="12.75" x14ac:dyDescent="0.35">
      <c r="A435" s="256"/>
      <c r="B435" s="256"/>
      <c r="C435" s="256"/>
      <c r="D435" s="256"/>
      <c r="E435" s="256"/>
      <c r="F435" s="256"/>
      <c r="G435" s="256"/>
      <c r="H435" s="256"/>
      <c r="I435" s="256"/>
      <c r="J435" s="256"/>
      <c r="K435" s="256"/>
    </row>
    <row r="436" spans="1:11" ht="12.75" x14ac:dyDescent="0.35">
      <c r="A436" s="256"/>
      <c r="B436" s="256"/>
      <c r="C436" s="256"/>
      <c r="D436" s="256"/>
      <c r="E436" s="256"/>
      <c r="F436" s="256"/>
      <c r="G436" s="256"/>
      <c r="H436" s="256"/>
      <c r="I436" s="256"/>
      <c r="J436" s="256"/>
      <c r="K436" s="256"/>
    </row>
    <row r="437" spans="1:11" ht="12.75" x14ac:dyDescent="0.35">
      <c r="A437" s="256"/>
      <c r="B437" s="256"/>
      <c r="C437" s="256"/>
      <c r="D437" s="256"/>
      <c r="E437" s="256"/>
      <c r="F437" s="256"/>
      <c r="G437" s="256"/>
      <c r="H437" s="256"/>
      <c r="I437" s="256"/>
      <c r="J437" s="256"/>
      <c r="K437" s="256"/>
    </row>
    <row r="438" spans="1:11" ht="12.75" x14ac:dyDescent="0.35">
      <c r="A438" s="256"/>
      <c r="B438" s="256"/>
      <c r="C438" s="256"/>
      <c r="D438" s="256"/>
      <c r="E438" s="256"/>
      <c r="F438" s="256"/>
      <c r="G438" s="256"/>
      <c r="H438" s="256"/>
      <c r="I438" s="256"/>
      <c r="J438" s="256"/>
      <c r="K438" s="256"/>
    </row>
    <row r="439" spans="1:11" ht="12.75" x14ac:dyDescent="0.35">
      <c r="A439" s="256"/>
      <c r="B439" s="256"/>
      <c r="C439" s="256"/>
      <c r="D439" s="256"/>
      <c r="E439" s="256"/>
      <c r="F439" s="256"/>
      <c r="G439" s="256"/>
      <c r="H439" s="256"/>
      <c r="I439" s="256"/>
      <c r="J439" s="256"/>
      <c r="K439" s="256"/>
    </row>
    <row r="440" spans="1:11" ht="12.75" x14ac:dyDescent="0.35">
      <c r="A440" s="256"/>
      <c r="B440" s="256"/>
      <c r="C440" s="256"/>
      <c r="D440" s="256"/>
      <c r="E440" s="256"/>
      <c r="F440" s="256"/>
      <c r="G440" s="256"/>
      <c r="H440" s="256"/>
      <c r="I440" s="256"/>
      <c r="J440" s="256"/>
      <c r="K440" s="256"/>
    </row>
    <row r="441" spans="1:11" ht="12.75" x14ac:dyDescent="0.35">
      <c r="A441" s="256"/>
      <c r="B441" s="256"/>
      <c r="C441" s="256"/>
      <c r="D441" s="256"/>
      <c r="E441" s="256"/>
      <c r="F441" s="256"/>
      <c r="G441" s="256"/>
      <c r="H441" s="256"/>
      <c r="I441" s="256"/>
      <c r="J441" s="256"/>
      <c r="K441" s="256"/>
    </row>
    <row r="442" spans="1:11" ht="12.75" x14ac:dyDescent="0.35">
      <c r="A442" s="256"/>
      <c r="B442" s="256"/>
      <c r="C442" s="256"/>
      <c r="D442" s="256"/>
      <c r="E442" s="256"/>
      <c r="F442" s="256"/>
      <c r="G442" s="256"/>
      <c r="H442" s="256"/>
      <c r="I442" s="256"/>
      <c r="J442" s="256"/>
      <c r="K442" s="256"/>
    </row>
    <row r="443" spans="1:11" ht="12.75" x14ac:dyDescent="0.35">
      <c r="A443" s="256"/>
      <c r="B443" s="256"/>
      <c r="C443" s="256"/>
      <c r="D443" s="256"/>
      <c r="E443" s="256"/>
      <c r="F443" s="256"/>
      <c r="G443" s="256"/>
      <c r="H443" s="256"/>
      <c r="I443" s="256"/>
      <c r="J443" s="256"/>
      <c r="K443" s="256"/>
    </row>
    <row r="444" spans="1:11" ht="12.75" x14ac:dyDescent="0.35">
      <c r="A444" s="256"/>
      <c r="B444" s="256"/>
      <c r="C444" s="256"/>
      <c r="D444" s="256"/>
      <c r="E444" s="256"/>
      <c r="F444" s="256"/>
      <c r="G444" s="256"/>
      <c r="H444" s="256"/>
      <c r="I444" s="256"/>
      <c r="J444" s="256"/>
      <c r="K444" s="256"/>
    </row>
    <row r="445" spans="1:11" ht="12.75" x14ac:dyDescent="0.35">
      <c r="A445" s="256"/>
      <c r="B445" s="256"/>
      <c r="C445" s="256"/>
      <c r="D445" s="256"/>
      <c r="E445" s="256"/>
      <c r="F445" s="256"/>
      <c r="G445" s="256"/>
      <c r="H445" s="256"/>
      <c r="I445" s="256"/>
      <c r="J445" s="256"/>
      <c r="K445" s="256"/>
    </row>
    <row r="446" spans="1:11" ht="12.75" x14ac:dyDescent="0.35">
      <c r="A446" s="256"/>
      <c r="B446" s="256"/>
      <c r="C446" s="256"/>
      <c r="D446" s="256"/>
      <c r="E446" s="256"/>
      <c r="F446" s="256"/>
      <c r="G446" s="256"/>
      <c r="H446" s="256"/>
      <c r="I446" s="256"/>
      <c r="J446" s="256"/>
      <c r="K446" s="256"/>
    </row>
    <row r="447" spans="1:11" ht="12.75" x14ac:dyDescent="0.35">
      <c r="A447" s="256"/>
      <c r="B447" s="256"/>
      <c r="C447" s="256"/>
      <c r="D447" s="256"/>
      <c r="E447" s="256"/>
      <c r="F447" s="256"/>
      <c r="G447" s="256"/>
      <c r="H447" s="256"/>
      <c r="I447" s="256"/>
      <c r="J447" s="256"/>
      <c r="K447" s="256"/>
    </row>
    <row r="448" spans="1:11" ht="12.75" x14ac:dyDescent="0.35">
      <c r="A448" s="256"/>
      <c r="B448" s="256"/>
      <c r="C448" s="256"/>
      <c r="D448" s="256"/>
      <c r="E448" s="256"/>
      <c r="F448" s="256"/>
      <c r="G448" s="256"/>
      <c r="H448" s="256"/>
      <c r="I448" s="256"/>
      <c r="J448" s="256"/>
      <c r="K448" s="256"/>
    </row>
    <row r="449" spans="1:11" ht="12.75" x14ac:dyDescent="0.35">
      <c r="A449" s="256"/>
      <c r="B449" s="256"/>
      <c r="C449" s="256"/>
      <c r="D449" s="256"/>
      <c r="E449" s="256"/>
      <c r="F449" s="256"/>
      <c r="G449" s="256"/>
      <c r="H449" s="256"/>
      <c r="I449" s="256"/>
      <c r="J449" s="256"/>
      <c r="K449" s="256"/>
    </row>
    <row r="450" spans="1:11" ht="12.75" x14ac:dyDescent="0.35">
      <c r="A450" s="256"/>
      <c r="B450" s="256"/>
      <c r="C450" s="256"/>
      <c r="D450" s="256"/>
      <c r="E450" s="256"/>
      <c r="F450" s="256"/>
      <c r="G450" s="256"/>
      <c r="H450" s="256"/>
      <c r="I450" s="256"/>
      <c r="J450" s="256"/>
      <c r="K450" s="256"/>
    </row>
    <row r="451" spans="1:11" ht="12.75" x14ac:dyDescent="0.35">
      <c r="A451" s="256"/>
      <c r="B451" s="256"/>
      <c r="C451" s="256"/>
      <c r="D451" s="256"/>
      <c r="E451" s="256"/>
      <c r="F451" s="256"/>
      <c r="G451" s="256"/>
      <c r="H451" s="256"/>
      <c r="I451" s="256"/>
      <c r="J451" s="256"/>
      <c r="K451" s="256"/>
    </row>
    <row r="452" spans="1:11" ht="12.75" x14ac:dyDescent="0.35">
      <c r="A452" s="256"/>
      <c r="B452" s="256"/>
      <c r="C452" s="256"/>
      <c r="D452" s="256"/>
      <c r="E452" s="256"/>
      <c r="F452" s="256"/>
      <c r="G452" s="256"/>
      <c r="H452" s="256"/>
      <c r="I452" s="256"/>
      <c r="J452" s="256"/>
      <c r="K452" s="256"/>
    </row>
    <row r="453" spans="1:11" ht="12.75" x14ac:dyDescent="0.35">
      <c r="A453" s="256"/>
      <c r="B453" s="256"/>
      <c r="C453" s="256"/>
      <c r="D453" s="256"/>
      <c r="E453" s="256"/>
      <c r="F453" s="256"/>
      <c r="G453" s="256"/>
      <c r="H453" s="256"/>
      <c r="I453" s="256"/>
      <c r="J453" s="256"/>
      <c r="K453" s="256"/>
    </row>
    <row r="454" spans="1:11" ht="12.75" x14ac:dyDescent="0.35">
      <c r="A454" s="256"/>
      <c r="B454" s="256"/>
      <c r="C454" s="256"/>
      <c r="D454" s="256"/>
      <c r="E454" s="256"/>
      <c r="F454" s="256"/>
      <c r="G454" s="256"/>
      <c r="H454" s="256"/>
      <c r="I454" s="256"/>
      <c r="J454" s="256"/>
      <c r="K454" s="256"/>
    </row>
    <row r="455" spans="1:11" ht="12.75" x14ac:dyDescent="0.35">
      <c r="A455" s="256"/>
      <c r="B455" s="256"/>
      <c r="C455" s="256"/>
      <c r="D455" s="256"/>
      <c r="E455" s="256"/>
      <c r="F455" s="256"/>
      <c r="G455" s="256"/>
      <c r="H455" s="256"/>
      <c r="I455" s="256"/>
      <c r="J455" s="256"/>
      <c r="K455" s="256"/>
    </row>
    <row r="456" spans="1:11" ht="12.75" x14ac:dyDescent="0.35">
      <c r="A456" s="256"/>
      <c r="B456" s="256"/>
      <c r="C456" s="256"/>
      <c r="D456" s="256"/>
      <c r="E456" s="256"/>
      <c r="F456" s="256"/>
      <c r="G456" s="256"/>
      <c r="H456" s="256"/>
      <c r="I456" s="256"/>
      <c r="J456" s="256"/>
      <c r="K456" s="256"/>
    </row>
    <row r="457" spans="1:11" ht="12.75" x14ac:dyDescent="0.35">
      <c r="A457" s="256"/>
      <c r="B457" s="256"/>
      <c r="C457" s="256"/>
      <c r="D457" s="256"/>
      <c r="E457" s="256"/>
      <c r="F457" s="256"/>
      <c r="G457" s="256"/>
      <c r="H457" s="256"/>
      <c r="I457" s="256"/>
      <c r="J457" s="256"/>
      <c r="K457" s="256"/>
    </row>
    <row r="458" spans="1:11" ht="12.75" x14ac:dyDescent="0.35">
      <c r="A458" s="256"/>
      <c r="B458" s="256"/>
      <c r="C458" s="256"/>
      <c r="D458" s="256"/>
      <c r="E458" s="256"/>
      <c r="F458" s="256"/>
      <c r="G458" s="256"/>
      <c r="H458" s="256"/>
      <c r="I458" s="256"/>
      <c r="J458" s="256"/>
      <c r="K458" s="256"/>
    </row>
    <row r="459" spans="1:11" ht="12.75" x14ac:dyDescent="0.35">
      <c r="A459" s="256"/>
      <c r="B459" s="256"/>
      <c r="C459" s="256"/>
      <c r="D459" s="256"/>
      <c r="E459" s="256"/>
      <c r="F459" s="256"/>
      <c r="G459" s="256"/>
      <c r="H459" s="256"/>
      <c r="I459" s="256"/>
      <c r="J459" s="256"/>
      <c r="K459" s="256"/>
    </row>
    <row r="460" spans="1:11" ht="12.75" x14ac:dyDescent="0.35">
      <c r="A460" s="256"/>
      <c r="B460" s="256"/>
      <c r="C460" s="256"/>
      <c r="D460" s="256"/>
      <c r="E460" s="256"/>
      <c r="F460" s="256"/>
      <c r="G460" s="256"/>
      <c r="H460" s="256"/>
      <c r="I460" s="256"/>
      <c r="J460" s="256"/>
      <c r="K460" s="256"/>
    </row>
    <row r="461" spans="1:11" ht="12.75" x14ac:dyDescent="0.35">
      <c r="A461" s="256"/>
      <c r="B461" s="256"/>
      <c r="C461" s="256"/>
      <c r="D461" s="256"/>
      <c r="E461" s="256"/>
      <c r="F461" s="256"/>
      <c r="G461" s="256"/>
      <c r="H461" s="256"/>
      <c r="I461" s="256"/>
      <c r="J461" s="256"/>
      <c r="K461" s="256"/>
    </row>
    <row r="462" spans="1:11" ht="12.75" x14ac:dyDescent="0.35">
      <c r="A462" s="256"/>
      <c r="B462" s="256"/>
      <c r="C462" s="256"/>
      <c r="D462" s="256"/>
      <c r="E462" s="256"/>
      <c r="F462" s="256"/>
      <c r="G462" s="256"/>
      <c r="H462" s="256"/>
      <c r="I462" s="256"/>
      <c r="J462" s="256"/>
      <c r="K462" s="256"/>
    </row>
    <row r="463" spans="1:11" ht="12.75" x14ac:dyDescent="0.35">
      <c r="A463" s="256"/>
      <c r="B463" s="256"/>
      <c r="C463" s="256"/>
      <c r="D463" s="256"/>
      <c r="E463" s="256"/>
      <c r="F463" s="256"/>
      <c r="G463" s="256"/>
      <c r="H463" s="256"/>
      <c r="I463" s="256"/>
      <c r="J463" s="256"/>
      <c r="K463" s="256"/>
    </row>
    <row r="464" spans="1:11" ht="12.75" x14ac:dyDescent="0.35">
      <c r="A464" s="256"/>
      <c r="B464" s="256"/>
      <c r="C464" s="256"/>
      <c r="D464" s="256"/>
      <c r="E464" s="256"/>
      <c r="F464" s="256"/>
      <c r="G464" s="256"/>
      <c r="H464" s="256"/>
      <c r="I464" s="256"/>
      <c r="J464" s="256"/>
      <c r="K464" s="256"/>
    </row>
    <row r="465" spans="1:11" ht="12.75" x14ac:dyDescent="0.35">
      <c r="A465" s="256"/>
      <c r="B465" s="256"/>
      <c r="C465" s="256"/>
      <c r="D465" s="256"/>
      <c r="E465" s="256"/>
      <c r="F465" s="256"/>
      <c r="G465" s="256"/>
      <c r="H465" s="256"/>
      <c r="I465" s="256"/>
      <c r="J465" s="256"/>
      <c r="K465" s="256"/>
    </row>
    <row r="466" spans="1:11" ht="12.75" x14ac:dyDescent="0.35">
      <c r="A466" s="256"/>
      <c r="B466" s="256"/>
      <c r="C466" s="256"/>
      <c r="D466" s="256"/>
      <c r="E466" s="256"/>
      <c r="F466" s="256"/>
      <c r="G466" s="256"/>
      <c r="H466" s="256"/>
      <c r="I466" s="256"/>
      <c r="J466" s="256"/>
      <c r="K466" s="256"/>
    </row>
    <row r="467" spans="1:11" ht="12.75" x14ac:dyDescent="0.35">
      <c r="A467" s="256"/>
      <c r="B467" s="256"/>
      <c r="C467" s="256"/>
      <c r="D467" s="256"/>
      <c r="E467" s="256"/>
      <c r="F467" s="256"/>
      <c r="G467" s="256"/>
      <c r="H467" s="256"/>
      <c r="I467" s="256"/>
      <c r="J467" s="256"/>
      <c r="K467" s="256"/>
    </row>
    <row r="468" spans="1:11" ht="12.75" x14ac:dyDescent="0.35">
      <c r="A468" s="256"/>
      <c r="B468" s="256"/>
      <c r="C468" s="256"/>
      <c r="D468" s="256"/>
      <c r="E468" s="256"/>
      <c r="F468" s="256"/>
      <c r="G468" s="256"/>
      <c r="H468" s="256"/>
      <c r="I468" s="256"/>
      <c r="J468" s="256"/>
      <c r="K468" s="256"/>
    </row>
    <row r="469" spans="1:11" ht="12.75" x14ac:dyDescent="0.35">
      <c r="A469" s="256"/>
      <c r="B469" s="256"/>
      <c r="C469" s="256"/>
      <c r="D469" s="256"/>
      <c r="E469" s="256"/>
      <c r="F469" s="256"/>
      <c r="G469" s="256"/>
      <c r="H469" s="256"/>
      <c r="I469" s="256"/>
      <c r="J469" s="256"/>
      <c r="K469" s="256"/>
    </row>
    <row r="470" spans="1:11" ht="12.75" x14ac:dyDescent="0.35">
      <c r="A470" s="256"/>
      <c r="B470" s="256"/>
      <c r="C470" s="256"/>
      <c r="D470" s="256"/>
      <c r="E470" s="256"/>
      <c r="F470" s="256"/>
      <c r="G470" s="256"/>
      <c r="H470" s="256"/>
      <c r="I470" s="256"/>
      <c r="J470" s="256"/>
      <c r="K470" s="256"/>
    </row>
    <row r="471" spans="1:11" ht="12.75" x14ac:dyDescent="0.35">
      <c r="A471" s="256"/>
      <c r="B471" s="256"/>
      <c r="C471" s="256"/>
      <c r="D471" s="256"/>
      <c r="E471" s="256"/>
      <c r="F471" s="256"/>
      <c r="G471" s="256"/>
      <c r="H471" s="256"/>
      <c r="I471" s="256"/>
      <c r="J471" s="256"/>
      <c r="K471" s="256"/>
    </row>
    <row r="472" spans="1:11" ht="12.75" x14ac:dyDescent="0.35">
      <c r="A472" s="256"/>
      <c r="B472" s="256"/>
      <c r="C472" s="256"/>
      <c r="D472" s="256"/>
      <c r="E472" s="256"/>
      <c r="F472" s="256"/>
      <c r="G472" s="256"/>
      <c r="H472" s="256"/>
      <c r="I472" s="256"/>
      <c r="J472" s="256"/>
      <c r="K472" s="256"/>
    </row>
    <row r="473" spans="1:11" ht="12.75" x14ac:dyDescent="0.35">
      <c r="A473" s="256"/>
      <c r="B473" s="256"/>
      <c r="C473" s="256"/>
      <c r="D473" s="256"/>
      <c r="E473" s="256"/>
      <c r="F473" s="256"/>
      <c r="G473" s="256"/>
      <c r="H473" s="256"/>
      <c r="I473" s="256"/>
      <c r="J473" s="256"/>
      <c r="K473" s="256"/>
    </row>
    <row r="474" spans="1:11" ht="12.75" x14ac:dyDescent="0.35">
      <c r="A474" s="256"/>
      <c r="B474" s="256"/>
      <c r="C474" s="256"/>
      <c r="D474" s="256"/>
      <c r="E474" s="256"/>
      <c r="F474" s="256"/>
      <c r="G474" s="256"/>
      <c r="H474" s="256"/>
      <c r="I474" s="256"/>
      <c r="J474" s="256"/>
      <c r="K474" s="256"/>
    </row>
    <row r="475" spans="1:11" ht="12.75" x14ac:dyDescent="0.35">
      <c r="A475" s="256"/>
      <c r="B475" s="256"/>
      <c r="C475" s="256"/>
      <c r="D475" s="256"/>
      <c r="E475" s="256"/>
      <c r="F475" s="256"/>
      <c r="G475" s="256"/>
      <c r="H475" s="256"/>
      <c r="I475" s="256"/>
      <c r="J475" s="256"/>
      <c r="K475" s="256"/>
    </row>
    <row r="476" spans="1:11" ht="12.75" x14ac:dyDescent="0.35">
      <c r="A476" s="256"/>
      <c r="B476" s="256"/>
      <c r="C476" s="256"/>
      <c r="D476" s="256"/>
      <c r="E476" s="256"/>
      <c r="F476" s="256"/>
      <c r="G476" s="256"/>
      <c r="H476" s="256"/>
      <c r="I476" s="256"/>
      <c r="J476" s="256"/>
      <c r="K476" s="256"/>
    </row>
    <row r="477" spans="1:11" ht="12.75" x14ac:dyDescent="0.35">
      <c r="A477" s="256"/>
      <c r="B477" s="256"/>
      <c r="C477" s="256"/>
      <c r="D477" s="256"/>
      <c r="E477" s="256"/>
      <c r="F477" s="256"/>
      <c r="G477" s="256"/>
      <c r="H477" s="256"/>
      <c r="I477" s="256"/>
      <c r="J477" s="256"/>
      <c r="K477" s="256"/>
    </row>
    <row r="478" spans="1:11" ht="12.75" x14ac:dyDescent="0.35">
      <c r="A478" s="256"/>
      <c r="B478" s="256"/>
      <c r="C478" s="256"/>
      <c r="D478" s="256"/>
      <c r="E478" s="256"/>
      <c r="F478" s="256"/>
      <c r="G478" s="256"/>
      <c r="H478" s="256"/>
      <c r="I478" s="256"/>
      <c r="J478" s="256"/>
      <c r="K478" s="256"/>
    </row>
    <row r="479" spans="1:11" ht="12.75" x14ac:dyDescent="0.35">
      <c r="A479" s="256"/>
      <c r="B479" s="256"/>
      <c r="C479" s="256"/>
      <c r="D479" s="256"/>
      <c r="E479" s="256"/>
      <c r="F479" s="256"/>
      <c r="G479" s="256"/>
      <c r="H479" s="256"/>
      <c r="I479" s="256"/>
      <c r="J479" s="256"/>
      <c r="K479" s="256"/>
    </row>
    <row r="480" spans="1:11" ht="12.75" x14ac:dyDescent="0.35">
      <c r="A480" s="256"/>
      <c r="B480" s="256"/>
      <c r="C480" s="256"/>
      <c r="D480" s="256"/>
      <c r="E480" s="256"/>
      <c r="F480" s="256"/>
      <c r="G480" s="256"/>
      <c r="H480" s="256"/>
      <c r="I480" s="256"/>
      <c r="J480" s="256"/>
      <c r="K480" s="256"/>
    </row>
    <row r="481" spans="1:11" ht="12.75" x14ac:dyDescent="0.35">
      <c r="A481" s="256"/>
      <c r="B481" s="256"/>
      <c r="C481" s="256"/>
      <c r="D481" s="256"/>
      <c r="E481" s="256"/>
      <c r="F481" s="256"/>
      <c r="G481" s="256"/>
      <c r="H481" s="256"/>
      <c r="I481" s="256"/>
      <c r="J481" s="256"/>
      <c r="K481" s="256"/>
    </row>
    <row r="482" spans="1:11" ht="12.75" x14ac:dyDescent="0.35">
      <c r="A482" s="256"/>
      <c r="B482" s="256"/>
      <c r="C482" s="256"/>
      <c r="D482" s="256"/>
      <c r="E482" s="256"/>
      <c r="F482" s="256"/>
      <c r="G482" s="256"/>
      <c r="H482" s="256"/>
      <c r="I482" s="256"/>
      <c r="J482" s="256"/>
      <c r="K482" s="256"/>
    </row>
    <row r="483" spans="1:11" ht="12.75" x14ac:dyDescent="0.35">
      <c r="A483" s="256"/>
      <c r="B483" s="256"/>
      <c r="C483" s="256"/>
      <c r="D483" s="256"/>
      <c r="E483" s="256"/>
      <c r="F483" s="256"/>
      <c r="G483" s="256"/>
      <c r="H483" s="256"/>
      <c r="I483" s="256"/>
      <c r="J483" s="256"/>
      <c r="K483" s="256"/>
    </row>
    <row r="484" spans="1:11" ht="12.75" x14ac:dyDescent="0.35">
      <c r="A484" s="256"/>
      <c r="B484" s="256"/>
      <c r="C484" s="256"/>
      <c r="D484" s="256"/>
      <c r="E484" s="256"/>
      <c r="F484" s="256"/>
      <c r="G484" s="256"/>
      <c r="H484" s="256"/>
      <c r="I484" s="256"/>
      <c r="J484" s="256"/>
      <c r="K484" s="256"/>
    </row>
    <row r="485" spans="1:11" ht="12.75" x14ac:dyDescent="0.35">
      <c r="A485" s="256"/>
      <c r="B485" s="256"/>
      <c r="C485" s="256"/>
      <c r="D485" s="256"/>
      <c r="E485" s="256"/>
      <c r="F485" s="256"/>
      <c r="G485" s="256"/>
      <c r="H485" s="256"/>
      <c r="I485" s="256"/>
      <c r="J485" s="256"/>
      <c r="K485" s="256"/>
    </row>
    <row r="486" spans="1:11" ht="12.75" x14ac:dyDescent="0.35">
      <c r="A486" s="256"/>
      <c r="B486" s="256"/>
      <c r="C486" s="256"/>
      <c r="D486" s="256"/>
      <c r="E486" s="256"/>
      <c r="F486" s="256"/>
      <c r="G486" s="256"/>
      <c r="H486" s="256"/>
      <c r="I486" s="256"/>
      <c r="J486" s="256"/>
      <c r="K486" s="256"/>
    </row>
    <row r="487" spans="1:11" ht="12.75" x14ac:dyDescent="0.35">
      <c r="A487" s="256"/>
      <c r="B487" s="256"/>
      <c r="C487" s="256"/>
      <c r="D487" s="256"/>
      <c r="E487" s="256"/>
      <c r="F487" s="256"/>
      <c r="G487" s="256"/>
      <c r="H487" s="256"/>
      <c r="I487" s="256"/>
      <c r="J487" s="256"/>
      <c r="K487" s="256"/>
    </row>
    <row r="488" spans="1:11" ht="12.75" x14ac:dyDescent="0.35">
      <c r="A488" s="256"/>
      <c r="B488" s="256"/>
      <c r="C488" s="256"/>
      <c r="D488" s="256"/>
      <c r="E488" s="256"/>
      <c r="F488" s="256"/>
      <c r="G488" s="256"/>
      <c r="H488" s="256"/>
      <c r="I488" s="256"/>
      <c r="J488" s="256"/>
      <c r="K488" s="256"/>
    </row>
    <row r="489" spans="1:11" ht="12.75" x14ac:dyDescent="0.35">
      <c r="A489" s="256"/>
      <c r="B489" s="256"/>
      <c r="C489" s="256"/>
      <c r="D489" s="256"/>
      <c r="E489" s="256"/>
      <c r="F489" s="256"/>
      <c r="G489" s="256"/>
      <c r="H489" s="256"/>
      <c r="I489" s="256"/>
      <c r="J489" s="256"/>
      <c r="K489" s="256"/>
    </row>
    <row r="490" spans="1:11" ht="12.75" x14ac:dyDescent="0.35">
      <c r="A490" s="256"/>
      <c r="B490" s="256"/>
      <c r="C490" s="256"/>
      <c r="D490" s="256"/>
      <c r="E490" s="256"/>
      <c r="F490" s="256"/>
      <c r="G490" s="256"/>
      <c r="H490" s="256"/>
      <c r="I490" s="256"/>
      <c r="J490" s="256"/>
      <c r="K490" s="256"/>
    </row>
    <row r="491" spans="1:11" ht="12.75" x14ac:dyDescent="0.35">
      <c r="A491" s="256"/>
      <c r="B491" s="256"/>
      <c r="C491" s="256"/>
      <c r="D491" s="256"/>
      <c r="E491" s="256"/>
      <c r="F491" s="256"/>
      <c r="G491" s="256"/>
      <c r="H491" s="256"/>
      <c r="I491" s="256"/>
      <c r="J491" s="256"/>
      <c r="K491" s="256"/>
    </row>
    <row r="492" spans="1:11" ht="12.75" x14ac:dyDescent="0.35">
      <c r="A492" s="256"/>
      <c r="B492" s="256"/>
      <c r="C492" s="256"/>
      <c r="D492" s="256"/>
      <c r="E492" s="256"/>
      <c r="F492" s="256"/>
      <c r="G492" s="256"/>
      <c r="H492" s="256"/>
      <c r="I492" s="256"/>
      <c r="J492" s="256"/>
      <c r="K492" s="256"/>
    </row>
    <row r="493" spans="1:11" ht="12.75" x14ac:dyDescent="0.35">
      <c r="A493" s="256"/>
      <c r="B493" s="256"/>
      <c r="C493" s="256"/>
      <c r="D493" s="256"/>
      <c r="E493" s="256"/>
      <c r="F493" s="256"/>
      <c r="G493" s="256"/>
      <c r="H493" s="256"/>
      <c r="I493" s="256"/>
      <c r="J493" s="256"/>
      <c r="K493" s="256"/>
    </row>
    <row r="494" spans="1:11" ht="12.75" x14ac:dyDescent="0.35">
      <c r="A494" s="256"/>
      <c r="B494" s="256"/>
      <c r="C494" s="256"/>
      <c r="D494" s="256"/>
      <c r="E494" s="256"/>
      <c r="F494" s="256"/>
      <c r="G494" s="256"/>
      <c r="H494" s="256"/>
      <c r="I494" s="256"/>
      <c r="J494" s="256"/>
      <c r="K494" s="256"/>
    </row>
    <row r="495" spans="1:11" ht="12.75" x14ac:dyDescent="0.35">
      <c r="A495" s="256"/>
      <c r="B495" s="256"/>
      <c r="C495" s="256"/>
      <c r="D495" s="256"/>
      <c r="E495" s="256"/>
      <c r="F495" s="256"/>
      <c r="G495" s="256"/>
      <c r="H495" s="256"/>
      <c r="I495" s="256"/>
      <c r="J495" s="256"/>
      <c r="K495" s="256"/>
    </row>
    <row r="496" spans="1:11" ht="12.75" x14ac:dyDescent="0.35">
      <c r="A496" s="256"/>
      <c r="B496" s="256"/>
      <c r="C496" s="256"/>
      <c r="D496" s="256"/>
      <c r="E496" s="256"/>
      <c r="F496" s="256"/>
      <c r="G496" s="256"/>
      <c r="H496" s="256"/>
      <c r="I496" s="256"/>
      <c r="J496" s="256"/>
      <c r="K496" s="256"/>
    </row>
    <row r="497" spans="1:11" ht="12.75" x14ac:dyDescent="0.35">
      <c r="A497" s="256"/>
      <c r="B497" s="256"/>
      <c r="C497" s="256"/>
      <c r="D497" s="256"/>
      <c r="E497" s="256"/>
      <c r="F497" s="256"/>
      <c r="G497" s="256"/>
      <c r="H497" s="256"/>
      <c r="I497" s="256"/>
      <c r="J497" s="256"/>
      <c r="K497" s="256"/>
    </row>
    <row r="498" spans="1:11" ht="12.75" x14ac:dyDescent="0.35">
      <c r="A498" s="256"/>
      <c r="B498" s="256"/>
      <c r="C498" s="256"/>
      <c r="D498" s="256"/>
      <c r="E498" s="256"/>
      <c r="F498" s="256"/>
      <c r="G498" s="256"/>
      <c r="H498" s="256"/>
      <c r="I498" s="256"/>
      <c r="J498" s="256"/>
      <c r="K498" s="256"/>
    </row>
    <row r="499" spans="1:11" ht="12.75" x14ac:dyDescent="0.35">
      <c r="A499" s="256"/>
      <c r="B499" s="256"/>
      <c r="C499" s="256"/>
      <c r="D499" s="256"/>
      <c r="E499" s="256"/>
      <c r="F499" s="256"/>
      <c r="G499" s="256"/>
      <c r="H499" s="256"/>
      <c r="I499" s="256"/>
      <c r="J499" s="256"/>
      <c r="K499" s="256"/>
    </row>
    <row r="500" spans="1:11" ht="12.75" x14ac:dyDescent="0.35">
      <c r="A500" s="256"/>
      <c r="B500" s="256"/>
      <c r="C500" s="256"/>
      <c r="D500" s="256"/>
      <c r="E500" s="256"/>
      <c r="F500" s="256"/>
      <c r="G500" s="256"/>
      <c r="H500" s="256"/>
      <c r="I500" s="256"/>
      <c r="J500" s="256"/>
      <c r="K500" s="256"/>
    </row>
    <row r="501" spans="1:11" ht="12.75" x14ac:dyDescent="0.35">
      <c r="A501" s="256"/>
      <c r="B501" s="256"/>
      <c r="C501" s="256"/>
      <c r="D501" s="256"/>
      <c r="E501" s="256"/>
      <c r="F501" s="256"/>
      <c r="G501" s="256"/>
      <c r="H501" s="256"/>
      <c r="I501" s="256"/>
      <c r="J501" s="256"/>
      <c r="K501" s="256"/>
    </row>
    <row r="502" spans="1:11" ht="12.75" x14ac:dyDescent="0.35">
      <c r="A502" s="256"/>
      <c r="B502" s="256"/>
      <c r="C502" s="256"/>
      <c r="D502" s="256"/>
      <c r="E502" s="256"/>
      <c r="F502" s="256"/>
      <c r="G502" s="256"/>
      <c r="H502" s="256"/>
      <c r="I502" s="256"/>
      <c r="J502" s="256"/>
      <c r="K502" s="256"/>
    </row>
    <row r="503" spans="1:11" ht="12.75" x14ac:dyDescent="0.35">
      <c r="A503" s="256"/>
      <c r="B503" s="256"/>
      <c r="C503" s="256"/>
      <c r="D503" s="256"/>
      <c r="E503" s="256"/>
      <c r="F503" s="256"/>
      <c r="G503" s="256"/>
      <c r="H503" s="256"/>
      <c r="I503" s="256"/>
      <c r="J503" s="256"/>
      <c r="K503" s="256"/>
    </row>
    <row r="504" spans="1:11" ht="12.75" x14ac:dyDescent="0.35">
      <c r="A504" s="256"/>
      <c r="B504" s="256"/>
      <c r="C504" s="256"/>
      <c r="D504" s="256"/>
      <c r="E504" s="256"/>
      <c r="F504" s="256"/>
      <c r="G504" s="256"/>
      <c r="H504" s="256"/>
      <c r="I504" s="256"/>
      <c r="J504" s="256"/>
      <c r="K504" s="256"/>
    </row>
    <row r="505" spans="1:11" ht="12.75" x14ac:dyDescent="0.35">
      <c r="A505" s="256"/>
      <c r="B505" s="256"/>
      <c r="C505" s="256"/>
      <c r="D505" s="256"/>
      <c r="E505" s="256"/>
      <c r="F505" s="256"/>
      <c r="G505" s="256"/>
      <c r="H505" s="256"/>
      <c r="I505" s="256"/>
      <c r="J505" s="256"/>
      <c r="K505" s="256"/>
    </row>
    <row r="506" spans="1:11" ht="12.75" x14ac:dyDescent="0.35">
      <c r="A506" s="256"/>
      <c r="B506" s="256"/>
      <c r="C506" s="256"/>
      <c r="D506" s="256"/>
      <c r="E506" s="256"/>
      <c r="F506" s="256"/>
      <c r="G506" s="256"/>
      <c r="H506" s="256"/>
      <c r="I506" s="256"/>
      <c r="J506" s="256"/>
      <c r="K506" s="256"/>
    </row>
    <row r="507" spans="1:11" ht="12.75" x14ac:dyDescent="0.35">
      <c r="A507" s="256"/>
      <c r="B507" s="256"/>
      <c r="C507" s="256"/>
      <c r="D507" s="256"/>
      <c r="E507" s="256"/>
      <c r="F507" s="256"/>
      <c r="G507" s="256"/>
      <c r="H507" s="256"/>
      <c r="I507" s="256"/>
      <c r="J507" s="256"/>
      <c r="K507" s="256"/>
    </row>
    <row r="508" spans="1:11" ht="12.75" x14ac:dyDescent="0.35">
      <c r="A508" s="256"/>
      <c r="B508" s="256"/>
      <c r="C508" s="256"/>
      <c r="D508" s="256"/>
      <c r="E508" s="256"/>
      <c r="F508" s="256"/>
      <c r="G508" s="256"/>
      <c r="H508" s="256"/>
      <c r="I508" s="256"/>
      <c r="J508" s="256"/>
      <c r="K508" s="256"/>
    </row>
    <row r="509" spans="1:11" ht="12.75" x14ac:dyDescent="0.35">
      <c r="A509" s="256"/>
      <c r="B509" s="256"/>
      <c r="C509" s="256"/>
      <c r="D509" s="256"/>
      <c r="E509" s="256"/>
      <c r="F509" s="256"/>
      <c r="G509" s="256"/>
      <c r="H509" s="256"/>
      <c r="I509" s="256"/>
      <c r="J509" s="256"/>
      <c r="K509" s="256"/>
    </row>
    <row r="510" spans="1:11" ht="12.75" x14ac:dyDescent="0.35">
      <c r="A510" s="256"/>
      <c r="B510" s="256"/>
      <c r="C510" s="256"/>
      <c r="D510" s="256"/>
      <c r="E510" s="256"/>
      <c r="F510" s="256"/>
      <c r="G510" s="256"/>
      <c r="H510" s="256"/>
      <c r="I510" s="256"/>
      <c r="J510" s="256"/>
      <c r="K510" s="256"/>
    </row>
    <row r="511" spans="1:11" ht="12.75" x14ac:dyDescent="0.35">
      <c r="A511" s="256"/>
      <c r="B511" s="256"/>
      <c r="C511" s="256"/>
      <c r="D511" s="256"/>
      <c r="E511" s="256"/>
      <c r="F511" s="256"/>
      <c r="G511" s="256"/>
      <c r="H511" s="256"/>
      <c r="I511" s="256"/>
      <c r="J511" s="256"/>
      <c r="K511" s="256"/>
    </row>
    <row r="512" spans="1:11" ht="12.75" x14ac:dyDescent="0.35">
      <c r="A512" s="256"/>
      <c r="B512" s="256"/>
      <c r="C512" s="256"/>
      <c r="D512" s="256"/>
      <c r="E512" s="256"/>
      <c r="F512" s="256"/>
      <c r="G512" s="256"/>
      <c r="H512" s="256"/>
      <c r="I512" s="256"/>
      <c r="J512" s="256"/>
      <c r="K512" s="256"/>
    </row>
    <row r="513" spans="1:11" ht="12.75" x14ac:dyDescent="0.35">
      <c r="A513" s="256"/>
      <c r="B513" s="256"/>
      <c r="C513" s="256"/>
      <c r="D513" s="256"/>
      <c r="E513" s="256"/>
      <c r="F513" s="256"/>
      <c r="G513" s="256"/>
      <c r="H513" s="256"/>
      <c r="I513" s="256"/>
      <c r="J513" s="256"/>
      <c r="K513" s="256"/>
    </row>
    <row r="514" spans="1:11" ht="12.75" x14ac:dyDescent="0.35">
      <c r="A514" s="256"/>
      <c r="B514" s="256"/>
      <c r="C514" s="256"/>
      <c r="D514" s="256"/>
      <c r="E514" s="256"/>
      <c r="F514" s="256"/>
      <c r="G514" s="256"/>
      <c r="H514" s="256"/>
      <c r="I514" s="256"/>
      <c r="J514" s="256"/>
      <c r="K514" s="256"/>
    </row>
    <row r="515" spans="1:11" ht="12.75" x14ac:dyDescent="0.35">
      <c r="A515" s="256"/>
      <c r="B515" s="256"/>
      <c r="C515" s="256"/>
      <c r="D515" s="256"/>
      <c r="E515" s="256"/>
      <c r="F515" s="256"/>
      <c r="G515" s="256"/>
      <c r="H515" s="256"/>
      <c r="I515" s="256"/>
      <c r="J515" s="256"/>
      <c r="K515" s="256"/>
    </row>
    <row r="516" spans="1:11" ht="12.75" x14ac:dyDescent="0.35">
      <c r="A516" s="256"/>
      <c r="B516" s="256"/>
      <c r="C516" s="256"/>
      <c r="D516" s="256"/>
      <c r="E516" s="256"/>
      <c r="F516" s="256"/>
      <c r="G516" s="256"/>
      <c r="H516" s="256"/>
      <c r="I516" s="256"/>
      <c r="J516" s="256"/>
      <c r="K516" s="256"/>
    </row>
    <row r="517" spans="1:11" ht="12.75" x14ac:dyDescent="0.35">
      <c r="A517" s="256"/>
      <c r="B517" s="256"/>
      <c r="C517" s="256"/>
      <c r="D517" s="256"/>
      <c r="E517" s="256"/>
      <c r="F517" s="256"/>
      <c r="G517" s="256"/>
      <c r="H517" s="256"/>
      <c r="I517" s="256"/>
      <c r="J517" s="256"/>
      <c r="K517" s="256"/>
    </row>
    <row r="518" spans="1:11" ht="12.75" x14ac:dyDescent="0.35">
      <c r="A518" s="256"/>
      <c r="B518" s="256"/>
      <c r="C518" s="256"/>
      <c r="D518" s="256"/>
      <c r="E518" s="256"/>
      <c r="F518" s="256"/>
      <c r="G518" s="256"/>
      <c r="H518" s="256"/>
      <c r="I518" s="256"/>
      <c r="J518" s="256"/>
      <c r="K518" s="256"/>
    </row>
    <row r="519" spans="1:11" ht="12.75" x14ac:dyDescent="0.35">
      <c r="A519" s="256"/>
      <c r="B519" s="256"/>
      <c r="C519" s="256"/>
      <c r="D519" s="256"/>
      <c r="E519" s="256"/>
      <c r="F519" s="256"/>
      <c r="G519" s="256"/>
      <c r="H519" s="256"/>
      <c r="I519" s="256"/>
      <c r="J519" s="256"/>
      <c r="K519" s="256"/>
    </row>
    <row r="520" spans="1:11" ht="12.75" x14ac:dyDescent="0.35">
      <c r="A520" s="256"/>
      <c r="B520" s="256"/>
      <c r="C520" s="256"/>
      <c r="D520" s="256"/>
      <c r="E520" s="256"/>
      <c r="F520" s="256"/>
      <c r="G520" s="256"/>
      <c r="H520" s="256"/>
      <c r="I520" s="256"/>
      <c r="J520" s="256"/>
      <c r="K520" s="256"/>
    </row>
    <row r="521" spans="1:11" ht="12.75" x14ac:dyDescent="0.35">
      <c r="A521" s="256"/>
      <c r="B521" s="256"/>
      <c r="C521" s="256"/>
      <c r="D521" s="256"/>
      <c r="E521" s="256"/>
      <c r="F521" s="256"/>
      <c r="G521" s="256"/>
      <c r="H521" s="256"/>
      <c r="I521" s="256"/>
      <c r="J521" s="256"/>
      <c r="K521" s="256"/>
    </row>
    <row r="522" spans="1:11" ht="12.75" x14ac:dyDescent="0.35">
      <c r="A522" s="256"/>
      <c r="B522" s="256"/>
      <c r="C522" s="256"/>
      <c r="D522" s="256"/>
      <c r="E522" s="256"/>
      <c r="F522" s="256"/>
      <c r="G522" s="256"/>
      <c r="H522" s="256"/>
      <c r="I522" s="256"/>
      <c r="J522" s="256"/>
      <c r="K522" s="256"/>
    </row>
    <row r="523" spans="1:11" ht="12.75" x14ac:dyDescent="0.35">
      <c r="A523" s="256"/>
      <c r="B523" s="256"/>
      <c r="C523" s="256"/>
      <c r="D523" s="256"/>
      <c r="E523" s="256"/>
      <c r="F523" s="256"/>
      <c r="G523" s="256"/>
      <c r="H523" s="256"/>
      <c r="I523" s="256"/>
      <c r="J523" s="256"/>
      <c r="K523" s="256"/>
    </row>
    <row r="524" spans="1:11" ht="12.75" x14ac:dyDescent="0.35">
      <c r="A524" s="256"/>
      <c r="B524" s="256"/>
      <c r="C524" s="256"/>
      <c r="D524" s="256"/>
      <c r="E524" s="256"/>
      <c r="F524" s="256"/>
      <c r="G524" s="256"/>
      <c r="H524" s="256"/>
      <c r="I524" s="256"/>
      <c r="J524" s="256"/>
      <c r="K524" s="256"/>
    </row>
    <row r="525" spans="1:11" ht="12.75" x14ac:dyDescent="0.35">
      <c r="A525" s="256"/>
      <c r="B525" s="256"/>
      <c r="C525" s="256"/>
      <c r="D525" s="256"/>
      <c r="E525" s="256"/>
      <c r="F525" s="256"/>
      <c r="G525" s="256"/>
      <c r="H525" s="256"/>
      <c r="I525" s="256"/>
      <c r="J525" s="256"/>
      <c r="K525" s="256"/>
    </row>
    <row r="526" spans="1:11" ht="12.75" x14ac:dyDescent="0.35">
      <c r="A526" s="256"/>
      <c r="B526" s="256"/>
      <c r="C526" s="256"/>
      <c r="D526" s="256"/>
      <c r="E526" s="256"/>
      <c r="F526" s="256"/>
      <c r="G526" s="256"/>
      <c r="H526" s="256"/>
      <c r="I526" s="256"/>
      <c r="J526" s="256"/>
      <c r="K526" s="256"/>
    </row>
    <row r="527" spans="1:11" ht="12.75" x14ac:dyDescent="0.35">
      <c r="A527" s="256"/>
      <c r="B527" s="256"/>
      <c r="C527" s="256"/>
      <c r="D527" s="256"/>
      <c r="E527" s="256"/>
      <c r="F527" s="256"/>
      <c r="G527" s="256"/>
      <c r="H527" s="256"/>
      <c r="I527" s="256"/>
      <c r="J527" s="256"/>
      <c r="K527" s="256"/>
    </row>
    <row r="528" spans="1:11" ht="12.75" x14ac:dyDescent="0.35">
      <c r="A528" s="256"/>
      <c r="B528" s="256"/>
      <c r="C528" s="256"/>
      <c r="D528" s="256"/>
      <c r="E528" s="256"/>
      <c r="F528" s="256"/>
      <c r="G528" s="256"/>
      <c r="H528" s="256"/>
      <c r="I528" s="256"/>
      <c r="J528" s="256"/>
      <c r="K528" s="256"/>
    </row>
    <row r="529" spans="1:11" ht="12.75" x14ac:dyDescent="0.35">
      <c r="A529" s="256"/>
      <c r="B529" s="256"/>
      <c r="C529" s="256"/>
      <c r="D529" s="256"/>
      <c r="E529" s="256"/>
      <c r="F529" s="256"/>
      <c r="G529" s="256"/>
      <c r="H529" s="256"/>
      <c r="I529" s="256"/>
      <c r="J529" s="256"/>
      <c r="K529" s="256"/>
    </row>
    <row r="530" spans="1:11" ht="12.75" x14ac:dyDescent="0.35">
      <c r="A530" s="256"/>
      <c r="B530" s="256"/>
      <c r="C530" s="256"/>
      <c r="D530" s="256"/>
      <c r="E530" s="256"/>
      <c r="F530" s="256"/>
      <c r="G530" s="256"/>
      <c r="H530" s="256"/>
      <c r="I530" s="256"/>
      <c r="J530" s="256"/>
      <c r="K530" s="256"/>
    </row>
    <row r="531" spans="1:11" ht="12.75" x14ac:dyDescent="0.35">
      <c r="A531" s="256"/>
      <c r="B531" s="256"/>
      <c r="C531" s="256"/>
      <c r="D531" s="256"/>
      <c r="E531" s="256"/>
      <c r="F531" s="256"/>
      <c r="G531" s="256"/>
      <c r="H531" s="256"/>
      <c r="I531" s="256"/>
      <c r="J531" s="256"/>
      <c r="K531" s="256"/>
    </row>
    <row r="532" spans="1:11" ht="12.75" x14ac:dyDescent="0.35">
      <c r="A532" s="256"/>
      <c r="B532" s="256"/>
      <c r="C532" s="256"/>
      <c r="D532" s="256"/>
      <c r="E532" s="256"/>
      <c r="F532" s="256"/>
      <c r="G532" s="256"/>
      <c r="H532" s="256"/>
      <c r="I532" s="256"/>
      <c r="J532" s="256"/>
      <c r="K532" s="256"/>
    </row>
    <row r="533" spans="1:11" ht="12.75" x14ac:dyDescent="0.35">
      <c r="A533" s="256"/>
      <c r="B533" s="256"/>
      <c r="C533" s="256"/>
      <c r="D533" s="256"/>
      <c r="E533" s="256"/>
      <c r="F533" s="256"/>
      <c r="G533" s="256"/>
      <c r="H533" s="256"/>
      <c r="I533" s="256"/>
      <c r="J533" s="256"/>
      <c r="K533" s="256"/>
    </row>
    <row r="534" spans="1:11" ht="12.75" x14ac:dyDescent="0.35">
      <c r="A534" s="256"/>
      <c r="B534" s="256"/>
      <c r="C534" s="256"/>
      <c r="D534" s="256"/>
      <c r="E534" s="256"/>
      <c r="F534" s="256"/>
      <c r="G534" s="256"/>
      <c r="H534" s="256"/>
      <c r="I534" s="256"/>
      <c r="J534" s="256"/>
      <c r="K534" s="256"/>
    </row>
    <row r="535" spans="1:11" ht="12.75" x14ac:dyDescent="0.35">
      <c r="A535" s="256"/>
      <c r="B535" s="256"/>
      <c r="C535" s="256"/>
      <c r="D535" s="256"/>
      <c r="E535" s="256"/>
      <c r="F535" s="256"/>
      <c r="G535" s="256"/>
      <c r="H535" s="256"/>
      <c r="I535" s="256"/>
      <c r="J535" s="256"/>
      <c r="K535" s="256"/>
    </row>
    <row r="536" spans="1:11" ht="12.75" x14ac:dyDescent="0.35">
      <c r="A536" s="256"/>
      <c r="B536" s="256"/>
      <c r="C536" s="256"/>
      <c r="D536" s="256"/>
      <c r="E536" s="256"/>
      <c r="F536" s="256"/>
      <c r="G536" s="256"/>
      <c r="H536" s="256"/>
      <c r="I536" s="256"/>
      <c r="J536" s="256"/>
      <c r="K536" s="256"/>
    </row>
    <row r="537" spans="1:11" ht="12.75" x14ac:dyDescent="0.35">
      <c r="A537" s="256"/>
      <c r="B537" s="256"/>
      <c r="C537" s="256"/>
      <c r="D537" s="256"/>
      <c r="E537" s="256"/>
      <c r="F537" s="256"/>
      <c r="G537" s="256"/>
      <c r="H537" s="256"/>
      <c r="I537" s="256"/>
      <c r="J537" s="256"/>
      <c r="K537" s="256"/>
    </row>
    <row r="538" spans="1:11" ht="12.75" x14ac:dyDescent="0.35">
      <c r="A538" s="256"/>
      <c r="B538" s="256"/>
      <c r="C538" s="256"/>
      <c r="D538" s="256"/>
      <c r="E538" s="256"/>
      <c r="F538" s="256"/>
      <c r="G538" s="256"/>
      <c r="H538" s="256"/>
      <c r="I538" s="256"/>
      <c r="J538" s="256"/>
      <c r="K538" s="256"/>
    </row>
    <row r="539" spans="1:11" ht="12.75" x14ac:dyDescent="0.35">
      <c r="A539" s="256"/>
      <c r="B539" s="256"/>
      <c r="C539" s="256"/>
      <c r="D539" s="256"/>
      <c r="E539" s="256"/>
      <c r="F539" s="256"/>
      <c r="G539" s="256"/>
      <c r="H539" s="256"/>
      <c r="I539" s="256"/>
      <c r="J539" s="256"/>
      <c r="K539" s="256"/>
    </row>
    <row r="540" spans="1:11" ht="12.75" x14ac:dyDescent="0.35">
      <c r="A540" s="256"/>
      <c r="B540" s="256"/>
      <c r="C540" s="256"/>
      <c r="D540" s="256"/>
      <c r="E540" s="256"/>
      <c r="F540" s="256"/>
      <c r="G540" s="256"/>
      <c r="H540" s="256"/>
      <c r="I540" s="256"/>
      <c r="J540" s="256"/>
      <c r="K540" s="256"/>
    </row>
    <row r="541" spans="1:11" ht="12.75" x14ac:dyDescent="0.35">
      <c r="A541" s="256"/>
      <c r="B541" s="256"/>
      <c r="C541" s="256"/>
      <c r="D541" s="256"/>
      <c r="E541" s="256"/>
      <c r="F541" s="256"/>
      <c r="G541" s="256"/>
      <c r="H541" s="256"/>
      <c r="I541" s="256"/>
      <c r="J541" s="256"/>
      <c r="K541" s="256"/>
    </row>
    <row r="542" spans="1:11" ht="12.75" x14ac:dyDescent="0.35">
      <c r="A542" s="256"/>
      <c r="B542" s="256"/>
      <c r="C542" s="256"/>
      <c r="D542" s="256"/>
      <c r="E542" s="256"/>
      <c r="F542" s="256"/>
      <c r="G542" s="256"/>
      <c r="H542" s="256"/>
      <c r="I542" s="256"/>
      <c r="J542" s="256"/>
      <c r="K542" s="256"/>
    </row>
    <row r="543" spans="1:11" ht="12.75" x14ac:dyDescent="0.35">
      <c r="A543" s="256"/>
      <c r="B543" s="256"/>
      <c r="C543" s="256"/>
      <c r="D543" s="256"/>
      <c r="E543" s="256"/>
      <c r="F543" s="256"/>
      <c r="G543" s="256"/>
      <c r="H543" s="256"/>
      <c r="I543" s="256"/>
      <c r="J543" s="256"/>
      <c r="K543" s="256"/>
    </row>
    <row r="544" spans="1:11" ht="12.75" x14ac:dyDescent="0.35">
      <c r="A544" s="256"/>
      <c r="B544" s="256"/>
      <c r="C544" s="256"/>
      <c r="D544" s="256"/>
      <c r="E544" s="256"/>
      <c r="F544" s="256"/>
      <c r="G544" s="256"/>
      <c r="H544" s="256"/>
      <c r="I544" s="256"/>
      <c r="J544" s="256"/>
      <c r="K544" s="256"/>
    </row>
    <row r="545" spans="1:11" ht="12.75" x14ac:dyDescent="0.35">
      <c r="A545" s="256"/>
      <c r="B545" s="256"/>
      <c r="C545" s="256"/>
      <c r="D545" s="256"/>
      <c r="E545" s="256"/>
      <c r="F545" s="256"/>
      <c r="G545" s="256"/>
      <c r="H545" s="256"/>
      <c r="I545" s="256"/>
      <c r="J545" s="256"/>
      <c r="K545" s="256"/>
    </row>
    <row r="546" spans="1:11" ht="12.75" x14ac:dyDescent="0.35">
      <c r="A546" s="256"/>
      <c r="B546" s="256"/>
      <c r="C546" s="256"/>
      <c r="D546" s="256"/>
      <c r="E546" s="256"/>
      <c r="F546" s="256"/>
      <c r="G546" s="256"/>
      <c r="H546" s="256"/>
      <c r="I546" s="256"/>
      <c r="J546" s="256"/>
      <c r="K546" s="256"/>
    </row>
    <row r="547" spans="1:11" ht="12.75" x14ac:dyDescent="0.35">
      <c r="A547" s="256"/>
      <c r="B547" s="256"/>
      <c r="C547" s="256"/>
      <c r="D547" s="256"/>
      <c r="E547" s="256"/>
      <c r="F547" s="256"/>
      <c r="G547" s="256"/>
      <c r="H547" s="256"/>
      <c r="I547" s="256"/>
      <c r="J547" s="256"/>
      <c r="K547" s="256"/>
    </row>
    <row r="548" spans="1:11" ht="12.75" x14ac:dyDescent="0.35">
      <c r="A548" s="256"/>
      <c r="B548" s="256"/>
      <c r="C548" s="256"/>
      <c r="D548" s="256"/>
      <c r="E548" s="256"/>
      <c r="F548" s="256"/>
      <c r="G548" s="256"/>
      <c r="H548" s="256"/>
      <c r="I548" s="256"/>
      <c r="J548" s="256"/>
      <c r="K548" s="256"/>
    </row>
    <row r="549" spans="1:11" ht="12.75" x14ac:dyDescent="0.35">
      <c r="A549" s="256"/>
      <c r="B549" s="256"/>
      <c r="C549" s="256"/>
      <c r="D549" s="256"/>
      <c r="E549" s="256"/>
      <c r="F549" s="256"/>
      <c r="G549" s="256"/>
      <c r="H549" s="256"/>
      <c r="I549" s="256"/>
      <c r="J549" s="256"/>
      <c r="K549" s="256"/>
    </row>
    <row r="550" spans="1:11" ht="12.75" x14ac:dyDescent="0.35">
      <c r="A550" s="256"/>
      <c r="B550" s="256"/>
      <c r="C550" s="256"/>
      <c r="D550" s="256"/>
      <c r="E550" s="256"/>
      <c r="F550" s="256"/>
      <c r="G550" s="256"/>
      <c r="H550" s="256"/>
      <c r="I550" s="256"/>
      <c r="J550" s="256"/>
      <c r="K550" s="256"/>
    </row>
    <row r="551" spans="1:11" ht="12.75" x14ac:dyDescent="0.35">
      <c r="A551" s="256"/>
      <c r="B551" s="256"/>
      <c r="C551" s="256"/>
      <c r="D551" s="256"/>
      <c r="E551" s="256"/>
      <c r="F551" s="256"/>
      <c r="G551" s="256"/>
      <c r="H551" s="256"/>
      <c r="I551" s="256"/>
      <c r="J551" s="256"/>
      <c r="K551" s="256"/>
    </row>
    <row r="552" spans="1:11" ht="12.75" x14ac:dyDescent="0.35">
      <c r="A552" s="256"/>
      <c r="B552" s="256"/>
      <c r="C552" s="256"/>
      <c r="D552" s="256"/>
      <c r="E552" s="256"/>
      <c r="F552" s="256"/>
      <c r="G552" s="256"/>
      <c r="H552" s="256"/>
      <c r="I552" s="256"/>
      <c r="J552" s="256"/>
      <c r="K552" s="256"/>
    </row>
    <row r="553" spans="1:11" ht="12.75" x14ac:dyDescent="0.35">
      <c r="A553" s="256"/>
      <c r="B553" s="256"/>
      <c r="C553" s="256"/>
      <c r="D553" s="256"/>
      <c r="E553" s="256"/>
      <c r="F553" s="256"/>
      <c r="G553" s="256"/>
      <c r="H553" s="256"/>
      <c r="I553" s="256"/>
      <c r="J553" s="256"/>
      <c r="K553" s="256"/>
    </row>
    <row r="554" spans="1:11" ht="12.75" x14ac:dyDescent="0.35">
      <c r="A554" s="256"/>
      <c r="B554" s="256"/>
      <c r="C554" s="256"/>
      <c r="D554" s="256"/>
      <c r="E554" s="256"/>
      <c r="F554" s="256"/>
      <c r="G554" s="256"/>
      <c r="H554" s="256"/>
      <c r="I554" s="256"/>
      <c r="J554" s="256"/>
      <c r="K554" s="256"/>
    </row>
    <row r="555" spans="1:11" ht="12.75" x14ac:dyDescent="0.35">
      <c r="A555" s="256"/>
      <c r="B555" s="256"/>
      <c r="C555" s="256"/>
      <c r="D555" s="256"/>
      <c r="E555" s="256"/>
      <c r="F555" s="256"/>
      <c r="G555" s="256"/>
      <c r="H555" s="256"/>
      <c r="I555" s="256"/>
      <c r="J555" s="256"/>
      <c r="K555" s="256"/>
    </row>
    <row r="556" spans="1:11" ht="12.75" x14ac:dyDescent="0.35">
      <c r="A556" s="256"/>
      <c r="B556" s="256"/>
      <c r="C556" s="256"/>
      <c r="D556" s="256"/>
      <c r="E556" s="256"/>
      <c r="F556" s="256"/>
      <c r="G556" s="256"/>
      <c r="H556" s="256"/>
      <c r="I556" s="256"/>
      <c r="J556" s="256"/>
      <c r="K556" s="256"/>
    </row>
    <row r="557" spans="1:11" ht="12.75" x14ac:dyDescent="0.35">
      <c r="A557" s="256"/>
      <c r="B557" s="256"/>
      <c r="C557" s="256"/>
      <c r="D557" s="256"/>
      <c r="E557" s="256"/>
      <c r="F557" s="256"/>
      <c r="G557" s="256"/>
      <c r="H557" s="256"/>
      <c r="I557" s="256"/>
      <c r="J557" s="256"/>
      <c r="K557" s="256"/>
    </row>
    <row r="558" spans="1:11" ht="12.75" x14ac:dyDescent="0.35">
      <c r="A558" s="256"/>
      <c r="B558" s="256"/>
      <c r="C558" s="256"/>
      <c r="D558" s="256"/>
      <c r="E558" s="256"/>
      <c r="F558" s="256"/>
      <c r="G558" s="256"/>
      <c r="H558" s="256"/>
      <c r="I558" s="256"/>
      <c r="J558" s="256"/>
      <c r="K558" s="256"/>
    </row>
    <row r="559" spans="1:11" ht="12.75" x14ac:dyDescent="0.35">
      <c r="A559" s="256"/>
      <c r="B559" s="256"/>
      <c r="C559" s="256"/>
      <c r="D559" s="256"/>
      <c r="E559" s="256"/>
      <c r="F559" s="256"/>
      <c r="G559" s="256"/>
      <c r="H559" s="256"/>
      <c r="I559" s="256"/>
      <c r="J559" s="256"/>
      <c r="K559" s="256"/>
    </row>
    <row r="560" spans="1:11" ht="12.75" x14ac:dyDescent="0.35">
      <c r="A560" s="256"/>
      <c r="B560" s="256"/>
      <c r="C560" s="256"/>
      <c r="D560" s="256"/>
      <c r="E560" s="256"/>
      <c r="F560" s="256"/>
      <c r="G560" s="256"/>
      <c r="H560" s="256"/>
      <c r="I560" s="256"/>
      <c r="J560" s="256"/>
      <c r="K560" s="256"/>
    </row>
    <row r="561" spans="1:11" ht="12.75" x14ac:dyDescent="0.35">
      <c r="A561" s="256"/>
      <c r="B561" s="256"/>
      <c r="C561" s="256"/>
      <c r="D561" s="256"/>
      <c r="E561" s="256"/>
      <c r="F561" s="256"/>
      <c r="G561" s="256"/>
      <c r="H561" s="256"/>
      <c r="I561" s="256"/>
      <c r="J561" s="256"/>
      <c r="K561" s="256"/>
    </row>
    <row r="562" spans="1:11" ht="12.75" x14ac:dyDescent="0.35">
      <c r="A562" s="256"/>
      <c r="B562" s="256"/>
      <c r="C562" s="256"/>
      <c r="D562" s="256"/>
      <c r="E562" s="256"/>
      <c r="F562" s="256"/>
      <c r="G562" s="256"/>
      <c r="H562" s="256"/>
      <c r="I562" s="256"/>
      <c r="J562" s="256"/>
      <c r="K562" s="256"/>
    </row>
    <row r="563" spans="1:11" ht="12.75" x14ac:dyDescent="0.35">
      <c r="A563" s="256"/>
      <c r="B563" s="256"/>
      <c r="C563" s="256"/>
      <c r="D563" s="256"/>
      <c r="E563" s="256"/>
      <c r="F563" s="256"/>
      <c r="G563" s="256"/>
      <c r="H563" s="256"/>
      <c r="I563" s="256"/>
      <c r="J563" s="256"/>
      <c r="K563" s="256"/>
    </row>
    <row r="564" spans="1:11" ht="12.75" x14ac:dyDescent="0.35">
      <c r="A564" s="256"/>
      <c r="B564" s="256"/>
      <c r="C564" s="256"/>
      <c r="D564" s="256"/>
      <c r="E564" s="256"/>
      <c r="F564" s="256"/>
      <c r="G564" s="256"/>
      <c r="H564" s="256"/>
      <c r="I564" s="256"/>
      <c r="J564" s="256"/>
      <c r="K564" s="256"/>
    </row>
    <row r="565" spans="1:11" ht="12.75" x14ac:dyDescent="0.35">
      <c r="A565" s="256"/>
      <c r="B565" s="256"/>
      <c r="C565" s="256"/>
      <c r="D565" s="256"/>
      <c r="E565" s="256"/>
      <c r="F565" s="256"/>
      <c r="G565" s="256"/>
      <c r="H565" s="256"/>
      <c r="I565" s="256"/>
      <c r="J565" s="256"/>
      <c r="K565" s="256"/>
    </row>
    <row r="566" spans="1:11" ht="12.75" x14ac:dyDescent="0.35">
      <c r="A566" s="256"/>
      <c r="B566" s="256"/>
      <c r="C566" s="256"/>
      <c r="D566" s="256"/>
      <c r="E566" s="256"/>
      <c r="F566" s="256"/>
      <c r="G566" s="256"/>
      <c r="H566" s="256"/>
      <c r="I566" s="256"/>
      <c r="J566" s="256"/>
      <c r="K566" s="256"/>
    </row>
    <row r="567" spans="1:11" ht="12.75" x14ac:dyDescent="0.35">
      <c r="A567" s="256"/>
      <c r="B567" s="256"/>
      <c r="C567" s="256"/>
      <c r="D567" s="256"/>
      <c r="E567" s="256"/>
      <c r="F567" s="256"/>
      <c r="G567" s="256"/>
      <c r="H567" s="256"/>
      <c r="I567" s="256"/>
      <c r="J567" s="256"/>
      <c r="K567" s="256"/>
    </row>
    <row r="568" spans="1:11" ht="12.75" x14ac:dyDescent="0.35">
      <c r="A568" s="256"/>
      <c r="B568" s="256"/>
      <c r="C568" s="256"/>
      <c r="D568" s="256"/>
      <c r="E568" s="256"/>
      <c r="F568" s="256"/>
      <c r="G568" s="256"/>
      <c r="H568" s="256"/>
      <c r="I568" s="256"/>
      <c r="J568" s="256"/>
      <c r="K568" s="256"/>
    </row>
    <row r="569" spans="1:11" ht="12.75" x14ac:dyDescent="0.35">
      <c r="A569" s="256"/>
      <c r="B569" s="256"/>
      <c r="C569" s="256"/>
      <c r="D569" s="256"/>
      <c r="E569" s="256"/>
      <c r="F569" s="256"/>
      <c r="G569" s="256"/>
      <c r="H569" s="256"/>
      <c r="I569" s="256"/>
      <c r="J569" s="256"/>
      <c r="K569" s="256"/>
    </row>
    <row r="570" spans="1:11" ht="12.75" x14ac:dyDescent="0.35">
      <c r="A570" s="256"/>
      <c r="B570" s="256"/>
      <c r="C570" s="256"/>
      <c r="D570" s="256"/>
      <c r="E570" s="256"/>
      <c r="F570" s="256"/>
      <c r="G570" s="256"/>
      <c r="H570" s="256"/>
      <c r="I570" s="256"/>
      <c r="J570" s="256"/>
      <c r="K570" s="256"/>
    </row>
    <row r="571" spans="1:11" ht="12.75" x14ac:dyDescent="0.35">
      <c r="A571" s="256"/>
      <c r="B571" s="256"/>
      <c r="C571" s="256"/>
      <c r="D571" s="256"/>
      <c r="E571" s="256"/>
      <c r="F571" s="256"/>
      <c r="G571" s="256"/>
      <c r="H571" s="256"/>
      <c r="I571" s="256"/>
      <c r="J571" s="256"/>
      <c r="K571" s="256"/>
    </row>
    <row r="572" spans="1:11" ht="12.75" x14ac:dyDescent="0.35">
      <c r="A572" s="256"/>
      <c r="B572" s="256"/>
      <c r="C572" s="256"/>
      <c r="D572" s="256"/>
      <c r="E572" s="256"/>
      <c r="F572" s="256"/>
      <c r="G572" s="256"/>
      <c r="H572" s="256"/>
      <c r="I572" s="256"/>
      <c r="J572" s="256"/>
      <c r="K572" s="256"/>
    </row>
    <row r="573" spans="1:11" ht="12.75" x14ac:dyDescent="0.35">
      <c r="A573" s="256"/>
      <c r="B573" s="256"/>
      <c r="C573" s="256"/>
      <c r="D573" s="256"/>
      <c r="E573" s="256"/>
      <c r="F573" s="256"/>
      <c r="G573" s="256"/>
      <c r="H573" s="256"/>
      <c r="I573" s="256"/>
      <c r="J573" s="256"/>
      <c r="K573" s="256"/>
    </row>
    <row r="574" spans="1:11" ht="12.75" x14ac:dyDescent="0.35">
      <c r="A574" s="256"/>
      <c r="B574" s="256"/>
      <c r="C574" s="256"/>
      <c r="D574" s="256"/>
      <c r="E574" s="256"/>
      <c r="F574" s="256"/>
      <c r="G574" s="256"/>
      <c r="H574" s="256"/>
      <c r="I574" s="256"/>
      <c r="J574" s="256"/>
      <c r="K574" s="256"/>
    </row>
    <row r="575" spans="1:11" ht="12.75" x14ac:dyDescent="0.35">
      <c r="A575" s="256"/>
      <c r="B575" s="256"/>
      <c r="C575" s="256"/>
      <c r="D575" s="256"/>
      <c r="E575" s="256"/>
      <c r="F575" s="256"/>
      <c r="G575" s="256"/>
      <c r="H575" s="256"/>
      <c r="I575" s="256"/>
      <c r="J575" s="256"/>
      <c r="K575" s="256"/>
    </row>
    <row r="576" spans="1:11" ht="12.75" x14ac:dyDescent="0.35">
      <c r="A576" s="256"/>
      <c r="B576" s="256"/>
      <c r="C576" s="256"/>
      <c r="D576" s="256"/>
      <c r="E576" s="256"/>
      <c r="F576" s="256"/>
      <c r="G576" s="256"/>
      <c r="H576" s="256"/>
      <c r="I576" s="256"/>
      <c r="J576" s="256"/>
      <c r="K576" s="256"/>
    </row>
    <row r="577" spans="1:11" ht="12.75" x14ac:dyDescent="0.35">
      <c r="A577" s="256"/>
      <c r="B577" s="256"/>
      <c r="C577" s="256"/>
      <c r="D577" s="256"/>
      <c r="E577" s="256"/>
      <c r="F577" s="256"/>
      <c r="G577" s="256"/>
      <c r="H577" s="256"/>
      <c r="I577" s="256"/>
      <c r="J577" s="256"/>
      <c r="K577" s="256"/>
    </row>
    <row r="578" spans="1:11" ht="12.75" x14ac:dyDescent="0.35">
      <c r="A578" s="256"/>
      <c r="B578" s="256"/>
      <c r="C578" s="256"/>
      <c r="D578" s="256"/>
      <c r="E578" s="256"/>
      <c r="F578" s="256"/>
      <c r="G578" s="256"/>
      <c r="H578" s="256"/>
      <c r="I578" s="256"/>
      <c r="J578" s="256"/>
      <c r="K578" s="256"/>
    </row>
    <row r="579" spans="1:11" ht="12.75" x14ac:dyDescent="0.35">
      <c r="A579" s="256"/>
      <c r="B579" s="256"/>
      <c r="C579" s="256"/>
      <c r="D579" s="256"/>
      <c r="E579" s="256"/>
      <c r="F579" s="256"/>
      <c r="G579" s="256"/>
      <c r="H579" s="256"/>
      <c r="I579" s="256"/>
      <c r="J579" s="256"/>
      <c r="K579" s="256"/>
    </row>
    <row r="580" spans="1:11" ht="12.75" x14ac:dyDescent="0.35">
      <c r="A580" s="256"/>
      <c r="B580" s="256"/>
      <c r="C580" s="256"/>
      <c r="D580" s="256"/>
      <c r="E580" s="256"/>
      <c r="F580" s="256"/>
      <c r="G580" s="256"/>
      <c r="H580" s="256"/>
      <c r="I580" s="256"/>
      <c r="J580" s="256"/>
      <c r="K580" s="256"/>
    </row>
    <row r="581" spans="1:11" ht="12.75" x14ac:dyDescent="0.35">
      <c r="A581" s="256"/>
      <c r="B581" s="256"/>
      <c r="C581" s="256"/>
      <c r="D581" s="256"/>
      <c r="E581" s="256"/>
      <c r="F581" s="256"/>
      <c r="G581" s="256"/>
      <c r="H581" s="256"/>
      <c r="I581" s="256"/>
      <c r="J581" s="256"/>
      <c r="K581" s="256"/>
    </row>
    <row r="582" spans="1:11" ht="12.75" x14ac:dyDescent="0.35">
      <c r="A582" s="256"/>
      <c r="B582" s="256"/>
      <c r="C582" s="256"/>
      <c r="D582" s="256"/>
      <c r="E582" s="256"/>
      <c r="F582" s="256"/>
      <c r="G582" s="256"/>
      <c r="H582" s="256"/>
      <c r="I582" s="256"/>
      <c r="J582" s="256"/>
      <c r="K582" s="256"/>
    </row>
    <row r="583" spans="1:11" ht="12.75" x14ac:dyDescent="0.35">
      <c r="A583" s="256"/>
      <c r="B583" s="256"/>
      <c r="C583" s="256"/>
      <c r="D583" s="256"/>
      <c r="E583" s="256"/>
      <c r="F583" s="256"/>
      <c r="G583" s="256"/>
      <c r="H583" s="256"/>
      <c r="I583" s="256"/>
      <c r="J583" s="256"/>
      <c r="K583" s="256"/>
    </row>
    <row r="584" spans="1:11" ht="12.75" x14ac:dyDescent="0.35">
      <c r="A584" s="256"/>
      <c r="B584" s="256"/>
      <c r="C584" s="256"/>
      <c r="D584" s="256"/>
      <c r="E584" s="256"/>
      <c r="F584" s="256"/>
      <c r="G584" s="256"/>
      <c r="H584" s="256"/>
      <c r="I584" s="256"/>
      <c r="J584" s="256"/>
      <c r="K584" s="256"/>
    </row>
    <row r="585" spans="1:11" ht="12.75" x14ac:dyDescent="0.35">
      <c r="A585" s="256"/>
      <c r="B585" s="256"/>
      <c r="C585" s="256"/>
      <c r="D585" s="256"/>
      <c r="E585" s="256"/>
      <c r="F585" s="256"/>
      <c r="G585" s="256"/>
      <c r="H585" s="256"/>
      <c r="I585" s="256"/>
      <c r="J585" s="256"/>
      <c r="K585" s="256"/>
    </row>
    <row r="586" spans="1:11" ht="12.75" x14ac:dyDescent="0.35">
      <c r="A586" s="256"/>
      <c r="B586" s="256"/>
      <c r="C586" s="256"/>
      <c r="D586" s="256"/>
      <c r="E586" s="256"/>
      <c r="F586" s="256"/>
      <c r="G586" s="256"/>
      <c r="H586" s="256"/>
      <c r="I586" s="256"/>
      <c r="J586" s="256"/>
      <c r="K586" s="256"/>
    </row>
    <row r="587" spans="1:11" ht="12.75" x14ac:dyDescent="0.35">
      <c r="A587" s="256"/>
      <c r="B587" s="256"/>
      <c r="C587" s="256"/>
      <c r="D587" s="256"/>
      <c r="E587" s="256"/>
      <c r="F587" s="256"/>
      <c r="G587" s="256"/>
      <c r="H587" s="256"/>
      <c r="I587" s="256"/>
      <c r="J587" s="256"/>
      <c r="K587" s="256"/>
    </row>
    <row r="588" spans="1:11" ht="12.75" x14ac:dyDescent="0.35">
      <c r="A588" s="256"/>
      <c r="B588" s="256"/>
      <c r="C588" s="256"/>
      <c r="D588" s="256"/>
      <c r="E588" s="256"/>
      <c r="F588" s="256"/>
      <c r="G588" s="256"/>
      <c r="H588" s="256"/>
      <c r="I588" s="256"/>
      <c r="J588" s="256"/>
      <c r="K588" s="256"/>
    </row>
    <row r="589" spans="1:11" ht="12.75" x14ac:dyDescent="0.35">
      <c r="A589" s="256"/>
      <c r="B589" s="256"/>
      <c r="C589" s="256"/>
      <c r="D589" s="256"/>
      <c r="E589" s="256"/>
      <c r="F589" s="256"/>
      <c r="G589" s="256"/>
      <c r="H589" s="256"/>
      <c r="I589" s="256"/>
      <c r="J589" s="256"/>
      <c r="K589" s="256"/>
    </row>
    <row r="590" spans="1:11" ht="12.75" x14ac:dyDescent="0.35">
      <c r="A590" s="256"/>
      <c r="B590" s="256"/>
      <c r="C590" s="256"/>
      <c r="D590" s="256"/>
      <c r="E590" s="256"/>
      <c r="F590" s="256"/>
      <c r="G590" s="256"/>
      <c r="H590" s="256"/>
      <c r="I590" s="256"/>
      <c r="J590" s="256"/>
      <c r="K590" s="256"/>
    </row>
    <row r="591" spans="1:11" ht="12.75" x14ac:dyDescent="0.35">
      <c r="A591" s="256"/>
      <c r="B591" s="256"/>
      <c r="C591" s="256"/>
      <c r="D591" s="256"/>
      <c r="E591" s="256"/>
      <c r="F591" s="256"/>
      <c r="G591" s="256"/>
      <c r="H591" s="256"/>
      <c r="I591" s="256"/>
      <c r="J591" s="256"/>
      <c r="K591" s="256"/>
    </row>
    <row r="592" spans="1:11" ht="12.75" x14ac:dyDescent="0.35">
      <c r="A592" s="256"/>
      <c r="B592" s="256"/>
      <c r="C592" s="256"/>
      <c r="D592" s="256"/>
      <c r="E592" s="256"/>
      <c r="F592" s="256"/>
      <c r="G592" s="256"/>
      <c r="H592" s="256"/>
      <c r="I592" s="256"/>
      <c r="J592" s="256"/>
      <c r="K592" s="256"/>
    </row>
    <row r="593" spans="1:11" ht="12.75" x14ac:dyDescent="0.35">
      <c r="A593" s="256"/>
      <c r="B593" s="256"/>
      <c r="C593" s="256"/>
      <c r="D593" s="256"/>
      <c r="E593" s="256"/>
      <c r="F593" s="256"/>
      <c r="G593" s="256"/>
      <c r="H593" s="256"/>
      <c r="I593" s="256"/>
      <c r="J593" s="256"/>
      <c r="K593" s="256"/>
    </row>
    <row r="594" spans="1:11" ht="12.75" x14ac:dyDescent="0.35">
      <c r="A594" s="256"/>
      <c r="B594" s="256"/>
      <c r="C594" s="256"/>
      <c r="D594" s="256"/>
      <c r="E594" s="256"/>
      <c r="F594" s="256"/>
      <c r="G594" s="256"/>
      <c r="H594" s="256"/>
      <c r="I594" s="256"/>
      <c r="J594" s="256"/>
      <c r="K594" s="256"/>
    </row>
    <row r="595" spans="1:11" ht="12.75" x14ac:dyDescent="0.35">
      <c r="A595" s="256"/>
      <c r="B595" s="256"/>
      <c r="C595" s="256"/>
      <c r="D595" s="256"/>
      <c r="E595" s="256"/>
      <c r="F595" s="256"/>
      <c r="G595" s="256"/>
      <c r="H595" s="256"/>
      <c r="I595" s="256"/>
      <c r="J595" s="256"/>
      <c r="K595" s="256"/>
    </row>
    <row r="596" spans="1:11" ht="12.75" x14ac:dyDescent="0.35">
      <c r="A596" s="256"/>
      <c r="B596" s="256"/>
      <c r="C596" s="256"/>
      <c r="D596" s="256"/>
      <c r="E596" s="256"/>
      <c r="F596" s="256"/>
      <c r="G596" s="256"/>
      <c r="H596" s="256"/>
      <c r="I596" s="256"/>
      <c r="J596" s="256"/>
      <c r="K596" s="256"/>
    </row>
    <row r="597" spans="1:11" ht="12.75" x14ac:dyDescent="0.35">
      <c r="A597" s="256"/>
      <c r="B597" s="256"/>
      <c r="C597" s="256"/>
      <c r="D597" s="256"/>
      <c r="E597" s="256"/>
      <c r="F597" s="256"/>
      <c r="G597" s="256"/>
      <c r="H597" s="256"/>
      <c r="I597" s="256"/>
      <c r="J597" s="256"/>
      <c r="K597" s="256"/>
    </row>
    <row r="598" spans="1:11" ht="12.75" x14ac:dyDescent="0.35">
      <c r="A598" s="256"/>
      <c r="B598" s="256"/>
      <c r="C598" s="256"/>
      <c r="D598" s="256"/>
      <c r="E598" s="256"/>
      <c r="F598" s="256"/>
      <c r="G598" s="256"/>
      <c r="H598" s="256"/>
      <c r="I598" s="256"/>
      <c r="J598" s="256"/>
      <c r="K598" s="256"/>
    </row>
    <row r="599" spans="1:11" ht="12.75" x14ac:dyDescent="0.35">
      <c r="A599" s="256"/>
      <c r="B599" s="256"/>
      <c r="C599" s="256"/>
      <c r="D599" s="256"/>
      <c r="E599" s="256"/>
      <c r="F599" s="256"/>
      <c r="G599" s="256"/>
      <c r="H599" s="256"/>
      <c r="I599" s="256"/>
      <c r="J599" s="256"/>
      <c r="K599" s="256"/>
    </row>
    <row r="600" spans="1:11" ht="12.75" x14ac:dyDescent="0.35">
      <c r="A600" s="256"/>
      <c r="B600" s="256"/>
      <c r="C600" s="256"/>
      <c r="D600" s="256"/>
      <c r="E600" s="256"/>
      <c r="F600" s="256"/>
      <c r="G600" s="256"/>
      <c r="H600" s="256"/>
      <c r="I600" s="256"/>
      <c r="J600" s="256"/>
      <c r="K600" s="256"/>
    </row>
    <row r="601" spans="1:11" ht="12.75" x14ac:dyDescent="0.35">
      <c r="A601" s="256"/>
      <c r="B601" s="256"/>
      <c r="C601" s="256"/>
      <c r="D601" s="256"/>
      <c r="E601" s="256"/>
      <c r="F601" s="256"/>
      <c r="G601" s="256"/>
      <c r="H601" s="256"/>
      <c r="I601" s="256"/>
      <c r="J601" s="256"/>
      <c r="K601" s="256"/>
    </row>
    <row r="602" spans="1:11" ht="12.75" x14ac:dyDescent="0.35">
      <c r="A602" s="256"/>
      <c r="B602" s="256"/>
      <c r="C602" s="256"/>
      <c r="D602" s="256"/>
      <c r="E602" s="256"/>
      <c r="F602" s="256"/>
      <c r="G602" s="256"/>
      <c r="H602" s="256"/>
      <c r="I602" s="256"/>
      <c r="J602" s="256"/>
      <c r="K602" s="256"/>
    </row>
    <row r="603" spans="1:11" ht="12.75" x14ac:dyDescent="0.35">
      <c r="A603" s="256"/>
      <c r="B603" s="256"/>
      <c r="C603" s="256"/>
      <c r="D603" s="256"/>
      <c r="E603" s="256"/>
      <c r="F603" s="256"/>
      <c r="G603" s="256"/>
      <c r="H603" s="256"/>
      <c r="I603" s="256"/>
      <c r="J603" s="256"/>
      <c r="K603" s="256"/>
    </row>
    <row r="604" spans="1:11" ht="12.75" x14ac:dyDescent="0.35">
      <c r="A604" s="256"/>
      <c r="B604" s="256"/>
      <c r="C604" s="256"/>
      <c r="D604" s="256"/>
      <c r="E604" s="256"/>
      <c r="F604" s="256"/>
      <c r="G604" s="256"/>
      <c r="H604" s="256"/>
      <c r="I604" s="256"/>
      <c r="J604" s="256"/>
      <c r="K604" s="256"/>
    </row>
    <row r="605" spans="1:11" ht="12.75" x14ac:dyDescent="0.35">
      <c r="A605" s="256"/>
      <c r="B605" s="256"/>
      <c r="C605" s="256"/>
      <c r="D605" s="256"/>
      <c r="E605" s="256"/>
      <c r="F605" s="256"/>
      <c r="G605" s="256"/>
      <c r="H605" s="256"/>
      <c r="I605" s="256"/>
      <c r="J605" s="256"/>
      <c r="K605" s="256"/>
    </row>
    <row r="606" spans="1:11" ht="12.75" x14ac:dyDescent="0.35">
      <c r="A606" s="256"/>
      <c r="B606" s="256"/>
      <c r="C606" s="256"/>
      <c r="D606" s="256"/>
      <c r="E606" s="256"/>
      <c r="F606" s="256"/>
      <c r="G606" s="256"/>
      <c r="H606" s="256"/>
      <c r="I606" s="256"/>
      <c r="J606" s="256"/>
      <c r="K606" s="256"/>
    </row>
    <row r="607" spans="1:11" ht="12.75" x14ac:dyDescent="0.35">
      <c r="A607" s="256"/>
      <c r="B607" s="256"/>
      <c r="C607" s="256"/>
      <c r="D607" s="256"/>
      <c r="E607" s="256"/>
      <c r="F607" s="256"/>
      <c r="G607" s="256"/>
      <c r="H607" s="256"/>
      <c r="I607" s="256"/>
      <c r="J607" s="256"/>
      <c r="K607" s="256"/>
    </row>
    <row r="608" spans="1:11" ht="12.75" x14ac:dyDescent="0.35">
      <c r="A608" s="256"/>
      <c r="B608" s="256"/>
      <c r="C608" s="256"/>
      <c r="D608" s="256"/>
      <c r="E608" s="256"/>
      <c r="F608" s="256"/>
      <c r="G608" s="256"/>
      <c r="H608" s="256"/>
      <c r="I608" s="256"/>
      <c r="J608" s="256"/>
      <c r="K608" s="256"/>
    </row>
    <row r="609" spans="1:11" ht="12.75" x14ac:dyDescent="0.35">
      <c r="A609" s="256"/>
      <c r="B609" s="256"/>
      <c r="C609" s="256"/>
      <c r="D609" s="256"/>
      <c r="E609" s="256"/>
      <c r="F609" s="256"/>
      <c r="G609" s="256"/>
      <c r="H609" s="256"/>
      <c r="I609" s="256"/>
      <c r="J609" s="256"/>
      <c r="K609" s="256"/>
    </row>
    <row r="610" spans="1:11" ht="12.75" x14ac:dyDescent="0.35">
      <c r="A610" s="256"/>
      <c r="B610" s="256"/>
      <c r="C610" s="256"/>
      <c r="D610" s="256"/>
      <c r="E610" s="256"/>
      <c r="F610" s="256"/>
      <c r="G610" s="256"/>
      <c r="H610" s="256"/>
      <c r="I610" s="256"/>
      <c r="J610" s="256"/>
      <c r="K610" s="256"/>
    </row>
    <row r="611" spans="1:11" ht="12.75" x14ac:dyDescent="0.35">
      <c r="A611" s="256"/>
      <c r="B611" s="256"/>
      <c r="C611" s="256"/>
      <c r="D611" s="256"/>
      <c r="E611" s="256"/>
      <c r="F611" s="256"/>
      <c r="G611" s="256"/>
      <c r="H611" s="256"/>
      <c r="I611" s="256"/>
      <c r="J611" s="256"/>
      <c r="K611" s="256"/>
    </row>
    <row r="612" spans="1:11" ht="12.75" x14ac:dyDescent="0.35">
      <c r="A612" s="256"/>
      <c r="B612" s="256"/>
      <c r="C612" s="256"/>
      <c r="D612" s="256"/>
      <c r="E612" s="256"/>
      <c r="F612" s="256"/>
      <c r="G612" s="256"/>
      <c r="H612" s="256"/>
      <c r="I612" s="256"/>
      <c r="J612" s="256"/>
      <c r="K612" s="256"/>
    </row>
    <row r="613" spans="1:11" ht="12.75" x14ac:dyDescent="0.35">
      <c r="A613" s="256"/>
      <c r="B613" s="256"/>
      <c r="C613" s="256"/>
      <c r="D613" s="256"/>
      <c r="E613" s="256"/>
      <c r="F613" s="256"/>
      <c r="G613" s="256"/>
      <c r="H613" s="256"/>
      <c r="I613" s="256"/>
      <c r="J613" s="256"/>
      <c r="K613" s="256"/>
    </row>
    <row r="614" spans="1:11" ht="12.75" x14ac:dyDescent="0.35">
      <c r="A614" s="256"/>
      <c r="B614" s="256"/>
      <c r="C614" s="256"/>
      <c r="D614" s="256"/>
      <c r="E614" s="256"/>
      <c r="F614" s="256"/>
      <c r="G614" s="256"/>
      <c r="H614" s="256"/>
      <c r="I614" s="256"/>
      <c r="J614" s="256"/>
      <c r="K614" s="256"/>
    </row>
    <row r="615" spans="1:11" ht="12.75" x14ac:dyDescent="0.35">
      <c r="A615" s="256"/>
      <c r="B615" s="256"/>
      <c r="C615" s="256"/>
      <c r="D615" s="256"/>
      <c r="E615" s="256"/>
      <c r="F615" s="256"/>
      <c r="G615" s="256"/>
      <c r="H615" s="256"/>
      <c r="I615" s="256"/>
      <c r="J615" s="256"/>
      <c r="K615" s="256"/>
    </row>
    <row r="616" spans="1:11" ht="12.75" x14ac:dyDescent="0.35">
      <c r="A616" s="256"/>
      <c r="B616" s="256"/>
      <c r="C616" s="256"/>
      <c r="D616" s="256"/>
      <c r="E616" s="256"/>
      <c r="F616" s="256"/>
      <c r="G616" s="256"/>
      <c r="H616" s="256"/>
      <c r="I616" s="256"/>
      <c r="J616" s="256"/>
      <c r="K616" s="256"/>
    </row>
    <row r="617" spans="1:11" ht="12.75" x14ac:dyDescent="0.35">
      <c r="A617" s="256"/>
      <c r="B617" s="256"/>
      <c r="C617" s="256"/>
      <c r="D617" s="256"/>
      <c r="E617" s="256"/>
      <c r="F617" s="256"/>
      <c r="G617" s="256"/>
      <c r="H617" s="256"/>
      <c r="I617" s="256"/>
      <c r="J617" s="256"/>
      <c r="K617" s="256"/>
    </row>
    <row r="618" spans="1:11" ht="12.75" x14ac:dyDescent="0.35">
      <c r="A618" s="256"/>
      <c r="B618" s="256"/>
      <c r="C618" s="256"/>
      <c r="D618" s="256"/>
      <c r="E618" s="256"/>
      <c r="F618" s="256"/>
      <c r="G618" s="256"/>
      <c r="H618" s="256"/>
      <c r="I618" s="256"/>
      <c r="J618" s="256"/>
      <c r="K618" s="256"/>
    </row>
    <row r="619" spans="1:11" ht="12.75" x14ac:dyDescent="0.35">
      <c r="A619" s="256"/>
      <c r="B619" s="256"/>
      <c r="C619" s="256"/>
      <c r="D619" s="256"/>
      <c r="E619" s="256"/>
      <c r="F619" s="256"/>
      <c r="G619" s="256"/>
      <c r="H619" s="256"/>
      <c r="I619" s="256"/>
      <c r="J619" s="256"/>
      <c r="K619" s="256"/>
    </row>
    <row r="620" spans="1:11" ht="12.75" x14ac:dyDescent="0.35">
      <c r="A620" s="256"/>
      <c r="B620" s="256"/>
      <c r="C620" s="256"/>
      <c r="D620" s="256"/>
      <c r="E620" s="256"/>
      <c r="F620" s="256"/>
      <c r="G620" s="256"/>
      <c r="H620" s="256"/>
      <c r="I620" s="256"/>
      <c r="J620" s="256"/>
      <c r="K620" s="256"/>
    </row>
    <row r="621" spans="1:11" ht="12.75" x14ac:dyDescent="0.35">
      <c r="A621" s="256"/>
      <c r="B621" s="256"/>
      <c r="C621" s="256"/>
      <c r="D621" s="256"/>
      <c r="E621" s="256"/>
      <c r="F621" s="256"/>
      <c r="G621" s="256"/>
      <c r="H621" s="256"/>
      <c r="I621" s="256"/>
      <c r="J621" s="256"/>
      <c r="K621" s="256"/>
    </row>
    <row r="622" spans="1:11" ht="12.75" x14ac:dyDescent="0.35">
      <c r="A622" s="256"/>
      <c r="B622" s="256"/>
      <c r="C622" s="256"/>
      <c r="D622" s="256"/>
      <c r="E622" s="256"/>
      <c r="F622" s="256"/>
      <c r="G622" s="256"/>
      <c r="H622" s="256"/>
      <c r="I622" s="256"/>
      <c r="J622" s="256"/>
      <c r="K622" s="256"/>
    </row>
    <row r="623" spans="1:11" ht="12.75" x14ac:dyDescent="0.35">
      <c r="A623" s="256"/>
      <c r="B623" s="256"/>
      <c r="C623" s="256"/>
      <c r="D623" s="256"/>
      <c r="E623" s="256"/>
      <c r="F623" s="256"/>
      <c r="G623" s="256"/>
      <c r="H623" s="256"/>
      <c r="I623" s="256"/>
      <c r="J623" s="256"/>
      <c r="K623" s="256"/>
    </row>
    <row r="624" spans="1:11" ht="12.75" x14ac:dyDescent="0.35">
      <c r="A624" s="256"/>
      <c r="B624" s="256"/>
      <c r="C624" s="256"/>
      <c r="D624" s="256"/>
      <c r="E624" s="256"/>
      <c r="F624" s="256"/>
      <c r="G624" s="256"/>
      <c r="H624" s="256"/>
      <c r="I624" s="256"/>
      <c r="J624" s="256"/>
      <c r="K624" s="256"/>
    </row>
    <row r="625" spans="1:11" ht="12.75" x14ac:dyDescent="0.35">
      <c r="A625" s="256"/>
      <c r="B625" s="256"/>
      <c r="C625" s="256"/>
      <c r="D625" s="256"/>
      <c r="E625" s="256"/>
      <c r="F625" s="256"/>
      <c r="G625" s="256"/>
      <c r="H625" s="256"/>
      <c r="I625" s="256"/>
      <c r="J625" s="256"/>
      <c r="K625" s="256"/>
    </row>
    <row r="626" spans="1:11" ht="12.75" x14ac:dyDescent="0.35">
      <c r="A626" s="256"/>
      <c r="B626" s="256"/>
      <c r="C626" s="256"/>
      <c r="D626" s="256"/>
      <c r="E626" s="256"/>
      <c r="F626" s="256"/>
      <c r="G626" s="256"/>
      <c r="H626" s="256"/>
      <c r="I626" s="256"/>
      <c r="J626" s="256"/>
      <c r="K626" s="256"/>
    </row>
    <row r="627" spans="1:11" ht="12.75" x14ac:dyDescent="0.35">
      <c r="A627" s="256"/>
      <c r="B627" s="256"/>
      <c r="C627" s="256"/>
      <c r="D627" s="256"/>
      <c r="E627" s="256"/>
      <c r="F627" s="256"/>
      <c r="G627" s="256"/>
      <c r="H627" s="256"/>
      <c r="I627" s="256"/>
      <c r="J627" s="256"/>
      <c r="K627" s="256"/>
    </row>
    <row r="628" spans="1:11" ht="12.75" x14ac:dyDescent="0.35">
      <c r="A628" s="256"/>
      <c r="B628" s="256"/>
      <c r="C628" s="256"/>
      <c r="D628" s="256"/>
      <c r="E628" s="256"/>
      <c r="F628" s="256"/>
      <c r="G628" s="256"/>
      <c r="H628" s="256"/>
      <c r="I628" s="256"/>
      <c r="J628" s="256"/>
      <c r="K628" s="256"/>
    </row>
    <row r="629" spans="1:11" ht="12.75" x14ac:dyDescent="0.35">
      <c r="A629" s="256"/>
      <c r="B629" s="256"/>
      <c r="C629" s="256"/>
      <c r="D629" s="256"/>
      <c r="E629" s="256"/>
      <c r="F629" s="256"/>
      <c r="G629" s="256"/>
      <c r="H629" s="256"/>
      <c r="I629" s="256"/>
      <c r="J629" s="256"/>
      <c r="K629" s="256"/>
    </row>
    <row r="630" spans="1:11" ht="12.75" x14ac:dyDescent="0.35">
      <c r="A630" s="256"/>
      <c r="B630" s="256"/>
      <c r="C630" s="256"/>
      <c r="D630" s="256"/>
      <c r="E630" s="256"/>
      <c r="F630" s="256"/>
      <c r="G630" s="256"/>
      <c r="H630" s="256"/>
      <c r="I630" s="256"/>
      <c r="J630" s="256"/>
      <c r="K630" s="256"/>
    </row>
    <row r="631" spans="1:11" ht="12.75" x14ac:dyDescent="0.35">
      <c r="A631" s="256"/>
      <c r="B631" s="256"/>
      <c r="C631" s="256"/>
      <c r="D631" s="256"/>
      <c r="E631" s="256"/>
      <c r="F631" s="256"/>
      <c r="G631" s="256"/>
      <c r="H631" s="256"/>
      <c r="I631" s="256"/>
      <c r="J631" s="256"/>
      <c r="K631" s="256"/>
    </row>
    <row r="632" spans="1:11" ht="12.75" x14ac:dyDescent="0.35">
      <c r="A632" s="256"/>
      <c r="B632" s="256"/>
      <c r="C632" s="256"/>
      <c r="D632" s="256"/>
      <c r="E632" s="256"/>
      <c r="F632" s="256"/>
      <c r="G632" s="256"/>
      <c r="H632" s="256"/>
      <c r="I632" s="256"/>
      <c r="J632" s="256"/>
      <c r="K632" s="256"/>
    </row>
    <row r="633" spans="1:11" ht="12.75" x14ac:dyDescent="0.35">
      <c r="A633" s="256"/>
      <c r="B633" s="256"/>
      <c r="C633" s="256"/>
      <c r="D633" s="256"/>
      <c r="E633" s="256"/>
      <c r="F633" s="256"/>
      <c r="G633" s="256"/>
      <c r="H633" s="256"/>
      <c r="I633" s="256"/>
      <c r="J633" s="256"/>
      <c r="K633" s="256"/>
    </row>
    <row r="634" spans="1:11" ht="12.75" x14ac:dyDescent="0.35">
      <c r="A634" s="256"/>
      <c r="B634" s="256"/>
      <c r="C634" s="256"/>
      <c r="D634" s="256"/>
      <c r="E634" s="256"/>
      <c r="F634" s="256"/>
      <c r="G634" s="256"/>
      <c r="H634" s="256"/>
      <c r="I634" s="256"/>
      <c r="J634" s="256"/>
      <c r="K634" s="256"/>
    </row>
    <row r="635" spans="1:11" ht="12.75" x14ac:dyDescent="0.35">
      <c r="A635" s="256"/>
      <c r="B635" s="256"/>
      <c r="C635" s="256"/>
      <c r="D635" s="256"/>
      <c r="E635" s="256"/>
      <c r="F635" s="256"/>
      <c r="G635" s="256"/>
      <c r="H635" s="256"/>
      <c r="I635" s="256"/>
      <c r="J635" s="256"/>
      <c r="K635" s="256"/>
    </row>
    <row r="636" spans="1:11" ht="12.75" x14ac:dyDescent="0.35">
      <c r="A636" s="256"/>
      <c r="B636" s="256"/>
      <c r="C636" s="256"/>
      <c r="D636" s="256"/>
      <c r="E636" s="256"/>
      <c r="F636" s="256"/>
      <c r="G636" s="256"/>
      <c r="H636" s="256"/>
      <c r="I636" s="256"/>
      <c r="J636" s="256"/>
      <c r="K636" s="256"/>
    </row>
    <row r="637" spans="1:11" ht="12.75" x14ac:dyDescent="0.35">
      <c r="A637" s="256"/>
      <c r="B637" s="256"/>
      <c r="C637" s="256"/>
      <c r="D637" s="256"/>
      <c r="E637" s="256"/>
      <c r="F637" s="256"/>
      <c r="G637" s="256"/>
      <c r="H637" s="256"/>
      <c r="I637" s="256"/>
      <c r="J637" s="256"/>
      <c r="K637" s="256"/>
    </row>
    <row r="638" spans="1:11" ht="12.75" x14ac:dyDescent="0.35">
      <c r="A638" s="256"/>
      <c r="B638" s="256"/>
      <c r="C638" s="256"/>
      <c r="D638" s="256"/>
      <c r="E638" s="256"/>
      <c r="F638" s="256"/>
      <c r="G638" s="256"/>
      <c r="H638" s="256"/>
      <c r="I638" s="256"/>
      <c r="J638" s="256"/>
      <c r="K638" s="256"/>
    </row>
    <row r="639" spans="1:11" ht="12.75" x14ac:dyDescent="0.35">
      <c r="A639" s="256"/>
      <c r="B639" s="256"/>
      <c r="C639" s="256"/>
      <c r="D639" s="256"/>
      <c r="E639" s="256"/>
      <c r="F639" s="256"/>
      <c r="G639" s="256"/>
      <c r="H639" s="256"/>
      <c r="I639" s="256"/>
      <c r="J639" s="256"/>
      <c r="K639" s="256"/>
    </row>
    <row r="640" spans="1:11" ht="12.75" x14ac:dyDescent="0.35">
      <c r="A640" s="256"/>
      <c r="B640" s="256"/>
      <c r="C640" s="256"/>
      <c r="D640" s="256"/>
      <c r="E640" s="256"/>
      <c r="F640" s="256"/>
      <c r="G640" s="256"/>
      <c r="H640" s="256"/>
      <c r="I640" s="256"/>
      <c r="J640" s="256"/>
      <c r="K640" s="256"/>
    </row>
    <row r="641" spans="1:11" ht="12.75" x14ac:dyDescent="0.35">
      <c r="A641" s="256"/>
      <c r="B641" s="256"/>
      <c r="C641" s="256"/>
      <c r="D641" s="256"/>
      <c r="E641" s="256"/>
      <c r="F641" s="256"/>
      <c r="G641" s="256"/>
      <c r="H641" s="256"/>
      <c r="I641" s="256"/>
      <c r="J641" s="256"/>
      <c r="K641" s="256"/>
    </row>
    <row r="642" spans="1:11" ht="12.75" x14ac:dyDescent="0.35">
      <c r="A642" s="256"/>
      <c r="B642" s="256"/>
      <c r="C642" s="256"/>
      <c r="D642" s="256"/>
      <c r="E642" s="256"/>
      <c r="F642" s="256"/>
      <c r="G642" s="256"/>
      <c r="H642" s="256"/>
      <c r="I642" s="256"/>
      <c r="J642" s="256"/>
      <c r="K642" s="256"/>
    </row>
    <row r="643" spans="1:11" ht="12.75" x14ac:dyDescent="0.35">
      <c r="A643" s="256"/>
      <c r="B643" s="256"/>
      <c r="C643" s="256"/>
      <c r="D643" s="256"/>
      <c r="E643" s="256"/>
      <c r="F643" s="256"/>
      <c r="G643" s="256"/>
      <c r="H643" s="256"/>
      <c r="I643" s="256"/>
      <c r="J643" s="256"/>
      <c r="K643" s="256"/>
    </row>
    <row r="644" spans="1:11" ht="12.75" x14ac:dyDescent="0.35">
      <c r="A644" s="256"/>
      <c r="B644" s="256"/>
      <c r="C644" s="256"/>
      <c r="D644" s="256"/>
      <c r="E644" s="256"/>
      <c r="F644" s="256"/>
      <c r="G644" s="256"/>
      <c r="H644" s="256"/>
      <c r="I644" s="256"/>
      <c r="J644" s="256"/>
      <c r="K644" s="256"/>
    </row>
    <row r="645" spans="1:11" ht="12.75" x14ac:dyDescent="0.35">
      <c r="A645" s="256"/>
      <c r="B645" s="256"/>
      <c r="C645" s="256"/>
      <c r="D645" s="256"/>
      <c r="E645" s="256"/>
      <c r="F645" s="256"/>
      <c r="G645" s="256"/>
      <c r="H645" s="256"/>
      <c r="I645" s="256"/>
      <c r="J645" s="256"/>
      <c r="K645" s="256"/>
    </row>
    <row r="646" spans="1:11" ht="12.75" x14ac:dyDescent="0.35">
      <c r="A646" s="256"/>
      <c r="B646" s="256"/>
      <c r="C646" s="256"/>
      <c r="D646" s="256"/>
      <c r="E646" s="256"/>
      <c r="F646" s="256"/>
      <c r="G646" s="256"/>
      <c r="H646" s="256"/>
      <c r="I646" s="256"/>
      <c r="J646" s="256"/>
      <c r="K646" s="256"/>
    </row>
    <row r="647" spans="1:11" ht="12.75" x14ac:dyDescent="0.35">
      <c r="A647" s="256"/>
      <c r="B647" s="256"/>
      <c r="C647" s="256"/>
      <c r="D647" s="256"/>
      <c r="E647" s="256"/>
      <c r="F647" s="256"/>
      <c r="G647" s="256"/>
      <c r="H647" s="256"/>
      <c r="I647" s="256"/>
      <c r="J647" s="256"/>
      <c r="K647" s="256"/>
    </row>
    <row r="648" spans="1:11" ht="12.75" x14ac:dyDescent="0.35">
      <c r="A648" s="256"/>
      <c r="B648" s="256"/>
      <c r="C648" s="256"/>
      <c r="D648" s="256"/>
      <c r="E648" s="256"/>
      <c r="F648" s="256"/>
      <c r="G648" s="256"/>
      <c r="H648" s="256"/>
      <c r="I648" s="256"/>
      <c r="J648" s="256"/>
      <c r="K648" s="256"/>
    </row>
    <row r="649" spans="1:11" ht="12.75" x14ac:dyDescent="0.35">
      <c r="A649" s="256"/>
      <c r="B649" s="256"/>
      <c r="C649" s="256"/>
      <c r="D649" s="256"/>
      <c r="E649" s="256"/>
      <c r="F649" s="256"/>
      <c r="G649" s="256"/>
      <c r="H649" s="256"/>
      <c r="I649" s="256"/>
      <c r="J649" s="256"/>
      <c r="K649" s="256"/>
    </row>
    <row r="650" spans="1:11" ht="12.75" x14ac:dyDescent="0.35">
      <c r="A650" s="256"/>
      <c r="B650" s="256"/>
      <c r="C650" s="256"/>
      <c r="D650" s="256"/>
      <c r="E650" s="256"/>
      <c r="F650" s="256"/>
      <c r="G650" s="256"/>
      <c r="H650" s="256"/>
      <c r="I650" s="256"/>
      <c r="J650" s="256"/>
      <c r="K650" s="256"/>
    </row>
    <row r="651" spans="1:11" ht="12.75" x14ac:dyDescent="0.35">
      <c r="A651" s="256"/>
      <c r="B651" s="256"/>
      <c r="C651" s="256"/>
      <c r="D651" s="256"/>
      <c r="E651" s="256"/>
      <c r="F651" s="256"/>
      <c r="G651" s="256"/>
      <c r="H651" s="256"/>
      <c r="I651" s="256"/>
      <c r="J651" s="256"/>
      <c r="K651" s="256"/>
    </row>
    <row r="652" spans="1:11" ht="12.75" x14ac:dyDescent="0.35">
      <c r="A652" s="256"/>
      <c r="B652" s="256"/>
      <c r="C652" s="256"/>
      <c r="D652" s="256"/>
      <c r="E652" s="256"/>
      <c r="F652" s="256"/>
      <c r="G652" s="256"/>
      <c r="H652" s="256"/>
      <c r="I652" s="256"/>
      <c r="J652" s="256"/>
      <c r="K652" s="256"/>
    </row>
    <row r="653" spans="1:11" ht="12.75" x14ac:dyDescent="0.35">
      <c r="A653" s="256"/>
      <c r="B653" s="256"/>
      <c r="C653" s="256"/>
      <c r="D653" s="256"/>
      <c r="E653" s="256"/>
      <c r="F653" s="256"/>
      <c r="G653" s="256"/>
      <c r="H653" s="256"/>
      <c r="I653" s="256"/>
      <c r="J653" s="256"/>
      <c r="K653" s="256"/>
    </row>
    <row r="654" spans="1:11" ht="12.75" x14ac:dyDescent="0.35">
      <c r="A654" s="256"/>
      <c r="B654" s="256"/>
      <c r="C654" s="256"/>
      <c r="D654" s="256"/>
      <c r="E654" s="256"/>
      <c r="F654" s="256"/>
      <c r="G654" s="256"/>
      <c r="H654" s="256"/>
      <c r="I654" s="256"/>
      <c r="J654" s="256"/>
      <c r="K654" s="256"/>
    </row>
    <row r="655" spans="1:11" ht="12.75" x14ac:dyDescent="0.35">
      <c r="A655" s="256"/>
      <c r="B655" s="256"/>
      <c r="C655" s="256"/>
      <c r="D655" s="256"/>
      <c r="E655" s="256"/>
      <c r="F655" s="256"/>
      <c r="G655" s="256"/>
      <c r="H655" s="256"/>
      <c r="I655" s="256"/>
      <c r="J655" s="256"/>
      <c r="K655" s="256"/>
    </row>
    <row r="656" spans="1:11" ht="12.75" x14ac:dyDescent="0.35">
      <c r="A656" s="256"/>
      <c r="B656" s="256"/>
      <c r="C656" s="256"/>
      <c r="D656" s="256"/>
      <c r="E656" s="256"/>
      <c r="F656" s="256"/>
      <c r="G656" s="256"/>
      <c r="H656" s="256"/>
      <c r="I656" s="256"/>
      <c r="J656" s="256"/>
      <c r="K656" s="256"/>
    </row>
    <row r="657" spans="1:11" ht="12.75" x14ac:dyDescent="0.35">
      <c r="A657" s="256"/>
      <c r="B657" s="256"/>
      <c r="C657" s="256"/>
      <c r="D657" s="256"/>
      <c r="E657" s="256"/>
      <c r="F657" s="256"/>
      <c r="G657" s="256"/>
      <c r="H657" s="256"/>
      <c r="I657" s="256"/>
      <c r="J657" s="256"/>
      <c r="K657" s="256"/>
    </row>
    <row r="658" spans="1:11" ht="12.75" x14ac:dyDescent="0.35">
      <c r="A658" s="256"/>
      <c r="B658" s="256"/>
      <c r="C658" s="256"/>
      <c r="D658" s="256"/>
      <c r="E658" s="256"/>
      <c r="F658" s="256"/>
      <c r="G658" s="256"/>
      <c r="H658" s="256"/>
      <c r="I658" s="256"/>
      <c r="J658" s="256"/>
      <c r="K658" s="256"/>
    </row>
    <row r="659" spans="1:11" ht="12.75" x14ac:dyDescent="0.35">
      <c r="A659" s="256"/>
      <c r="B659" s="256"/>
      <c r="C659" s="256"/>
      <c r="D659" s="256"/>
      <c r="E659" s="256"/>
      <c r="F659" s="256"/>
      <c r="G659" s="256"/>
      <c r="H659" s="256"/>
      <c r="I659" s="256"/>
      <c r="J659" s="256"/>
      <c r="K659" s="256"/>
    </row>
    <row r="660" spans="1:11" ht="12.75" x14ac:dyDescent="0.35">
      <c r="A660" s="256"/>
      <c r="B660" s="256"/>
      <c r="C660" s="256"/>
      <c r="D660" s="256"/>
      <c r="E660" s="256"/>
      <c r="F660" s="256"/>
      <c r="G660" s="256"/>
      <c r="H660" s="256"/>
      <c r="I660" s="256"/>
      <c r="J660" s="256"/>
      <c r="K660" s="256"/>
    </row>
    <row r="661" spans="1:11" ht="12.75" x14ac:dyDescent="0.35">
      <c r="A661" s="256"/>
      <c r="B661" s="256"/>
      <c r="C661" s="256"/>
      <c r="D661" s="256"/>
      <c r="E661" s="256"/>
      <c r="F661" s="256"/>
      <c r="G661" s="256"/>
      <c r="H661" s="256"/>
      <c r="I661" s="256"/>
      <c r="J661" s="256"/>
      <c r="K661" s="256"/>
    </row>
    <row r="662" spans="1:11" ht="12.75" x14ac:dyDescent="0.35">
      <c r="A662" s="256"/>
      <c r="B662" s="256"/>
      <c r="C662" s="256"/>
      <c r="D662" s="256"/>
      <c r="E662" s="256"/>
      <c r="F662" s="256"/>
      <c r="G662" s="256"/>
      <c r="H662" s="256"/>
      <c r="I662" s="256"/>
      <c r="J662" s="256"/>
      <c r="K662" s="256"/>
    </row>
    <row r="663" spans="1:11" ht="12.75" x14ac:dyDescent="0.35">
      <c r="A663" s="256"/>
      <c r="B663" s="256"/>
      <c r="C663" s="256"/>
      <c r="D663" s="256"/>
      <c r="E663" s="256"/>
      <c r="F663" s="256"/>
      <c r="G663" s="256"/>
      <c r="H663" s="256"/>
      <c r="I663" s="256"/>
      <c r="J663" s="256"/>
      <c r="K663" s="256"/>
    </row>
    <row r="664" spans="1:11" ht="12.75" x14ac:dyDescent="0.35">
      <c r="A664" s="256"/>
      <c r="B664" s="256"/>
      <c r="C664" s="256"/>
      <c r="D664" s="256"/>
      <c r="E664" s="256"/>
      <c r="F664" s="256"/>
      <c r="G664" s="256"/>
      <c r="H664" s="256"/>
      <c r="I664" s="256"/>
      <c r="J664" s="256"/>
      <c r="K664" s="256"/>
    </row>
    <row r="665" spans="1:11" ht="12.75" x14ac:dyDescent="0.35">
      <c r="A665" s="256"/>
      <c r="B665" s="256"/>
      <c r="C665" s="256"/>
      <c r="D665" s="256"/>
      <c r="E665" s="256"/>
      <c r="F665" s="256"/>
      <c r="G665" s="256"/>
      <c r="H665" s="256"/>
      <c r="I665" s="256"/>
      <c r="J665" s="256"/>
      <c r="K665" s="256"/>
    </row>
    <row r="666" spans="1:11" ht="12.75" x14ac:dyDescent="0.35">
      <c r="A666" s="256"/>
      <c r="B666" s="256"/>
      <c r="C666" s="256"/>
      <c r="D666" s="256"/>
      <c r="E666" s="256"/>
      <c r="F666" s="256"/>
      <c r="G666" s="256"/>
      <c r="H666" s="256"/>
      <c r="I666" s="256"/>
      <c r="J666" s="256"/>
      <c r="K666" s="256"/>
    </row>
    <row r="667" spans="1:11" ht="12.75" x14ac:dyDescent="0.35">
      <c r="A667" s="256"/>
      <c r="B667" s="256"/>
      <c r="C667" s="256"/>
      <c r="D667" s="256"/>
      <c r="E667" s="256"/>
      <c r="F667" s="256"/>
      <c r="G667" s="256"/>
      <c r="H667" s="256"/>
      <c r="I667" s="256"/>
      <c r="J667" s="256"/>
      <c r="K667" s="256"/>
    </row>
    <row r="668" spans="1:11" ht="12.75" x14ac:dyDescent="0.35">
      <c r="A668" s="256"/>
      <c r="B668" s="256"/>
      <c r="C668" s="256"/>
      <c r="D668" s="256"/>
      <c r="E668" s="256"/>
      <c r="F668" s="256"/>
      <c r="G668" s="256"/>
      <c r="H668" s="256"/>
      <c r="I668" s="256"/>
      <c r="J668" s="256"/>
      <c r="K668" s="256"/>
    </row>
    <row r="669" spans="1:11" ht="12.75" x14ac:dyDescent="0.35">
      <c r="A669" s="256"/>
      <c r="B669" s="256"/>
      <c r="C669" s="256"/>
      <c r="D669" s="256"/>
      <c r="E669" s="256"/>
      <c r="F669" s="256"/>
      <c r="G669" s="256"/>
      <c r="H669" s="256"/>
      <c r="I669" s="256"/>
      <c r="J669" s="256"/>
      <c r="K669" s="256"/>
    </row>
    <row r="670" spans="1:11" ht="12.75" x14ac:dyDescent="0.35">
      <c r="A670" s="256"/>
      <c r="B670" s="256"/>
      <c r="C670" s="256"/>
      <c r="D670" s="256"/>
      <c r="E670" s="256"/>
      <c r="F670" s="256"/>
      <c r="G670" s="256"/>
      <c r="H670" s="256"/>
      <c r="I670" s="256"/>
      <c r="J670" s="256"/>
      <c r="K670" s="256"/>
    </row>
    <row r="671" spans="1:11" ht="12.75" x14ac:dyDescent="0.35">
      <c r="A671" s="256"/>
      <c r="B671" s="256"/>
      <c r="C671" s="256"/>
      <c r="D671" s="256"/>
      <c r="E671" s="256"/>
      <c r="F671" s="256"/>
      <c r="G671" s="256"/>
      <c r="H671" s="256"/>
      <c r="I671" s="256"/>
      <c r="J671" s="256"/>
      <c r="K671" s="256"/>
    </row>
    <row r="672" spans="1:11" ht="12.75" x14ac:dyDescent="0.35">
      <c r="A672" s="256"/>
      <c r="B672" s="256"/>
      <c r="C672" s="256"/>
      <c r="D672" s="256"/>
      <c r="E672" s="256"/>
      <c r="F672" s="256"/>
      <c r="G672" s="256"/>
      <c r="H672" s="256"/>
      <c r="I672" s="256"/>
      <c r="J672" s="256"/>
      <c r="K672" s="256"/>
    </row>
    <row r="673" spans="1:11" ht="12.75" x14ac:dyDescent="0.35">
      <c r="A673" s="256"/>
      <c r="B673" s="256"/>
      <c r="C673" s="256"/>
      <c r="D673" s="256"/>
      <c r="E673" s="256"/>
      <c r="F673" s="256"/>
      <c r="G673" s="256"/>
      <c r="H673" s="256"/>
      <c r="I673" s="256"/>
      <c r="J673" s="256"/>
      <c r="K673" s="256"/>
    </row>
    <row r="674" spans="1:11" ht="12.75" x14ac:dyDescent="0.35">
      <c r="A674" s="256"/>
      <c r="B674" s="256"/>
      <c r="C674" s="256"/>
      <c r="D674" s="256"/>
      <c r="E674" s="256"/>
      <c r="F674" s="256"/>
      <c r="G674" s="256"/>
      <c r="H674" s="256"/>
      <c r="I674" s="256"/>
      <c r="J674" s="256"/>
      <c r="K674" s="256"/>
    </row>
    <row r="675" spans="1:11" ht="12.75" x14ac:dyDescent="0.35">
      <c r="A675" s="256"/>
      <c r="B675" s="256"/>
      <c r="C675" s="256"/>
      <c r="D675" s="256"/>
      <c r="E675" s="256"/>
      <c r="F675" s="256"/>
      <c r="G675" s="256"/>
      <c r="H675" s="256"/>
      <c r="I675" s="256"/>
      <c r="J675" s="256"/>
      <c r="K675" s="256"/>
    </row>
    <row r="676" spans="1:11" ht="12.75" x14ac:dyDescent="0.35">
      <c r="A676" s="256"/>
      <c r="B676" s="256"/>
      <c r="C676" s="256"/>
      <c r="D676" s="256"/>
      <c r="E676" s="256"/>
      <c r="F676" s="256"/>
      <c r="G676" s="256"/>
      <c r="H676" s="256"/>
      <c r="I676" s="256"/>
      <c r="J676" s="256"/>
      <c r="K676" s="256"/>
    </row>
    <row r="677" spans="1:11" ht="12.75" x14ac:dyDescent="0.35">
      <c r="A677" s="256"/>
      <c r="B677" s="256"/>
      <c r="C677" s="256"/>
      <c r="D677" s="256"/>
      <c r="E677" s="256"/>
      <c r="F677" s="256"/>
      <c r="G677" s="256"/>
      <c r="H677" s="256"/>
      <c r="I677" s="256"/>
      <c r="J677" s="256"/>
      <c r="K677" s="256"/>
    </row>
    <row r="678" spans="1:11" ht="12.75" x14ac:dyDescent="0.35">
      <c r="A678" s="256"/>
      <c r="B678" s="256"/>
      <c r="C678" s="256"/>
      <c r="D678" s="256"/>
      <c r="E678" s="256"/>
      <c r="F678" s="256"/>
      <c r="G678" s="256"/>
      <c r="H678" s="256"/>
      <c r="I678" s="256"/>
      <c r="J678" s="256"/>
      <c r="K678" s="256"/>
    </row>
    <row r="679" spans="1:11" ht="12.75" x14ac:dyDescent="0.35">
      <c r="A679" s="256"/>
      <c r="B679" s="256"/>
      <c r="C679" s="256"/>
      <c r="D679" s="256"/>
      <c r="E679" s="256"/>
      <c r="F679" s="256"/>
      <c r="G679" s="256"/>
      <c r="H679" s="256"/>
      <c r="I679" s="256"/>
      <c r="J679" s="256"/>
      <c r="K679" s="256"/>
    </row>
    <row r="680" spans="1:11" ht="12.75" x14ac:dyDescent="0.35">
      <c r="A680" s="256"/>
      <c r="B680" s="256"/>
      <c r="C680" s="256"/>
      <c r="D680" s="256"/>
      <c r="E680" s="256"/>
      <c r="F680" s="256"/>
      <c r="G680" s="256"/>
      <c r="H680" s="256"/>
      <c r="I680" s="256"/>
      <c r="J680" s="256"/>
      <c r="K680" s="256"/>
    </row>
    <row r="681" spans="1:11" ht="12.75" x14ac:dyDescent="0.35">
      <c r="A681" s="256"/>
      <c r="B681" s="256"/>
      <c r="C681" s="256"/>
      <c r="D681" s="256"/>
      <c r="E681" s="256"/>
      <c r="F681" s="256"/>
      <c r="G681" s="256"/>
      <c r="H681" s="256"/>
      <c r="I681" s="256"/>
      <c r="J681" s="256"/>
      <c r="K681" s="256"/>
    </row>
    <row r="682" spans="1:11" ht="12.75" x14ac:dyDescent="0.35">
      <c r="A682" s="256"/>
      <c r="B682" s="256"/>
      <c r="C682" s="256"/>
      <c r="D682" s="256"/>
      <c r="E682" s="256"/>
      <c r="F682" s="256"/>
      <c r="G682" s="256"/>
      <c r="H682" s="256"/>
      <c r="I682" s="256"/>
      <c r="J682" s="256"/>
      <c r="K682" s="256"/>
    </row>
    <row r="683" spans="1:11" ht="12.75" x14ac:dyDescent="0.35">
      <c r="A683" s="256"/>
      <c r="B683" s="256"/>
      <c r="C683" s="256"/>
      <c r="D683" s="256"/>
      <c r="E683" s="256"/>
      <c r="F683" s="256"/>
      <c r="G683" s="256"/>
      <c r="H683" s="256"/>
      <c r="I683" s="256"/>
      <c r="J683" s="256"/>
      <c r="K683" s="256"/>
    </row>
    <row r="684" spans="1:11" ht="12.75" x14ac:dyDescent="0.35">
      <c r="A684" s="256"/>
      <c r="B684" s="256"/>
      <c r="C684" s="256"/>
      <c r="D684" s="256"/>
      <c r="E684" s="256"/>
      <c r="F684" s="256"/>
      <c r="G684" s="256"/>
      <c r="H684" s="256"/>
      <c r="I684" s="256"/>
      <c r="J684" s="256"/>
      <c r="K684" s="256"/>
    </row>
    <row r="685" spans="1:11" ht="12.75" x14ac:dyDescent="0.35">
      <c r="A685" s="256"/>
      <c r="B685" s="256"/>
      <c r="C685" s="256"/>
      <c r="D685" s="256"/>
      <c r="E685" s="256"/>
      <c r="F685" s="256"/>
      <c r="G685" s="256"/>
      <c r="H685" s="256"/>
      <c r="I685" s="256"/>
      <c r="J685" s="256"/>
      <c r="K685" s="256"/>
    </row>
    <row r="686" spans="1:11" ht="12.75" x14ac:dyDescent="0.35">
      <c r="A686" s="256"/>
      <c r="B686" s="256"/>
      <c r="C686" s="256"/>
      <c r="D686" s="256"/>
      <c r="E686" s="256"/>
      <c r="F686" s="256"/>
      <c r="G686" s="256"/>
      <c r="H686" s="256"/>
      <c r="I686" s="256"/>
      <c r="J686" s="256"/>
      <c r="K686" s="256"/>
    </row>
    <row r="687" spans="1:11" ht="12.75" x14ac:dyDescent="0.35">
      <c r="A687" s="256"/>
      <c r="B687" s="256"/>
      <c r="C687" s="256"/>
      <c r="D687" s="256"/>
      <c r="E687" s="256"/>
      <c r="F687" s="256"/>
      <c r="G687" s="256"/>
      <c r="H687" s="256"/>
      <c r="I687" s="256"/>
      <c r="J687" s="256"/>
      <c r="K687" s="256"/>
    </row>
    <row r="688" spans="1:11" ht="12.75" x14ac:dyDescent="0.35">
      <c r="A688" s="256"/>
      <c r="B688" s="256"/>
      <c r="C688" s="256"/>
      <c r="D688" s="256"/>
      <c r="E688" s="256"/>
      <c r="F688" s="256"/>
      <c r="G688" s="256"/>
      <c r="H688" s="256"/>
      <c r="I688" s="256"/>
      <c r="J688" s="256"/>
      <c r="K688" s="256"/>
    </row>
    <row r="689" spans="1:11" ht="12.75" x14ac:dyDescent="0.35">
      <c r="A689" s="256"/>
      <c r="B689" s="256"/>
      <c r="C689" s="256"/>
      <c r="D689" s="256"/>
      <c r="E689" s="256"/>
      <c r="F689" s="256"/>
      <c r="G689" s="256"/>
      <c r="H689" s="256"/>
      <c r="I689" s="256"/>
      <c r="J689" s="256"/>
      <c r="K689" s="256"/>
    </row>
    <row r="690" spans="1:11" ht="12.75" x14ac:dyDescent="0.35">
      <c r="A690" s="256"/>
      <c r="B690" s="256"/>
      <c r="C690" s="256"/>
      <c r="D690" s="256"/>
      <c r="E690" s="256"/>
      <c r="F690" s="256"/>
      <c r="G690" s="256"/>
      <c r="H690" s="256"/>
      <c r="I690" s="256"/>
      <c r="J690" s="256"/>
      <c r="K690" s="256"/>
    </row>
    <row r="691" spans="1:11" ht="12.75" x14ac:dyDescent="0.35">
      <c r="A691" s="256"/>
      <c r="B691" s="256"/>
      <c r="C691" s="256"/>
      <c r="D691" s="256"/>
      <c r="E691" s="256"/>
      <c r="F691" s="256"/>
      <c r="G691" s="256"/>
      <c r="H691" s="256"/>
      <c r="I691" s="256"/>
      <c r="J691" s="256"/>
      <c r="K691" s="256"/>
    </row>
    <row r="692" spans="1:11" ht="12.75" x14ac:dyDescent="0.35">
      <c r="A692" s="256"/>
      <c r="B692" s="256"/>
      <c r="C692" s="256"/>
      <c r="D692" s="256"/>
      <c r="E692" s="256"/>
      <c r="F692" s="256"/>
      <c r="G692" s="256"/>
      <c r="H692" s="256"/>
      <c r="I692" s="256"/>
      <c r="J692" s="256"/>
      <c r="K692" s="256"/>
    </row>
    <row r="693" spans="1:11" ht="12.75" x14ac:dyDescent="0.35">
      <c r="A693" s="256"/>
      <c r="B693" s="256"/>
      <c r="C693" s="256"/>
      <c r="D693" s="256"/>
      <c r="E693" s="256"/>
      <c r="F693" s="256"/>
      <c r="G693" s="256"/>
      <c r="H693" s="256"/>
      <c r="I693" s="256"/>
      <c r="J693" s="256"/>
      <c r="K693" s="256"/>
    </row>
    <row r="694" spans="1:11" ht="12.75" x14ac:dyDescent="0.35">
      <c r="A694" s="256"/>
      <c r="B694" s="256"/>
      <c r="C694" s="256"/>
      <c r="D694" s="256"/>
      <c r="E694" s="256"/>
      <c r="F694" s="256"/>
      <c r="G694" s="256"/>
      <c r="H694" s="256"/>
      <c r="I694" s="256"/>
      <c r="J694" s="256"/>
      <c r="K694" s="256"/>
    </row>
    <row r="695" spans="1:11" ht="12.75" x14ac:dyDescent="0.35">
      <c r="A695" s="256"/>
      <c r="B695" s="256"/>
      <c r="C695" s="256"/>
      <c r="D695" s="256"/>
      <c r="E695" s="256"/>
      <c r="F695" s="256"/>
      <c r="G695" s="256"/>
      <c r="H695" s="256"/>
      <c r="I695" s="256"/>
      <c r="J695" s="256"/>
      <c r="K695" s="256"/>
    </row>
    <row r="696" spans="1:11" ht="12.75" x14ac:dyDescent="0.35">
      <c r="A696" s="256"/>
      <c r="B696" s="256"/>
      <c r="C696" s="256"/>
      <c r="D696" s="256"/>
      <c r="E696" s="256"/>
      <c r="F696" s="256"/>
      <c r="G696" s="256"/>
      <c r="H696" s="256"/>
      <c r="I696" s="256"/>
      <c r="J696" s="256"/>
      <c r="K696" s="256"/>
    </row>
    <row r="697" spans="1:11" ht="12.75" x14ac:dyDescent="0.35">
      <c r="A697" s="256"/>
      <c r="B697" s="256"/>
      <c r="C697" s="256"/>
      <c r="D697" s="256"/>
      <c r="E697" s="256"/>
      <c r="F697" s="256"/>
      <c r="G697" s="256"/>
      <c r="H697" s="256"/>
      <c r="I697" s="256"/>
      <c r="J697" s="256"/>
      <c r="K697" s="256"/>
    </row>
    <row r="698" spans="1:11" ht="12.75" x14ac:dyDescent="0.35">
      <c r="A698" s="256"/>
      <c r="B698" s="256"/>
      <c r="C698" s="256"/>
      <c r="D698" s="256"/>
      <c r="E698" s="256"/>
      <c r="F698" s="256"/>
      <c r="G698" s="256"/>
      <c r="H698" s="256"/>
      <c r="I698" s="256"/>
      <c r="J698" s="256"/>
      <c r="K698" s="256"/>
    </row>
    <row r="699" spans="1:11" ht="12.75" x14ac:dyDescent="0.35">
      <c r="A699" s="256"/>
      <c r="B699" s="256"/>
      <c r="C699" s="256"/>
      <c r="D699" s="256"/>
      <c r="E699" s="256"/>
      <c r="F699" s="256"/>
      <c r="G699" s="256"/>
      <c r="H699" s="256"/>
      <c r="I699" s="256"/>
      <c r="J699" s="256"/>
      <c r="K699" s="256"/>
    </row>
    <row r="700" spans="1:11" ht="12.75" x14ac:dyDescent="0.35">
      <c r="A700" s="256"/>
      <c r="B700" s="256"/>
      <c r="C700" s="256"/>
      <c r="D700" s="256"/>
      <c r="E700" s="256"/>
      <c r="F700" s="256"/>
      <c r="G700" s="256"/>
      <c r="H700" s="256"/>
      <c r="I700" s="256"/>
      <c r="J700" s="256"/>
      <c r="K700" s="256"/>
    </row>
    <row r="701" spans="1:11" ht="12.75" x14ac:dyDescent="0.35">
      <c r="A701" s="256"/>
      <c r="B701" s="256"/>
      <c r="C701" s="256"/>
      <c r="D701" s="256"/>
      <c r="E701" s="256"/>
      <c r="F701" s="256"/>
      <c r="G701" s="256"/>
      <c r="H701" s="256"/>
      <c r="I701" s="256"/>
      <c r="J701" s="256"/>
      <c r="K701" s="256"/>
    </row>
    <row r="702" spans="1:11" ht="12.75" x14ac:dyDescent="0.35">
      <c r="A702" s="256"/>
      <c r="B702" s="256"/>
      <c r="C702" s="256"/>
      <c r="D702" s="256"/>
      <c r="E702" s="256"/>
      <c r="F702" s="256"/>
      <c r="G702" s="256"/>
      <c r="H702" s="256"/>
      <c r="I702" s="256"/>
      <c r="J702" s="256"/>
      <c r="K702" s="256"/>
    </row>
    <row r="703" spans="1:11" ht="12.75" x14ac:dyDescent="0.35">
      <c r="A703" s="256"/>
      <c r="B703" s="256"/>
      <c r="C703" s="256"/>
      <c r="D703" s="256"/>
      <c r="E703" s="256"/>
      <c r="F703" s="256"/>
      <c r="G703" s="256"/>
      <c r="H703" s="256"/>
      <c r="I703" s="256"/>
      <c r="J703" s="256"/>
      <c r="K703" s="256"/>
    </row>
    <row r="704" spans="1:11" ht="12.75" x14ac:dyDescent="0.35">
      <c r="A704" s="256"/>
      <c r="B704" s="256"/>
      <c r="C704" s="256"/>
      <c r="D704" s="256"/>
      <c r="E704" s="256"/>
      <c r="F704" s="256"/>
      <c r="G704" s="256"/>
      <c r="H704" s="256"/>
      <c r="I704" s="256"/>
      <c r="J704" s="256"/>
      <c r="K704" s="256"/>
    </row>
    <row r="705" spans="1:11" ht="12.75" x14ac:dyDescent="0.35">
      <c r="A705" s="256"/>
      <c r="B705" s="256"/>
      <c r="C705" s="256"/>
      <c r="D705" s="256"/>
      <c r="E705" s="256"/>
      <c r="F705" s="256"/>
      <c r="G705" s="256"/>
      <c r="H705" s="256"/>
      <c r="I705" s="256"/>
      <c r="J705" s="256"/>
      <c r="K705" s="256"/>
    </row>
    <row r="706" spans="1:11" ht="12.75" x14ac:dyDescent="0.35">
      <c r="A706" s="256"/>
      <c r="B706" s="256"/>
      <c r="C706" s="256"/>
      <c r="D706" s="256"/>
      <c r="E706" s="256"/>
      <c r="F706" s="256"/>
      <c r="G706" s="256"/>
      <c r="H706" s="256"/>
      <c r="I706" s="256"/>
      <c r="J706" s="256"/>
      <c r="K706" s="256"/>
    </row>
    <row r="707" spans="1:11" ht="12.75" x14ac:dyDescent="0.35">
      <c r="A707" s="256"/>
      <c r="B707" s="256"/>
      <c r="C707" s="256"/>
      <c r="D707" s="256"/>
      <c r="E707" s="256"/>
      <c r="F707" s="256"/>
      <c r="G707" s="256"/>
      <c r="H707" s="256"/>
      <c r="I707" s="256"/>
      <c r="J707" s="256"/>
      <c r="K707" s="256"/>
    </row>
    <row r="708" spans="1:11" ht="12.75" x14ac:dyDescent="0.35">
      <c r="A708" s="256"/>
      <c r="B708" s="256"/>
      <c r="C708" s="256"/>
      <c r="D708" s="256"/>
      <c r="E708" s="256"/>
      <c r="F708" s="256"/>
      <c r="G708" s="256"/>
      <c r="H708" s="256"/>
      <c r="I708" s="256"/>
      <c r="J708" s="256"/>
      <c r="K708" s="256"/>
    </row>
    <row r="709" spans="1:11" ht="12.75" x14ac:dyDescent="0.35">
      <c r="A709" s="256"/>
      <c r="B709" s="256"/>
      <c r="C709" s="256"/>
      <c r="D709" s="256"/>
      <c r="E709" s="256"/>
      <c r="F709" s="256"/>
      <c r="G709" s="256"/>
      <c r="H709" s="256"/>
      <c r="I709" s="256"/>
      <c r="J709" s="256"/>
      <c r="K709" s="256"/>
    </row>
    <row r="710" spans="1:11" ht="12.75" x14ac:dyDescent="0.35">
      <c r="A710" s="256"/>
      <c r="B710" s="256"/>
      <c r="C710" s="256"/>
      <c r="D710" s="256"/>
      <c r="E710" s="256"/>
      <c r="F710" s="256"/>
      <c r="G710" s="256"/>
      <c r="H710" s="256"/>
      <c r="I710" s="256"/>
      <c r="J710" s="256"/>
      <c r="K710" s="256"/>
    </row>
    <row r="711" spans="1:11" ht="12.75" x14ac:dyDescent="0.35">
      <c r="A711" s="256"/>
      <c r="B711" s="256"/>
      <c r="C711" s="256"/>
      <c r="D711" s="256"/>
      <c r="E711" s="256"/>
      <c r="F711" s="256"/>
      <c r="G711" s="256"/>
      <c r="H711" s="256"/>
      <c r="I711" s="256"/>
      <c r="J711" s="256"/>
      <c r="K711" s="256"/>
    </row>
    <row r="712" spans="1:11" ht="12.75" x14ac:dyDescent="0.35">
      <c r="A712" s="256"/>
      <c r="B712" s="256"/>
      <c r="C712" s="256"/>
      <c r="D712" s="256"/>
      <c r="E712" s="256"/>
      <c r="F712" s="256"/>
      <c r="G712" s="256"/>
      <c r="H712" s="256"/>
      <c r="I712" s="256"/>
      <c r="J712" s="256"/>
      <c r="K712" s="256"/>
    </row>
    <row r="713" spans="1:11" ht="12.75" x14ac:dyDescent="0.35">
      <c r="A713" s="256"/>
      <c r="B713" s="256"/>
      <c r="C713" s="256"/>
      <c r="D713" s="256"/>
      <c r="E713" s="256"/>
      <c r="F713" s="256"/>
      <c r="G713" s="256"/>
      <c r="H713" s="256"/>
      <c r="I713" s="256"/>
      <c r="J713" s="256"/>
      <c r="K713" s="256"/>
    </row>
    <row r="714" spans="1:11" ht="12.75" x14ac:dyDescent="0.35">
      <c r="A714" s="256"/>
      <c r="B714" s="256"/>
      <c r="C714" s="256"/>
      <c r="D714" s="256"/>
      <c r="E714" s="256"/>
      <c r="F714" s="256"/>
      <c r="G714" s="256"/>
      <c r="H714" s="256"/>
      <c r="I714" s="256"/>
      <c r="J714" s="256"/>
      <c r="K714" s="256"/>
    </row>
    <row r="715" spans="1:11" ht="12.75" x14ac:dyDescent="0.35">
      <c r="A715" s="256"/>
      <c r="B715" s="256"/>
      <c r="C715" s="256"/>
      <c r="D715" s="256"/>
      <c r="E715" s="256"/>
      <c r="F715" s="256"/>
      <c r="G715" s="256"/>
      <c r="H715" s="256"/>
      <c r="I715" s="256"/>
      <c r="J715" s="256"/>
      <c r="K715" s="256"/>
    </row>
    <row r="716" spans="1:11" ht="12.75" x14ac:dyDescent="0.35">
      <c r="A716" s="256"/>
      <c r="B716" s="256"/>
      <c r="C716" s="256"/>
      <c r="D716" s="256"/>
      <c r="E716" s="256"/>
      <c r="F716" s="256"/>
      <c r="G716" s="256"/>
      <c r="H716" s="256"/>
      <c r="I716" s="256"/>
      <c r="J716" s="256"/>
      <c r="K716" s="256"/>
    </row>
    <row r="717" spans="1:11" ht="12.75" x14ac:dyDescent="0.35">
      <c r="A717" s="256"/>
      <c r="B717" s="256"/>
      <c r="C717" s="256"/>
      <c r="D717" s="256"/>
      <c r="E717" s="256"/>
      <c r="F717" s="256"/>
      <c r="G717" s="256"/>
      <c r="H717" s="256"/>
      <c r="I717" s="256"/>
      <c r="J717" s="256"/>
      <c r="K717" s="256"/>
    </row>
    <row r="718" spans="1:11" ht="12.75" x14ac:dyDescent="0.35">
      <c r="A718" s="256"/>
      <c r="B718" s="256"/>
      <c r="C718" s="256"/>
      <c r="D718" s="256"/>
      <c r="E718" s="256"/>
      <c r="F718" s="256"/>
      <c r="G718" s="256"/>
      <c r="H718" s="256"/>
      <c r="I718" s="256"/>
      <c r="J718" s="256"/>
      <c r="K718" s="256"/>
    </row>
    <row r="719" spans="1:11" ht="12.75" x14ac:dyDescent="0.35">
      <c r="A719" s="256"/>
      <c r="B719" s="256"/>
      <c r="C719" s="256"/>
      <c r="D719" s="256"/>
      <c r="E719" s="256"/>
      <c r="F719" s="256"/>
      <c r="G719" s="256"/>
      <c r="H719" s="256"/>
      <c r="I719" s="256"/>
      <c r="J719" s="256"/>
      <c r="K719" s="256"/>
    </row>
    <row r="720" spans="1:11" ht="12.75" x14ac:dyDescent="0.35">
      <c r="A720" s="256"/>
      <c r="B720" s="256"/>
      <c r="C720" s="256"/>
      <c r="D720" s="256"/>
      <c r="E720" s="256"/>
      <c r="F720" s="256"/>
      <c r="G720" s="256"/>
      <c r="H720" s="256"/>
      <c r="I720" s="256"/>
      <c r="J720" s="256"/>
      <c r="K720" s="256"/>
    </row>
    <row r="721" spans="1:11" ht="12.75" x14ac:dyDescent="0.35">
      <c r="A721" s="256"/>
      <c r="B721" s="256"/>
      <c r="C721" s="256"/>
      <c r="D721" s="256"/>
      <c r="E721" s="256"/>
      <c r="F721" s="256"/>
      <c r="G721" s="256"/>
      <c r="H721" s="256"/>
      <c r="I721" s="256"/>
      <c r="J721" s="256"/>
      <c r="K721" s="256"/>
    </row>
    <row r="722" spans="1:11" ht="12.75" x14ac:dyDescent="0.35">
      <c r="A722" s="256"/>
      <c r="B722" s="256"/>
      <c r="C722" s="256"/>
      <c r="D722" s="256"/>
      <c r="E722" s="256"/>
      <c r="F722" s="256"/>
      <c r="G722" s="256"/>
      <c r="H722" s="256"/>
      <c r="I722" s="256"/>
      <c r="J722" s="256"/>
      <c r="K722" s="256"/>
    </row>
    <row r="723" spans="1:11" ht="12.75" x14ac:dyDescent="0.35">
      <c r="A723" s="256"/>
      <c r="B723" s="256"/>
      <c r="C723" s="256"/>
      <c r="D723" s="256"/>
      <c r="E723" s="256"/>
      <c r="F723" s="256"/>
      <c r="G723" s="256"/>
      <c r="H723" s="256"/>
      <c r="I723" s="256"/>
      <c r="J723" s="256"/>
      <c r="K723" s="256"/>
    </row>
    <row r="724" spans="1:11" ht="12.75" x14ac:dyDescent="0.35">
      <c r="A724" s="256"/>
      <c r="B724" s="256"/>
      <c r="C724" s="256"/>
      <c r="D724" s="256"/>
      <c r="E724" s="256"/>
      <c r="F724" s="256"/>
      <c r="G724" s="256"/>
      <c r="H724" s="256"/>
      <c r="I724" s="256"/>
      <c r="J724" s="256"/>
      <c r="K724" s="256"/>
    </row>
    <row r="725" spans="1:11" ht="12.75" x14ac:dyDescent="0.35">
      <c r="A725" s="256"/>
      <c r="B725" s="256"/>
      <c r="C725" s="256"/>
      <c r="D725" s="256"/>
      <c r="E725" s="256"/>
      <c r="F725" s="256"/>
      <c r="G725" s="256"/>
      <c r="H725" s="256"/>
      <c r="I725" s="256"/>
      <c r="J725" s="256"/>
      <c r="K725" s="256"/>
    </row>
    <row r="726" spans="1:11" ht="12.75" x14ac:dyDescent="0.35">
      <c r="A726" s="256"/>
      <c r="B726" s="256"/>
      <c r="C726" s="256"/>
      <c r="D726" s="256"/>
      <c r="E726" s="256"/>
      <c r="F726" s="256"/>
      <c r="G726" s="256"/>
      <c r="H726" s="256"/>
      <c r="I726" s="256"/>
      <c r="J726" s="256"/>
      <c r="K726" s="256"/>
    </row>
    <row r="727" spans="1:11" ht="12.75" x14ac:dyDescent="0.35">
      <c r="A727" s="256"/>
      <c r="B727" s="256"/>
      <c r="C727" s="256"/>
      <c r="D727" s="256"/>
      <c r="E727" s="256"/>
      <c r="F727" s="256"/>
      <c r="G727" s="256"/>
      <c r="H727" s="256"/>
      <c r="I727" s="256"/>
      <c r="J727" s="256"/>
      <c r="K727" s="256"/>
    </row>
    <row r="728" spans="1:11" ht="12.75" x14ac:dyDescent="0.35">
      <c r="A728" s="256"/>
      <c r="B728" s="256"/>
      <c r="C728" s="256"/>
      <c r="D728" s="256"/>
      <c r="E728" s="256"/>
      <c r="F728" s="256"/>
      <c r="G728" s="256"/>
      <c r="H728" s="256"/>
      <c r="I728" s="256"/>
      <c r="J728" s="256"/>
      <c r="K728" s="256"/>
    </row>
    <row r="729" spans="1:11" ht="12.75" x14ac:dyDescent="0.35">
      <c r="A729" s="256"/>
      <c r="B729" s="256"/>
      <c r="C729" s="256"/>
      <c r="D729" s="256"/>
      <c r="E729" s="256"/>
      <c r="F729" s="256"/>
      <c r="G729" s="256"/>
      <c r="H729" s="256"/>
      <c r="I729" s="256"/>
      <c r="J729" s="256"/>
      <c r="K729" s="256"/>
    </row>
    <row r="730" spans="1:11" ht="12.75" x14ac:dyDescent="0.35">
      <c r="A730" s="256"/>
      <c r="B730" s="256"/>
      <c r="C730" s="256"/>
      <c r="D730" s="256"/>
      <c r="E730" s="256"/>
      <c r="F730" s="256"/>
      <c r="G730" s="256"/>
      <c r="H730" s="256"/>
      <c r="I730" s="256"/>
      <c r="J730" s="256"/>
      <c r="K730" s="256"/>
    </row>
    <row r="731" spans="1:11" ht="12.75" x14ac:dyDescent="0.35">
      <c r="A731" s="256"/>
      <c r="B731" s="256"/>
      <c r="C731" s="256"/>
      <c r="D731" s="256"/>
      <c r="E731" s="256"/>
      <c r="F731" s="256"/>
      <c r="G731" s="256"/>
      <c r="H731" s="256"/>
      <c r="I731" s="256"/>
      <c r="J731" s="256"/>
      <c r="K731" s="256"/>
    </row>
    <row r="732" spans="1:11" ht="12.75" x14ac:dyDescent="0.35">
      <c r="A732" s="256"/>
      <c r="B732" s="256"/>
      <c r="C732" s="256"/>
      <c r="D732" s="256"/>
      <c r="E732" s="256"/>
      <c r="F732" s="256"/>
      <c r="G732" s="256"/>
      <c r="H732" s="256"/>
      <c r="I732" s="256"/>
      <c r="J732" s="256"/>
      <c r="K732" s="256"/>
    </row>
    <row r="733" spans="1:11" ht="12.75" x14ac:dyDescent="0.35">
      <c r="A733" s="256"/>
      <c r="B733" s="256"/>
      <c r="C733" s="256"/>
      <c r="D733" s="256"/>
      <c r="E733" s="256"/>
      <c r="F733" s="256"/>
      <c r="G733" s="256"/>
      <c r="H733" s="256"/>
      <c r="I733" s="256"/>
      <c r="J733" s="256"/>
      <c r="K733" s="256"/>
    </row>
    <row r="734" spans="1:11" ht="12.75" x14ac:dyDescent="0.35">
      <c r="A734" s="256"/>
      <c r="B734" s="256"/>
      <c r="C734" s="256"/>
      <c r="D734" s="256"/>
      <c r="E734" s="256"/>
      <c r="F734" s="256"/>
      <c r="G734" s="256"/>
      <c r="H734" s="256"/>
      <c r="I734" s="256"/>
      <c r="J734" s="256"/>
      <c r="K734" s="256"/>
    </row>
    <row r="735" spans="1:11" ht="12.75" x14ac:dyDescent="0.35">
      <c r="A735" s="256"/>
      <c r="B735" s="256"/>
      <c r="C735" s="256"/>
      <c r="D735" s="256"/>
      <c r="E735" s="256"/>
      <c r="F735" s="256"/>
      <c r="G735" s="256"/>
      <c r="H735" s="256"/>
      <c r="I735" s="256"/>
      <c r="J735" s="256"/>
      <c r="K735" s="256"/>
    </row>
    <row r="736" spans="1:11" ht="12.75" x14ac:dyDescent="0.35">
      <c r="A736" s="256"/>
      <c r="B736" s="256"/>
      <c r="C736" s="256"/>
      <c r="D736" s="256"/>
      <c r="E736" s="256"/>
      <c r="F736" s="256"/>
      <c r="G736" s="256"/>
      <c r="H736" s="256"/>
      <c r="I736" s="256"/>
      <c r="J736" s="256"/>
      <c r="K736" s="256"/>
    </row>
    <row r="737" spans="1:11" ht="12.75" x14ac:dyDescent="0.35">
      <c r="A737" s="256"/>
      <c r="B737" s="256"/>
      <c r="C737" s="256"/>
      <c r="D737" s="256"/>
      <c r="E737" s="256"/>
      <c r="F737" s="256"/>
      <c r="G737" s="256"/>
      <c r="H737" s="256"/>
      <c r="I737" s="256"/>
      <c r="J737" s="256"/>
      <c r="K737" s="256"/>
    </row>
    <row r="738" spans="1:11" ht="12.75" x14ac:dyDescent="0.35">
      <c r="A738" s="256"/>
      <c r="B738" s="256"/>
      <c r="C738" s="256"/>
      <c r="D738" s="256"/>
      <c r="E738" s="256"/>
      <c r="F738" s="256"/>
      <c r="G738" s="256"/>
      <c r="H738" s="256"/>
      <c r="I738" s="256"/>
      <c r="J738" s="256"/>
      <c r="K738" s="256"/>
    </row>
    <row r="739" spans="1:11" ht="12.75" x14ac:dyDescent="0.35">
      <c r="A739" s="256"/>
      <c r="B739" s="256"/>
      <c r="C739" s="256"/>
      <c r="D739" s="256"/>
      <c r="E739" s="256"/>
      <c r="F739" s="256"/>
      <c r="G739" s="256"/>
      <c r="H739" s="256"/>
      <c r="I739" s="256"/>
      <c r="J739" s="256"/>
      <c r="K739" s="256"/>
    </row>
    <row r="740" spans="1:11" ht="12.75" x14ac:dyDescent="0.35">
      <c r="A740" s="256"/>
      <c r="B740" s="256"/>
      <c r="C740" s="256"/>
      <c r="D740" s="256"/>
      <c r="E740" s="256"/>
      <c r="F740" s="256"/>
      <c r="G740" s="256"/>
      <c r="H740" s="256"/>
      <c r="I740" s="256"/>
      <c r="J740" s="256"/>
      <c r="K740" s="256"/>
    </row>
    <row r="741" spans="1:11" ht="12.75" x14ac:dyDescent="0.35">
      <c r="A741" s="256"/>
      <c r="B741" s="256"/>
      <c r="C741" s="256"/>
      <c r="D741" s="256"/>
      <c r="E741" s="256"/>
      <c r="F741" s="256"/>
      <c r="G741" s="256"/>
      <c r="H741" s="256"/>
      <c r="I741" s="256"/>
      <c r="J741" s="256"/>
      <c r="K741" s="256"/>
    </row>
    <row r="742" spans="1:11" ht="12.75" x14ac:dyDescent="0.35">
      <c r="A742" s="256"/>
      <c r="B742" s="256"/>
      <c r="C742" s="256"/>
      <c r="D742" s="256"/>
      <c r="E742" s="256"/>
      <c r="F742" s="256"/>
      <c r="G742" s="256"/>
      <c r="H742" s="256"/>
      <c r="I742" s="256"/>
      <c r="J742" s="256"/>
      <c r="K742" s="256"/>
    </row>
    <row r="743" spans="1:11" ht="12.75" x14ac:dyDescent="0.35">
      <c r="A743" s="256"/>
      <c r="B743" s="256"/>
      <c r="C743" s="256"/>
      <c r="D743" s="256"/>
      <c r="E743" s="256"/>
      <c r="F743" s="256"/>
      <c r="G743" s="256"/>
      <c r="H743" s="256"/>
      <c r="I743" s="256"/>
      <c r="J743" s="256"/>
      <c r="K743" s="256"/>
    </row>
    <row r="744" spans="1:11" ht="12.75" x14ac:dyDescent="0.35">
      <c r="A744" s="256"/>
      <c r="B744" s="256"/>
      <c r="C744" s="256"/>
      <c r="D744" s="256"/>
      <c r="E744" s="256"/>
      <c r="F744" s="256"/>
      <c r="G744" s="256"/>
      <c r="H744" s="256"/>
      <c r="I744" s="256"/>
      <c r="J744" s="256"/>
      <c r="K744" s="256"/>
    </row>
    <row r="745" spans="1:11" ht="12.75" x14ac:dyDescent="0.35">
      <c r="A745" s="256"/>
      <c r="B745" s="256"/>
      <c r="C745" s="256"/>
      <c r="D745" s="256"/>
      <c r="E745" s="256"/>
      <c r="F745" s="256"/>
      <c r="G745" s="256"/>
      <c r="H745" s="256"/>
      <c r="I745" s="256"/>
      <c r="J745" s="256"/>
      <c r="K745" s="256"/>
    </row>
    <row r="746" spans="1:11" ht="12.75" x14ac:dyDescent="0.35">
      <c r="A746" s="256"/>
      <c r="B746" s="256"/>
      <c r="C746" s="256"/>
      <c r="D746" s="256"/>
      <c r="E746" s="256"/>
      <c r="F746" s="256"/>
      <c r="G746" s="256"/>
      <c r="H746" s="256"/>
      <c r="I746" s="256"/>
      <c r="J746" s="256"/>
      <c r="K746" s="256"/>
    </row>
    <row r="747" spans="1:11" ht="12.75" x14ac:dyDescent="0.35">
      <c r="A747" s="256"/>
      <c r="B747" s="256"/>
      <c r="C747" s="256"/>
      <c r="D747" s="256"/>
      <c r="E747" s="256"/>
      <c r="F747" s="256"/>
      <c r="G747" s="256"/>
      <c r="H747" s="256"/>
      <c r="I747" s="256"/>
      <c r="J747" s="256"/>
      <c r="K747" s="256"/>
    </row>
    <row r="748" spans="1:11" ht="12.75" x14ac:dyDescent="0.35">
      <c r="A748" s="256"/>
      <c r="B748" s="256"/>
      <c r="C748" s="256"/>
      <c r="D748" s="256"/>
      <c r="E748" s="256"/>
      <c r="F748" s="256"/>
      <c r="G748" s="256"/>
      <c r="H748" s="256"/>
      <c r="I748" s="256"/>
      <c r="J748" s="256"/>
      <c r="K748" s="256"/>
    </row>
    <row r="749" spans="1:11" ht="12.75" x14ac:dyDescent="0.35">
      <c r="A749" s="256"/>
      <c r="B749" s="256"/>
      <c r="C749" s="256"/>
      <c r="D749" s="256"/>
      <c r="E749" s="256"/>
      <c r="F749" s="256"/>
      <c r="G749" s="256"/>
      <c r="H749" s="256"/>
      <c r="I749" s="256"/>
      <c r="J749" s="256"/>
      <c r="K749" s="256"/>
    </row>
    <row r="750" spans="1:11" ht="12.75" x14ac:dyDescent="0.35">
      <c r="A750" s="256"/>
      <c r="B750" s="256"/>
      <c r="C750" s="256"/>
      <c r="D750" s="256"/>
      <c r="E750" s="256"/>
      <c r="F750" s="256"/>
      <c r="G750" s="256"/>
      <c r="H750" s="256"/>
      <c r="I750" s="256"/>
      <c r="J750" s="256"/>
      <c r="K750" s="256"/>
    </row>
    <row r="751" spans="1:11" ht="12.75" x14ac:dyDescent="0.35">
      <c r="A751" s="256"/>
      <c r="B751" s="256"/>
      <c r="C751" s="256"/>
      <c r="D751" s="256"/>
      <c r="E751" s="256"/>
      <c r="F751" s="256"/>
      <c r="G751" s="256"/>
      <c r="H751" s="256"/>
      <c r="I751" s="256"/>
      <c r="J751" s="256"/>
      <c r="K751" s="256"/>
    </row>
    <row r="752" spans="1:11" ht="12.75" x14ac:dyDescent="0.35">
      <c r="A752" s="256"/>
      <c r="B752" s="256"/>
      <c r="C752" s="256"/>
      <c r="D752" s="256"/>
      <c r="E752" s="256"/>
      <c r="F752" s="256"/>
      <c r="G752" s="256"/>
      <c r="H752" s="256"/>
      <c r="I752" s="256"/>
      <c r="J752" s="256"/>
      <c r="K752" s="256"/>
    </row>
    <row r="753" spans="1:11" ht="12.75" x14ac:dyDescent="0.35">
      <c r="A753" s="256"/>
      <c r="B753" s="256"/>
      <c r="C753" s="256"/>
      <c r="D753" s="256"/>
      <c r="E753" s="256"/>
      <c r="F753" s="256"/>
      <c r="G753" s="256"/>
      <c r="H753" s="256"/>
      <c r="I753" s="256"/>
      <c r="J753" s="256"/>
      <c r="K753" s="256"/>
    </row>
    <row r="754" spans="1:11" ht="12.75" x14ac:dyDescent="0.35">
      <c r="A754" s="256"/>
      <c r="B754" s="256"/>
      <c r="C754" s="256"/>
      <c r="D754" s="256"/>
      <c r="E754" s="256"/>
      <c r="F754" s="256"/>
      <c r="G754" s="256"/>
      <c r="H754" s="256"/>
      <c r="I754" s="256"/>
      <c r="J754" s="256"/>
      <c r="K754" s="256"/>
    </row>
    <row r="755" spans="1:11" ht="12.75" x14ac:dyDescent="0.35">
      <c r="A755" s="256"/>
      <c r="B755" s="256"/>
      <c r="C755" s="256"/>
      <c r="D755" s="256"/>
      <c r="E755" s="256"/>
      <c r="F755" s="256"/>
      <c r="G755" s="256"/>
      <c r="H755" s="256"/>
      <c r="I755" s="256"/>
      <c r="J755" s="256"/>
      <c r="K755" s="256"/>
    </row>
    <row r="756" spans="1:11" ht="12.75" x14ac:dyDescent="0.35">
      <c r="A756" s="256"/>
      <c r="B756" s="256"/>
      <c r="C756" s="256"/>
      <c r="D756" s="256"/>
      <c r="E756" s="256"/>
      <c r="F756" s="256"/>
      <c r="G756" s="256"/>
      <c r="H756" s="256"/>
      <c r="I756" s="256"/>
      <c r="J756" s="256"/>
      <c r="K756" s="256"/>
    </row>
    <row r="757" spans="1:11" ht="12.75" x14ac:dyDescent="0.35">
      <c r="A757" s="256"/>
      <c r="B757" s="256"/>
      <c r="C757" s="256"/>
      <c r="D757" s="256"/>
      <c r="E757" s="256"/>
      <c r="F757" s="256"/>
      <c r="G757" s="256"/>
      <c r="H757" s="256"/>
      <c r="I757" s="256"/>
      <c r="J757" s="256"/>
      <c r="K757" s="256"/>
    </row>
    <row r="758" spans="1:11" ht="12.75" x14ac:dyDescent="0.35">
      <c r="A758" s="256"/>
      <c r="B758" s="256"/>
      <c r="C758" s="256"/>
      <c r="D758" s="256"/>
      <c r="E758" s="256"/>
      <c r="F758" s="256"/>
      <c r="G758" s="256"/>
      <c r="H758" s="256"/>
      <c r="I758" s="256"/>
      <c r="J758" s="256"/>
      <c r="K758" s="256"/>
    </row>
    <row r="759" spans="1:11" ht="12.75" x14ac:dyDescent="0.35">
      <c r="A759" s="256"/>
      <c r="B759" s="256"/>
      <c r="C759" s="256"/>
      <c r="D759" s="256"/>
      <c r="E759" s="256"/>
      <c r="F759" s="256"/>
      <c r="G759" s="256"/>
      <c r="H759" s="256"/>
      <c r="I759" s="256"/>
      <c r="J759" s="256"/>
      <c r="K759" s="256"/>
    </row>
    <row r="760" spans="1:11" ht="12.75" x14ac:dyDescent="0.35">
      <c r="A760" s="256"/>
      <c r="B760" s="256"/>
      <c r="C760" s="256"/>
      <c r="D760" s="256"/>
      <c r="E760" s="256"/>
      <c r="F760" s="256"/>
      <c r="G760" s="256"/>
      <c r="H760" s="256"/>
      <c r="I760" s="256"/>
      <c r="J760" s="256"/>
      <c r="K760" s="256"/>
    </row>
    <row r="761" spans="1:11" ht="12.75" x14ac:dyDescent="0.35">
      <c r="A761" s="256"/>
      <c r="B761" s="256"/>
      <c r="C761" s="256"/>
      <c r="D761" s="256"/>
      <c r="E761" s="256"/>
      <c r="F761" s="256"/>
      <c r="G761" s="256"/>
      <c r="H761" s="256"/>
      <c r="I761" s="256"/>
      <c r="J761" s="256"/>
      <c r="K761" s="256"/>
    </row>
    <row r="762" spans="1:11" ht="12.75" x14ac:dyDescent="0.35">
      <c r="A762" s="256"/>
      <c r="B762" s="256"/>
      <c r="C762" s="256"/>
      <c r="D762" s="256"/>
      <c r="E762" s="256"/>
      <c r="F762" s="256"/>
      <c r="G762" s="256"/>
      <c r="H762" s="256"/>
      <c r="I762" s="256"/>
      <c r="J762" s="256"/>
      <c r="K762" s="256"/>
    </row>
    <row r="763" spans="1:11" ht="12.75" x14ac:dyDescent="0.35">
      <c r="A763" s="256"/>
      <c r="B763" s="256"/>
      <c r="C763" s="256"/>
      <c r="D763" s="256"/>
      <c r="E763" s="256"/>
      <c r="F763" s="256"/>
      <c r="G763" s="256"/>
      <c r="H763" s="256"/>
      <c r="I763" s="256"/>
      <c r="J763" s="256"/>
      <c r="K763" s="256"/>
    </row>
    <row r="764" spans="1:11" ht="12.75" x14ac:dyDescent="0.35">
      <c r="A764" s="256"/>
      <c r="B764" s="256"/>
      <c r="C764" s="256"/>
      <c r="D764" s="256"/>
      <c r="E764" s="256"/>
      <c r="F764" s="256"/>
      <c r="G764" s="256"/>
      <c r="H764" s="256"/>
      <c r="I764" s="256"/>
      <c r="J764" s="256"/>
      <c r="K764" s="256"/>
    </row>
    <row r="765" spans="1:11" ht="12.75" x14ac:dyDescent="0.35">
      <c r="A765" s="256"/>
      <c r="B765" s="256"/>
      <c r="C765" s="256"/>
      <c r="D765" s="256"/>
      <c r="E765" s="256"/>
      <c r="F765" s="256"/>
      <c r="G765" s="256"/>
      <c r="H765" s="256"/>
      <c r="I765" s="256"/>
      <c r="J765" s="256"/>
      <c r="K765" s="256"/>
    </row>
    <row r="766" spans="1:11" ht="12.75" x14ac:dyDescent="0.35">
      <c r="A766" s="256"/>
      <c r="B766" s="256"/>
      <c r="C766" s="256"/>
      <c r="D766" s="256"/>
      <c r="E766" s="256"/>
      <c r="F766" s="256"/>
      <c r="G766" s="256"/>
      <c r="H766" s="256"/>
      <c r="I766" s="256"/>
      <c r="J766" s="256"/>
      <c r="K766" s="256"/>
    </row>
    <row r="767" spans="1:11" ht="12.75" x14ac:dyDescent="0.35">
      <c r="A767" s="256"/>
      <c r="B767" s="256"/>
      <c r="C767" s="256"/>
      <c r="D767" s="256"/>
      <c r="E767" s="256"/>
      <c r="F767" s="256"/>
      <c r="G767" s="256"/>
      <c r="H767" s="256"/>
      <c r="I767" s="256"/>
      <c r="J767" s="256"/>
      <c r="K767" s="256"/>
    </row>
    <row r="768" spans="1:11" ht="12.75" x14ac:dyDescent="0.35">
      <c r="A768" s="256"/>
      <c r="B768" s="256"/>
      <c r="C768" s="256"/>
      <c r="D768" s="256"/>
      <c r="E768" s="256"/>
      <c r="F768" s="256"/>
      <c r="G768" s="256"/>
      <c r="H768" s="256"/>
      <c r="I768" s="256"/>
      <c r="J768" s="256"/>
      <c r="K768" s="256"/>
    </row>
    <row r="769" spans="1:11" ht="12.75" x14ac:dyDescent="0.35">
      <c r="A769" s="256"/>
      <c r="B769" s="256"/>
      <c r="C769" s="256"/>
      <c r="D769" s="256"/>
      <c r="E769" s="256"/>
      <c r="F769" s="256"/>
      <c r="G769" s="256"/>
      <c r="H769" s="256"/>
      <c r="I769" s="256"/>
      <c r="J769" s="256"/>
      <c r="K769" s="256"/>
    </row>
    <row r="770" spans="1:11" ht="12.75" x14ac:dyDescent="0.35">
      <c r="A770" s="256"/>
      <c r="B770" s="256"/>
      <c r="C770" s="256"/>
      <c r="D770" s="256"/>
      <c r="E770" s="256"/>
      <c r="F770" s="256"/>
      <c r="G770" s="256"/>
      <c r="H770" s="256"/>
      <c r="I770" s="256"/>
      <c r="J770" s="256"/>
      <c r="K770" s="256"/>
    </row>
    <row r="771" spans="1:11" ht="12.75" x14ac:dyDescent="0.35">
      <c r="A771" s="256"/>
      <c r="B771" s="256"/>
      <c r="C771" s="256"/>
      <c r="D771" s="256"/>
      <c r="E771" s="256"/>
      <c r="F771" s="256"/>
      <c r="G771" s="256"/>
      <c r="H771" s="256"/>
      <c r="I771" s="256"/>
      <c r="J771" s="256"/>
      <c r="K771" s="256"/>
    </row>
    <row r="772" spans="1:11" ht="12.75" x14ac:dyDescent="0.35">
      <c r="A772" s="256"/>
      <c r="B772" s="256"/>
      <c r="C772" s="256"/>
      <c r="D772" s="256"/>
      <c r="E772" s="256"/>
      <c r="F772" s="256"/>
      <c r="G772" s="256"/>
      <c r="H772" s="256"/>
      <c r="I772" s="256"/>
      <c r="J772" s="256"/>
      <c r="K772" s="256"/>
    </row>
    <row r="773" spans="1:11" ht="12.75" x14ac:dyDescent="0.35">
      <c r="A773" s="256"/>
      <c r="B773" s="256"/>
      <c r="C773" s="256"/>
      <c r="D773" s="256"/>
      <c r="E773" s="256"/>
      <c r="F773" s="256"/>
      <c r="G773" s="256"/>
      <c r="H773" s="256"/>
      <c r="I773" s="256"/>
      <c r="J773" s="256"/>
      <c r="K773" s="256"/>
    </row>
    <row r="774" spans="1:11" ht="12.75" x14ac:dyDescent="0.35">
      <c r="A774" s="256"/>
      <c r="B774" s="256"/>
      <c r="C774" s="256"/>
      <c r="D774" s="256"/>
      <c r="E774" s="256"/>
      <c r="F774" s="256"/>
      <c r="G774" s="256"/>
      <c r="H774" s="256"/>
      <c r="I774" s="256"/>
      <c r="J774" s="256"/>
      <c r="K774" s="256"/>
    </row>
    <row r="775" spans="1:11" ht="12.75" x14ac:dyDescent="0.35">
      <c r="A775" s="256"/>
      <c r="B775" s="256"/>
      <c r="C775" s="256"/>
      <c r="D775" s="256"/>
      <c r="E775" s="256"/>
      <c r="F775" s="256"/>
      <c r="G775" s="256"/>
      <c r="H775" s="256"/>
      <c r="I775" s="256"/>
      <c r="J775" s="256"/>
      <c r="K775" s="256"/>
    </row>
    <row r="776" spans="1:11" ht="12.75" x14ac:dyDescent="0.35">
      <c r="A776" s="256"/>
      <c r="B776" s="256"/>
      <c r="C776" s="256"/>
      <c r="D776" s="256"/>
      <c r="E776" s="256"/>
      <c r="F776" s="256"/>
      <c r="G776" s="256"/>
      <c r="H776" s="256"/>
      <c r="I776" s="256"/>
      <c r="J776" s="256"/>
      <c r="K776" s="256"/>
    </row>
    <row r="777" spans="1:11" ht="12.75" x14ac:dyDescent="0.35">
      <c r="A777" s="256"/>
      <c r="B777" s="256"/>
      <c r="C777" s="256"/>
      <c r="D777" s="256"/>
      <c r="E777" s="256"/>
      <c r="F777" s="256"/>
      <c r="G777" s="256"/>
      <c r="H777" s="256"/>
      <c r="I777" s="256"/>
      <c r="J777" s="256"/>
      <c r="K777" s="256"/>
    </row>
    <row r="778" spans="1:11" ht="12.75" x14ac:dyDescent="0.35">
      <c r="A778" s="256"/>
      <c r="B778" s="256"/>
      <c r="C778" s="256"/>
      <c r="D778" s="256"/>
      <c r="E778" s="256"/>
      <c r="F778" s="256"/>
      <c r="G778" s="256"/>
      <c r="H778" s="256"/>
      <c r="I778" s="256"/>
      <c r="J778" s="256"/>
      <c r="K778" s="256"/>
    </row>
    <row r="779" spans="1:11" ht="12.75" x14ac:dyDescent="0.35">
      <c r="A779" s="256"/>
      <c r="B779" s="256"/>
      <c r="C779" s="256"/>
      <c r="D779" s="256"/>
      <c r="E779" s="256"/>
      <c r="F779" s="256"/>
      <c r="G779" s="256"/>
      <c r="H779" s="256"/>
      <c r="I779" s="256"/>
      <c r="J779" s="256"/>
      <c r="K779" s="256"/>
    </row>
    <row r="780" spans="1:11" ht="12.75" x14ac:dyDescent="0.35">
      <c r="A780" s="256"/>
      <c r="B780" s="256"/>
      <c r="C780" s="256"/>
      <c r="D780" s="256"/>
      <c r="E780" s="256"/>
      <c r="F780" s="256"/>
      <c r="G780" s="256"/>
      <c r="H780" s="256"/>
      <c r="I780" s="256"/>
      <c r="J780" s="256"/>
      <c r="K780" s="256"/>
    </row>
    <row r="781" spans="1:11" ht="12.75" x14ac:dyDescent="0.35">
      <c r="A781" s="256"/>
      <c r="B781" s="256"/>
      <c r="C781" s="256"/>
      <c r="D781" s="256"/>
      <c r="E781" s="256"/>
      <c r="F781" s="256"/>
      <c r="G781" s="256"/>
      <c r="H781" s="256"/>
      <c r="I781" s="256"/>
      <c r="J781" s="256"/>
      <c r="K781" s="256"/>
    </row>
    <row r="782" spans="1:11" ht="12.75" x14ac:dyDescent="0.35">
      <c r="A782" s="256"/>
      <c r="B782" s="256"/>
      <c r="C782" s="256"/>
      <c r="D782" s="256"/>
      <c r="E782" s="256"/>
      <c r="F782" s="256"/>
      <c r="G782" s="256"/>
      <c r="H782" s="256"/>
      <c r="I782" s="256"/>
      <c r="J782" s="256"/>
      <c r="K782" s="256"/>
    </row>
    <row r="783" spans="1:11" ht="12.75" x14ac:dyDescent="0.35">
      <c r="A783" s="256"/>
      <c r="B783" s="256"/>
      <c r="C783" s="256"/>
      <c r="D783" s="256"/>
      <c r="E783" s="256"/>
      <c r="F783" s="256"/>
      <c r="G783" s="256"/>
      <c r="H783" s="256"/>
      <c r="I783" s="256"/>
      <c r="J783" s="256"/>
      <c r="K783" s="256"/>
    </row>
    <row r="784" spans="1:11" ht="12.75" x14ac:dyDescent="0.35">
      <c r="A784" s="256"/>
      <c r="B784" s="256"/>
      <c r="C784" s="256"/>
      <c r="D784" s="256"/>
      <c r="E784" s="256"/>
      <c r="F784" s="256"/>
      <c r="G784" s="256"/>
      <c r="H784" s="256"/>
      <c r="I784" s="256"/>
      <c r="J784" s="256"/>
      <c r="K784" s="256"/>
    </row>
    <row r="785" spans="1:11" ht="12.75" x14ac:dyDescent="0.35">
      <c r="A785" s="256"/>
      <c r="B785" s="256"/>
      <c r="C785" s="256"/>
      <c r="D785" s="256"/>
      <c r="E785" s="256"/>
      <c r="F785" s="256"/>
      <c r="G785" s="256"/>
      <c r="H785" s="256"/>
      <c r="I785" s="256"/>
      <c r="J785" s="256"/>
      <c r="K785" s="256"/>
    </row>
    <row r="786" spans="1:11" ht="12.75" x14ac:dyDescent="0.35">
      <c r="A786" s="256"/>
      <c r="B786" s="256"/>
      <c r="C786" s="256"/>
      <c r="D786" s="256"/>
      <c r="E786" s="256"/>
      <c r="F786" s="256"/>
      <c r="G786" s="256"/>
      <c r="H786" s="256"/>
      <c r="I786" s="256"/>
      <c r="J786" s="256"/>
      <c r="K786" s="256"/>
    </row>
    <row r="787" spans="1:11" ht="12.75" x14ac:dyDescent="0.35">
      <c r="A787" s="256"/>
      <c r="B787" s="256"/>
      <c r="C787" s="256"/>
      <c r="D787" s="256"/>
      <c r="E787" s="256"/>
      <c r="F787" s="256"/>
      <c r="G787" s="256"/>
      <c r="H787" s="256"/>
      <c r="I787" s="256"/>
      <c r="J787" s="256"/>
      <c r="K787" s="256"/>
    </row>
    <row r="788" spans="1:11" ht="12.75" x14ac:dyDescent="0.35">
      <c r="A788" s="256"/>
      <c r="B788" s="256"/>
      <c r="C788" s="256"/>
      <c r="D788" s="256"/>
      <c r="E788" s="256"/>
      <c r="F788" s="256"/>
      <c r="G788" s="256"/>
      <c r="H788" s="256"/>
      <c r="I788" s="256"/>
      <c r="J788" s="256"/>
      <c r="K788" s="256"/>
    </row>
    <row r="789" spans="1:11" ht="12.75" x14ac:dyDescent="0.35">
      <c r="A789" s="256"/>
      <c r="B789" s="256"/>
      <c r="C789" s="256"/>
      <c r="D789" s="256"/>
      <c r="E789" s="256"/>
      <c r="F789" s="256"/>
      <c r="G789" s="256"/>
      <c r="H789" s="256"/>
      <c r="I789" s="256"/>
      <c r="J789" s="256"/>
      <c r="K789" s="256"/>
    </row>
    <row r="790" spans="1:11" ht="12.75" x14ac:dyDescent="0.35">
      <c r="A790" s="256"/>
      <c r="B790" s="256"/>
      <c r="C790" s="256"/>
      <c r="D790" s="256"/>
      <c r="E790" s="256"/>
      <c r="F790" s="256"/>
      <c r="G790" s="256"/>
      <c r="H790" s="256"/>
      <c r="I790" s="256"/>
      <c r="J790" s="256"/>
      <c r="K790" s="256"/>
    </row>
    <row r="791" spans="1:11" ht="12.75" x14ac:dyDescent="0.35">
      <c r="A791" s="256"/>
      <c r="B791" s="256"/>
      <c r="C791" s="256"/>
      <c r="D791" s="256"/>
      <c r="E791" s="256"/>
      <c r="F791" s="256"/>
      <c r="G791" s="256"/>
      <c r="H791" s="256"/>
      <c r="I791" s="256"/>
      <c r="J791" s="256"/>
      <c r="K791" s="256"/>
    </row>
    <row r="792" spans="1:11" ht="12.75" x14ac:dyDescent="0.35">
      <c r="A792" s="256"/>
      <c r="B792" s="256"/>
      <c r="C792" s="256"/>
      <c r="D792" s="256"/>
      <c r="E792" s="256"/>
      <c r="F792" s="256"/>
      <c r="G792" s="256"/>
      <c r="H792" s="256"/>
      <c r="I792" s="256"/>
      <c r="J792" s="256"/>
      <c r="K792" s="256"/>
    </row>
    <row r="793" spans="1:11" ht="12.75" x14ac:dyDescent="0.35">
      <c r="A793" s="256"/>
      <c r="B793" s="256"/>
      <c r="C793" s="256"/>
      <c r="D793" s="256"/>
      <c r="E793" s="256"/>
      <c r="F793" s="256"/>
      <c r="G793" s="256"/>
      <c r="H793" s="256"/>
      <c r="I793" s="256"/>
      <c r="J793" s="256"/>
      <c r="K793" s="256"/>
    </row>
    <row r="794" spans="1:11" ht="12.75" x14ac:dyDescent="0.35">
      <c r="A794" s="256"/>
      <c r="B794" s="256"/>
      <c r="C794" s="256"/>
      <c r="D794" s="256"/>
      <c r="E794" s="256"/>
      <c r="F794" s="256"/>
      <c r="G794" s="256"/>
      <c r="H794" s="256"/>
      <c r="I794" s="256"/>
      <c r="J794" s="256"/>
      <c r="K794" s="256"/>
    </row>
    <row r="795" spans="1:11" ht="12.75" x14ac:dyDescent="0.35">
      <c r="A795" s="256"/>
      <c r="B795" s="256"/>
      <c r="C795" s="256"/>
      <c r="D795" s="256"/>
      <c r="E795" s="256"/>
      <c r="F795" s="256"/>
      <c r="G795" s="256"/>
      <c r="H795" s="256"/>
      <c r="I795" s="256"/>
      <c r="J795" s="256"/>
      <c r="K795" s="256"/>
    </row>
    <row r="796" spans="1:11" ht="12.75" x14ac:dyDescent="0.35">
      <c r="A796" s="256"/>
      <c r="B796" s="256"/>
      <c r="C796" s="256"/>
      <c r="D796" s="256"/>
      <c r="E796" s="256"/>
      <c r="F796" s="256"/>
      <c r="G796" s="256"/>
      <c r="H796" s="256"/>
      <c r="I796" s="256"/>
      <c r="J796" s="256"/>
      <c r="K796" s="256"/>
    </row>
    <row r="797" spans="1:11" ht="12.75" x14ac:dyDescent="0.35">
      <c r="A797" s="256"/>
      <c r="B797" s="256"/>
      <c r="C797" s="256"/>
      <c r="D797" s="256"/>
      <c r="E797" s="256"/>
      <c r="F797" s="256"/>
      <c r="G797" s="256"/>
      <c r="H797" s="256"/>
      <c r="I797" s="256"/>
      <c r="J797" s="256"/>
      <c r="K797" s="256"/>
    </row>
    <row r="798" spans="1:11" ht="12.75" x14ac:dyDescent="0.35">
      <c r="A798" s="256"/>
      <c r="B798" s="256"/>
      <c r="C798" s="256"/>
      <c r="D798" s="256"/>
      <c r="E798" s="256"/>
      <c r="F798" s="256"/>
      <c r="G798" s="256"/>
      <c r="H798" s="256"/>
      <c r="I798" s="256"/>
      <c r="J798" s="256"/>
      <c r="K798" s="256"/>
    </row>
    <row r="799" spans="1:11" ht="12.75" x14ac:dyDescent="0.35">
      <c r="A799" s="256"/>
      <c r="B799" s="256"/>
      <c r="C799" s="256"/>
      <c r="D799" s="256"/>
      <c r="E799" s="256"/>
      <c r="F799" s="256"/>
      <c r="G799" s="256"/>
      <c r="H799" s="256"/>
      <c r="I799" s="256"/>
      <c r="J799" s="256"/>
      <c r="K799" s="256"/>
    </row>
    <row r="800" spans="1:11" ht="12.75" x14ac:dyDescent="0.35">
      <c r="A800" s="256"/>
      <c r="B800" s="256"/>
      <c r="C800" s="256"/>
      <c r="D800" s="256"/>
      <c r="E800" s="256"/>
      <c r="F800" s="256"/>
      <c r="G800" s="256"/>
      <c r="H800" s="256"/>
      <c r="I800" s="256"/>
      <c r="J800" s="256"/>
      <c r="K800" s="256"/>
    </row>
    <row r="801" spans="1:11" ht="12.75" x14ac:dyDescent="0.35">
      <c r="A801" s="256"/>
      <c r="B801" s="256"/>
      <c r="C801" s="256"/>
      <c r="D801" s="256"/>
      <c r="E801" s="256"/>
      <c r="F801" s="256"/>
      <c r="G801" s="256"/>
      <c r="H801" s="256"/>
      <c r="I801" s="256"/>
      <c r="J801" s="256"/>
      <c r="K801" s="256"/>
    </row>
    <row r="802" spans="1:11" ht="12.75" x14ac:dyDescent="0.35">
      <c r="A802" s="256"/>
      <c r="B802" s="256"/>
      <c r="C802" s="256"/>
      <c r="D802" s="256"/>
      <c r="E802" s="256"/>
      <c r="F802" s="256"/>
      <c r="G802" s="256"/>
      <c r="H802" s="256"/>
      <c r="I802" s="256"/>
      <c r="J802" s="256"/>
      <c r="K802" s="256"/>
    </row>
    <row r="803" spans="1:11" ht="12.75" x14ac:dyDescent="0.35">
      <c r="A803" s="256"/>
      <c r="B803" s="256"/>
      <c r="C803" s="256"/>
      <c r="D803" s="256"/>
      <c r="E803" s="256"/>
      <c r="F803" s="256"/>
      <c r="G803" s="256"/>
      <c r="H803" s="256"/>
      <c r="I803" s="256"/>
      <c r="J803" s="256"/>
      <c r="K803" s="256"/>
    </row>
    <row r="804" spans="1:11" ht="12.75" x14ac:dyDescent="0.35">
      <c r="A804" s="256"/>
      <c r="B804" s="256"/>
      <c r="C804" s="256"/>
      <c r="D804" s="256"/>
      <c r="E804" s="256"/>
      <c r="F804" s="256"/>
      <c r="G804" s="256"/>
      <c r="H804" s="256"/>
      <c r="I804" s="256"/>
      <c r="J804" s="256"/>
      <c r="K804" s="256"/>
    </row>
    <row r="805" spans="1:11" ht="12.75" x14ac:dyDescent="0.35">
      <c r="A805" s="256"/>
      <c r="B805" s="256"/>
      <c r="C805" s="256"/>
      <c r="D805" s="256"/>
      <c r="E805" s="256"/>
      <c r="F805" s="256"/>
      <c r="G805" s="256"/>
      <c r="H805" s="256"/>
      <c r="I805" s="256"/>
      <c r="J805" s="256"/>
      <c r="K805" s="256"/>
    </row>
    <row r="806" spans="1:11" ht="12.75" x14ac:dyDescent="0.35">
      <c r="A806" s="256"/>
      <c r="B806" s="256"/>
      <c r="C806" s="256"/>
      <c r="D806" s="256"/>
      <c r="E806" s="256"/>
      <c r="F806" s="256"/>
      <c r="G806" s="256"/>
      <c r="H806" s="256"/>
      <c r="I806" s="256"/>
      <c r="J806" s="256"/>
      <c r="K806" s="256"/>
    </row>
    <row r="807" spans="1:11" ht="12.75" x14ac:dyDescent="0.35">
      <c r="A807" s="256"/>
      <c r="B807" s="256"/>
      <c r="C807" s="256"/>
      <c r="D807" s="256"/>
      <c r="E807" s="256"/>
      <c r="F807" s="256"/>
      <c r="G807" s="256"/>
      <c r="H807" s="256"/>
      <c r="I807" s="256"/>
      <c r="J807" s="256"/>
      <c r="K807" s="256"/>
    </row>
    <row r="808" spans="1:11" ht="12.75" x14ac:dyDescent="0.35">
      <c r="A808" s="256"/>
      <c r="B808" s="256"/>
      <c r="C808" s="256"/>
      <c r="D808" s="256"/>
      <c r="E808" s="256"/>
      <c r="F808" s="256"/>
      <c r="G808" s="256"/>
      <c r="H808" s="256"/>
      <c r="I808" s="256"/>
      <c r="J808" s="256"/>
      <c r="K808" s="256"/>
    </row>
    <row r="809" spans="1:11" ht="12.75" x14ac:dyDescent="0.35">
      <c r="A809" s="256"/>
      <c r="B809" s="256"/>
      <c r="C809" s="256"/>
      <c r="D809" s="256"/>
      <c r="E809" s="256"/>
      <c r="F809" s="256"/>
      <c r="G809" s="256"/>
      <c r="H809" s="256"/>
      <c r="I809" s="256"/>
      <c r="J809" s="256"/>
      <c r="K809" s="256"/>
    </row>
    <row r="810" spans="1:11" ht="12.75" x14ac:dyDescent="0.35">
      <c r="A810" s="256"/>
      <c r="B810" s="256"/>
      <c r="C810" s="256"/>
      <c r="D810" s="256"/>
      <c r="E810" s="256"/>
      <c r="F810" s="256"/>
      <c r="G810" s="256"/>
      <c r="H810" s="256"/>
      <c r="I810" s="256"/>
      <c r="J810" s="256"/>
      <c r="K810" s="256"/>
    </row>
    <row r="811" spans="1:11" ht="12.75" x14ac:dyDescent="0.35">
      <c r="A811" s="256"/>
      <c r="B811" s="256"/>
      <c r="C811" s="256"/>
      <c r="D811" s="256"/>
      <c r="E811" s="256"/>
      <c r="F811" s="256"/>
      <c r="G811" s="256"/>
      <c r="H811" s="256"/>
      <c r="I811" s="256"/>
      <c r="J811" s="256"/>
      <c r="K811" s="256"/>
    </row>
    <row r="812" spans="1:11" ht="12.75" x14ac:dyDescent="0.35">
      <c r="A812" s="256"/>
      <c r="B812" s="256"/>
      <c r="C812" s="256"/>
      <c r="D812" s="256"/>
      <c r="E812" s="256"/>
      <c r="F812" s="256"/>
      <c r="G812" s="256"/>
      <c r="H812" s="256"/>
      <c r="I812" s="256"/>
      <c r="J812" s="256"/>
      <c r="K812" s="256"/>
    </row>
    <row r="813" spans="1:11" ht="12.75" x14ac:dyDescent="0.35">
      <c r="A813" s="256"/>
      <c r="B813" s="256"/>
      <c r="C813" s="256"/>
      <c r="D813" s="256"/>
      <c r="E813" s="256"/>
      <c r="F813" s="256"/>
      <c r="G813" s="256"/>
      <c r="H813" s="256"/>
      <c r="I813" s="256"/>
      <c r="J813" s="256"/>
      <c r="K813" s="256"/>
    </row>
    <row r="814" spans="1:11" ht="12.75" x14ac:dyDescent="0.35">
      <c r="A814" s="256"/>
      <c r="B814" s="256"/>
      <c r="C814" s="256"/>
      <c r="D814" s="256"/>
      <c r="E814" s="256"/>
      <c r="F814" s="256"/>
      <c r="G814" s="256"/>
      <c r="H814" s="256"/>
      <c r="I814" s="256"/>
      <c r="J814" s="256"/>
      <c r="K814" s="256"/>
    </row>
    <row r="815" spans="1:11" ht="12.75" x14ac:dyDescent="0.35">
      <c r="A815" s="256"/>
      <c r="B815" s="256"/>
      <c r="C815" s="256"/>
      <c r="D815" s="256"/>
      <c r="E815" s="256"/>
      <c r="F815" s="256"/>
      <c r="G815" s="256"/>
      <c r="H815" s="256"/>
      <c r="I815" s="256"/>
      <c r="J815" s="256"/>
      <c r="K815" s="256"/>
    </row>
    <row r="816" spans="1:11" ht="12.75" x14ac:dyDescent="0.35">
      <c r="A816" s="256"/>
      <c r="B816" s="256"/>
      <c r="C816" s="256"/>
      <c r="D816" s="256"/>
      <c r="E816" s="256"/>
      <c r="F816" s="256"/>
      <c r="G816" s="256"/>
      <c r="H816" s="256"/>
      <c r="I816" s="256"/>
      <c r="J816" s="256"/>
      <c r="K816" s="256"/>
    </row>
    <row r="817" spans="1:11" ht="12.75" x14ac:dyDescent="0.35">
      <c r="A817" s="256"/>
      <c r="B817" s="256"/>
      <c r="C817" s="256"/>
      <c r="D817" s="256"/>
      <c r="E817" s="256"/>
      <c r="F817" s="256"/>
      <c r="G817" s="256"/>
      <c r="H817" s="256"/>
      <c r="I817" s="256"/>
      <c r="J817" s="256"/>
      <c r="K817" s="256"/>
    </row>
    <row r="818" spans="1:11" ht="12.75" x14ac:dyDescent="0.35">
      <c r="A818" s="256"/>
      <c r="B818" s="256"/>
      <c r="C818" s="256"/>
      <c r="D818" s="256"/>
      <c r="E818" s="256"/>
      <c r="F818" s="256"/>
      <c r="G818" s="256"/>
      <c r="H818" s="256"/>
      <c r="I818" s="256"/>
      <c r="J818" s="256"/>
      <c r="K818" s="256"/>
    </row>
    <row r="819" spans="1:11" ht="12.75" x14ac:dyDescent="0.35">
      <c r="A819" s="256"/>
      <c r="B819" s="256"/>
      <c r="C819" s="256"/>
      <c r="D819" s="256"/>
      <c r="E819" s="256"/>
      <c r="F819" s="256"/>
      <c r="G819" s="256"/>
      <c r="H819" s="256"/>
      <c r="I819" s="256"/>
      <c r="J819" s="256"/>
      <c r="K819" s="256"/>
    </row>
    <row r="820" spans="1:11" ht="12.75" x14ac:dyDescent="0.35">
      <c r="A820" s="256"/>
      <c r="B820" s="256"/>
      <c r="C820" s="256"/>
      <c r="D820" s="256"/>
      <c r="E820" s="256"/>
      <c r="F820" s="256"/>
      <c r="G820" s="256"/>
      <c r="H820" s="256"/>
      <c r="I820" s="256"/>
      <c r="J820" s="256"/>
      <c r="K820" s="256"/>
    </row>
    <row r="821" spans="1:11" ht="12.75" x14ac:dyDescent="0.35">
      <c r="A821" s="256"/>
      <c r="B821" s="256"/>
      <c r="C821" s="256"/>
      <c r="D821" s="256"/>
      <c r="E821" s="256"/>
      <c r="F821" s="256"/>
      <c r="G821" s="256"/>
      <c r="H821" s="256"/>
      <c r="I821" s="256"/>
      <c r="J821" s="256"/>
      <c r="K821" s="256"/>
    </row>
    <row r="822" spans="1:11" ht="12.75" x14ac:dyDescent="0.35">
      <c r="A822" s="256"/>
      <c r="B822" s="256"/>
      <c r="C822" s="256"/>
      <c r="D822" s="256"/>
      <c r="E822" s="256"/>
      <c r="F822" s="256"/>
      <c r="G822" s="256"/>
      <c r="H822" s="256"/>
      <c r="I822" s="256"/>
      <c r="J822" s="256"/>
      <c r="K822" s="256"/>
    </row>
    <row r="823" spans="1:11" ht="12.75" x14ac:dyDescent="0.35">
      <c r="A823" s="256"/>
      <c r="B823" s="256"/>
      <c r="C823" s="256"/>
      <c r="D823" s="256"/>
      <c r="E823" s="256"/>
      <c r="F823" s="256"/>
      <c r="G823" s="256"/>
      <c r="H823" s="256"/>
      <c r="I823" s="256"/>
      <c r="J823" s="256"/>
      <c r="K823" s="256"/>
    </row>
    <row r="824" spans="1:11" ht="12.75" x14ac:dyDescent="0.35">
      <c r="A824" s="256"/>
      <c r="B824" s="256"/>
      <c r="C824" s="256"/>
      <c r="D824" s="256"/>
      <c r="E824" s="256"/>
      <c r="F824" s="256"/>
      <c r="G824" s="256"/>
      <c r="H824" s="256"/>
      <c r="I824" s="256"/>
      <c r="J824" s="256"/>
      <c r="K824" s="256"/>
    </row>
    <row r="825" spans="1:11" ht="12.75" x14ac:dyDescent="0.35">
      <c r="A825" s="256"/>
      <c r="B825" s="256"/>
      <c r="C825" s="256"/>
      <c r="D825" s="256"/>
      <c r="E825" s="256"/>
      <c r="F825" s="256"/>
      <c r="G825" s="256"/>
      <c r="H825" s="256"/>
      <c r="I825" s="256"/>
      <c r="J825" s="256"/>
      <c r="K825" s="256"/>
    </row>
    <row r="826" spans="1:11" ht="12.75" x14ac:dyDescent="0.35">
      <c r="A826" s="256"/>
      <c r="B826" s="256"/>
      <c r="C826" s="256"/>
      <c r="D826" s="256"/>
      <c r="E826" s="256"/>
      <c r="F826" s="256"/>
      <c r="G826" s="256"/>
      <c r="H826" s="256"/>
      <c r="I826" s="256"/>
      <c r="J826" s="256"/>
      <c r="K826" s="256"/>
    </row>
    <row r="827" spans="1:11" ht="12.75" x14ac:dyDescent="0.35">
      <c r="A827" s="256"/>
      <c r="B827" s="256"/>
      <c r="C827" s="256"/>
      <c r="D827" s="256"/>
      <c r="E827" s="256"/>
      <c r="F827" s="256"/>
      <c r="G827" s="256"/>
      <c r="H827" s="256"/>
      <c r="I827" s="256"/>
      <c r="J827" s="256"/>
      <c r="K827" s="256"/>
    </row>
    <row r="828" spans="1:11" ht="12.75" x14ac:dyDescent="0.35">
      <c r="A828" s="256"/>
      <c r="B828" s="256"/>
      <c r="C828" s="256"/>
      <c r="D828" s="256"/>
      <c r="E828" s="256"/>
      <c r="F828" s="256"/>
      <c r="G828" s="256"/>
      <c r="H828" s="256"/>
      <c r="I828" s="256"/>
      <c r="J828" s="256"/>
      <c r="K828" s="256"/>
    </row>
    <row r="829" spans="1:11" ht="12.75" x14ac:dyDescent="0.35">
      <c r="A829" s="256"/>
      <c r="B829" s="256"/>
      <c r="C829" s="256"/>
      <c r="D829" s="256"/>
      <c r="E829" s="256"/>
      <c r="F829" s="256"/>
      <c r="G829" s="256"/>
      <c r="H829" s="256"/>
      <c r="I829" s="256"/>
      <c r="J829" s="256"/>
      <c r="K829" s="256"/>
    </row>
    <row r="830" spans="1:11" ht="12.75" x14ac:dyDescent="0.35">
      <c r="A830" s="256"/>
      <c r="B830" s="256"/>
      <c r="C830" s="256"/>
      <c r="D830" s="256"/>
      <c r="E830" s="256"/>
      <c r="F830" s="256"/>
      <c r="G830" s="256"/>
      <c r="H830" s="256"/>
      <c r="I830" s="256"/>
      <c r="J830" s="256"/>
      <c r="K830" s="256"/>
    </row>
    <row r="831" spans="1:11" ht="12.75" x14ac:dyDescent="0.35">
      <c r="A831" s="256"/>
      <c r="B831" s="256"/>
      <c r="C831" s="256"/>
      <c r="D831" s="256"/>
      <c r="E831" s="256"/>
      <c r="F831" s="256"/>
      <c r="G831" s="256"/>
      <c r="H831" s="256"/>
      <c r="I831" s="256"/>
      <c r="J831" s="256"/>
      <c r="K831" s="256"/>
    </row>
    <row r="832" spans="1:11" ht="12.75" x14ac:dyDescent="0.35">
      <c r="A832" s="256"/>
      <c r="B832" s="256"/>
      <c r="C832" s="256"/>
      <c r="D832" s="256"/>
      <c r="E832" s="256"/>
      <c r="F832" s="256"/>
      <c r="G832" s="256"/>
      <c r="H832" s="256"/>
      <c r="I832" s="256"/>
      <c r="J832" s="256"/>
      <c r="K832" s="256"/>
    </row>
    <row r="833" spans="1:11" ht="12.75" x14ac:dyDescent="0.35">
      <c r="A833" s="256"/>
      <c r="B833" s="256"/>
      <c r="C833" s="256"/>
      <c r="D833" s="256"/>
      <c r="E833" s="256"/>
      <c r="F833" s="256"/>
      <c r="G833" s="256"/>
      <c r="H833" s="256"/>
      <c r="I833" s="256"/>
      <c r="J833" s="256"/>
      <c r="K833" s="256"/>
    </row>
    <row r="834" spans="1:11" ht="12.75" x14ac:dyDescent="0.35">
      <c r="A834" s="256"/>
      <c r="B834" s="256"/>
      <c r="C834" s="256"/>
      <c r="D834" s="256"/>
      <c r="E834" s="256"/>
      <c r="F834" s="256"/>
      <c r="G834" s="256"/>
      <c r="H834" s="256"/>
      <c r="I834" s="256"/>
      <c r="J834" s="256"/>
      <c r="K834" s="256"/>
    </row>
    <row r="835" spans="1:11" ht="12.75" x14ac:dyDescent="0.35">
      <c r="A835" s="256"/>
      <c r="B835" s="256"/>
      <c r="C835" s="256"/>
      <c r="D835" s="256"/>
      <c r="E835" s="256"/>
      <c r="F835" s="256"/>
      <c r="G835" s="256"/>
      <c r="H835" s="256"/>
      <c r="I835" s="256"/>
      <c r="J835" s="256"/>
      <c r="K835" s="256"/>
    </row>
    <row r="836" spans="1:11" ht="12.75" x14ac:dyDescent="0.35">
      <c r="A836" s="256"/>
      <c r="B836" s="256"/>
      <c r="C836" s="256"/>
      <c r="D836" s="256"/>
      <c r="E836" s="256"/>
      <c r="F836" s="256"/>
      <c r="G836" s="256"/>
      <c r="H836" s="256"/>
      <c r="I836" s="256"/>
      <c r="J836" s="256"/>
      <c r="K836" s="256"/>
    </row>
    <row r="837" spans="1:11" ht="12.75" x14ac:dyDescent="0.35">
      <c r="A837" s="256"/>
      <c r="B837" s="256"/>
      <c r="C837" s="256"/>
      <c r="D837" s="256"/>
      <c r="E837" s="256"/>
      <c r="F837" s="256"/>
      <c r="G837" s="256"/>
      <c r="H837" s="256"/>
      <c r="I837" s="256"/>
      <c r="J837" s="256"/>
      <c r="K837" s="256"/>
    </row>
    <row r="838" spans="1:11" ht="12.75" x14ac:dyDescent="0.35">
      <c r="A838" s="256"/>
      <c r="B838" s="256"/>
      <c r="C838" s="256"/>
      <c r="D838" s="256"/>
      <c r="E838" s="256"/>
      <c r="F838" s="256"/>
      <c r="G838" s="256"/>
      <c r="H838" s="256"/>
      <c r="I838" s="256"/>
      <c r="J838" s="256"/>
      <c r="K838" s="256"/>
    </row>
    <row r="839" spans="1:11" ht="12.75" x14ac:dyDescent="0.35">
      <c r="A839" s="256"/>
      <c r="B839" s="256"/>
      <c r="C839" s="256"/>
      <c r="D839" s="256"/>
      <c r="E839" s="256"/>
      <c r="F839" s="256"/>
      <c r="G839" s="256"/>
      <c r="H839" s="256"/>
      <c r="I839" s="256"/>
      <c r="J839" s="256"/>
      <c r="K839" s="256"/>
    </row>
    <row r="840" spans="1:11" ht="12.75" x14ac:dyDescent="0.35">
      <c r="A840" s="256"/>
      <c r="B840" s="256"/>
      <c r="C840" s="256"/>
      <c r="D840" s="256"/>
      <c r="E840" s="256"/>
      <c r="F840" s="256"/>
      <c r="G840" s="256"/>
      <c r="H840" s="256"/>
      <c r="I840" s="256"/>
      <c r="J840" s="256"/>
      <c r="K840" s="256"/>
    </row>
    <row r="841" spans="1:11" ht="12.75" x14ac:dyDescent="0.35">
      <c r="A841" s="256"/>
      <c r="B841" s="256"/>
      <c r="C841" s="256"/>
      <c r="D841" s="256"/>
      <c r="E841" s="256"/>
      <c r="F841" s="256"/>
      <c r="G841" s="256"/>
      <c r="H841" s="256"/>
      <c r="I841" s="256"/>
      <c r="J841" s="256"/>
      <c r="K841" s="256"/>
    </row>
    <row r="842" spans="1:11" ht="12.75" x14ac:dyDescent="0.35">
      <c r="A842" s="256"/>
      <c r="B842" s="256"/>
      <c r="C842" s="256"/>
      <c r="D842" s="256"/>
      <c r="E842" s="256"/>
      <c r="F842" s="256"/>
      <c r="G842" s="256"/>
      <c r="H842" s="256"/>
      <c r="I842" s="256"/>
      <c r="J842" s="256"/>
      <c r="K842" s="256"/>
    </row>
    <row r="843" spans="1:11" ht="12.75" x14ac:dyDescent="0.35">
      <c r="A843" s="256"/>
      <c r="B843" s="256"/>
      <c r="C843" s="256"/>
      <c r="D843" s="256"/>
      <c r="E843" s="256"/>
      <c r="F843" s="256"/>
      <c r="G843" s="256"/>
      <c r="H843" s="256"/>
      <c r="I843" s="256"/>
      <c r="J843" s="256"/>
      <c r="K843" s="256"/>
    </row>
    <row r="844" spans="1:11" ht="12.75" x14ac:dyDescent="0.35">
      <c r="A844" s="256"/>
      <c r="B844" s="256"/>
      <c r="C844" s="256"/>
      <c r="D844" s="256"/>
      <c r="E844" s="256"/>
      <c r="F844" s="256"/>
      <c r="G844" s="256"/>
      <c r="H844" s="256"/>
      <c r="I844" s="256"/>
      <c r="J844" s="256"/>
      <c r="K844" s="256"/>
    </row>
    <row r="845" spans="1:11" ht="12.75" x14ac:dyDescent="0.35">
      <c r="A845" s="256"/>
      <c r="B845" s="256"/>
      <c r="C845" s="256"/>
      <c r="D845" s="256"/>
      <c r="E845" s="256"/>
      <c r="F845" s="256"/>
      <c r="G845" s="256"/>
      <c r="H845" s="256"/>
      <c r="I845" s="256"/>
      <c r="J845" s="256"/>
      <c r="K845" s="256"/>
    </row>
    <row r="846" spans="1:11" ht="12.75" x14ac:dyDescent="0.35">
      <c r="A846" s="256"/>
      <c r="B846" s="256"/>
      <c r="C846" s="256"/>
      <c r="D846" s="256"/>
      <c r="E846" s="256"/>
      <c r="F846" s="256"/>
      <c r="G846" s="256"/>
      <c r="H846" s="256"/>
      <c r="I846" s="256"/>
      <c r="J846" s="256"/>
      <c r="K846" s="256"/>
    </row>
    <row r="847" spans="1:11" ht="12.75" x14ac:dyDescent="0.35">
      <c r="A847" s="256"/>
      <c r="B847" s="256"/>
      <c r="C847" s="256"/>
      <c r="D847" s="256"/>
      <c r="E847" s="256"/>
      <c r="F847" s="256"/>
      <c r="G847" s="256"/>
      <c r="H847" s="256"/>
      <c r="I847" s="256"/>
      <c r="J847" s="256"/>
      <c r="K847" s="256"/>
    </row>
    <row r="848" spans="1:11" ht="12.75" x14ac:dyDescent="0.35">
      <c r="A848" s="256"/>
      <c r="B848" s="256"/>
      <c r="C848" s="256"/>
      <c r="D848" s="256"/>
      <c r="E848" s="256"/>
      <c r="F848" s="256"/>
      <c r="G848" s="256"/>
      <c r="H848" s="256"/>
      <c r="I848" s="256"/>
      <c r="J848" s="256"/>
      <c r="K848" s="256"/>
    </row>
    <row r="849" spans="1:11" ht="12.75" x14ac:dyDescent="0.35">
      <c r="A849" s="256"/>
      <c r="B849" s="256"/>
      <c r="C849" s="256"/>
      <c r="D849" s="256"/>
      <c r="E849" s="256"/>
      <c r="F849" s="256"/>
      <c r="G849" s="256"/>
      <c r="H849" s="256"/>
      <c r="I849" s="256"/>
      <c r="J849" s="256"/>
      <c r="K849" s="256"/>
    </row>
    <row r="850" spans="1:11" ht="12.75" x14ac:dyDescent="0.35">
      <c r="A850" s="256"/>
      <c r="B850" s="256"/>
      <c r="C850" s="256"/>
      <c r="D850" s="256"/>
      <c r="E850" s="256"/>
      <c r="F850" s="256"/>
      <c r="G850" s="256"/>
      <c r="H850" s="256"/>
      <c r="I850" s="256"/>
      <c r="J850" s="256"/>
      <c r="K850" s="256"/>
    </row>
    <row r="851" spans="1:11" ht="12.75" x14ac:dyDescent="0.35">
      <c r="A851" s="256"/>
      <c r="B851" s="256"/>
      <c r="C851" s="256"/>
      <c r="D851" s="256"/>
      <c r="E851" s="256"/>
      <c r="F851" s="256"/>
      <c r="G851" s="256"/>
      <c r="H851" s="256"/>
      <c r="I851" s="256"/>
      <c r="J851" s="256"/>
      <c r="K851" s="256"/>
    </row>
    <row r="852" spans="1:11" ht="12.75" x14ac:dyDescent="0.35">
      <c r="A852" s="256"/>
      <c r="B852" s="256"/>
      <c r="C852" s="256"/>
      <c r="D852" s="256"/>
      <c r="E852" s="256"/>
      <c r="F852" s="256"/>
      <c r="G852" s="256"/>
      <c r="H852" s="256"/>
      <c r="I852" s="256"/>
      <c r="J852" s="256"/>
      <c r="K852" s="256"/>
    </row>
    <row r="853" spans="1:11" ht="12.75" x14ac:dyDescent="0.35">
      <c r="A853" s="256"/>
      <c r="B853" s="256"/>
      <c r="C853" s="256"/>
      <c r="D853" s="256"/>
      <c r="E853" s="256"/>
      <c r="F853" s="256"/>
      <c r="G853" s="256"/>
      <c r="H853" s="256"/>
      <c r="I853" s="256"/>
      <c r="J853" s="256"/>
      <c r="K853" s="256"/>
    </row>
    <row r="854" spans="1:11" ht="12.75" x14ac:dyDescent="0.35">
      <c r="A854" s="256"/>
      <c r="B854" s="256"/>
      <c r="C854" s="256"/>
      <c r="D854" s="256"/>
      <c r="E854" s="256"/>
      <c r="F854" s="256"/>
      <c r="G854" s="256"/>
      <c r="H854" s="256"/>
      <c r="I854" s="256"/>
      <c r="J854" s="256"/>
      <c r="K854" s="256"/>
    </row>
    <row r="855" spans="1:11" ht="12.75" x14ac:dyDescent="0.35">
      <c r="A855" s="256"/>
      <c r="B855" s="256"/>
      <c r="C855" s="256"/>
      <c r="D855" s="256"/>
      <c r="E855" s="256"/>
      <c r="F855" s="256"/>
      <c r="G855" s="256"/>
      <c r="H855" s="256"/>
      <c r="I855" s="256"/>
      <c r="J855" s="256"/>
      <c r="K855" s="256"/>
    </row>
    <row r="856" spans="1:11" ht="12.75" x14ac:dyDescent="0.35">
      <c r="A856" s="256"/>
      <c r="B856" s="256"/>
      <c r="C856" s="256"/>
      <c r="D856" s="256"/>
      <c r="E856" s="256"/>
      <c r="F856" s="256"/>
      <c r="G856" s="256"/>
      <c r="H856" s="256"/>
      <c r="I856" s="256"/>
      <c r="J856" s="256"/>
      <c r="K856" s="256"/>
    </row>
    <row r="857" spans="1:11" ht="12.75" x14ac:dyDescent="0.35">
      <c r="A857" s="256"/>
      <c r="B857" s="256"/>
      <c r="C857" s="256"/>
      <c r="D857" s="256"/>
      <c r="E857" s="256"/>
      <c r="F857" s="256"/>
      <c r="G857" s="256"/>
      <c r="H857" s="256"/>
      <c r="I857" s="256"/>
      <c r="J857" s="256"/>
      <c r="K857" s="256"/>
    </row>
    <row r="858" spans="1:11" ht="12.75" x14ac:dyDescent="0.35">
      <c r="A858" s="256"/>
      <c r="B858" s="256"/>
      <c r="C858" s="256"/>
      <c r="D858" s="256"/>
      <c r="E858" s="256"/>
      <c r="F858" s="256"/>
      <c r="G858" s="256"/>
      <c r="H858" s="256"/>
      <c r="I858" s="256"/>
      <c r="J858" s="256"/>
      <c r="K858" s="256"/>
    </row>
    <row r="859" spans="1:11" ht="12.75" x14ac:dyDescent="0.35">
      <c r="A859" s="256"/>
      <c r="B859" s="256"/>
      <c r="C859" s="256"/>
      <c r="D859" s="256"/>
      <c r="E859" s="256"/>
      <c r="F859" s="256"/>
      <c r="G859" s="256"/>
      <c r="H859" s="256"/>
      <c r="I859" s="256"/>
      <c r="J859" s="256"/>
      <c r="K859" s="256"/>
    </row>
    <row r="860" spans="1:11" ht="12.75" x14ac:dyDescent="0.35">
      <c r="A860" s="256"/>
      <c r="B860" s="256"/>
      <c r="C860" s="256"/>
      <c r="D860" s="256"/>
      <c r="E860" s="256"/>
      <c r="F860" s="256"/>
      <c r="G860" s="256"/>
      <c r="H860" s="256"/>
      <c r="I860" s="256"/>
      <c r="J860" s="256"/>
      <c r="K860" s="256"/>
    </row>
    <row r="861" spans="1:11" ht="12.75" x14ac:dyDescent="0.35">
      <c r="A861" s="256"/>
      <c r="B861" s="256"/>
      <c r="C861" s="256"/>
      <c r="D861" s="256"/>
      <c r="E861" s="256"/>
      <c r="F861" s="256"/>
      <c r="G861" s="256"/>
      <c r="H861" s="256"/>
      <c r="I861" s="256"/>
      <c r="J861" s="256"/>
      <c r="K861" s="256"/>
    </row>
    <row r="862" spans="1:11" ht="12.75" x14ac:dyDescent="0.35">
      <c r="A862" s="256"/>
      <c r="B862" s="256"/>
      <c r="C862" s="256"/>
      <c r="D862" s="256"/>
      <c r="E862" s="256"/>
      <c r="F862" s="256"/>
      <c r="G862" s="256"/>
      <c r="H862" s="256"/>
      <c r="I862" s="256"/>
      <c r="J862" s="256"/>
      <c r="K862" s="256"/>
    </row>
    <row r="863" spans="1:11" ht="12.75" x14ac:dyDescent="0.35">
      <c r="A863" s="256"/>
      <c r="B863" s="256"/>
      <c r="C863" s="256"/>
      <c r="D863" s="256"/>
      <c r="E863" s="256"/>
      <c r="F863" s="256"/>
      <c r="G863" s="256"/>
      <c r="H863" s="256"/>
      <c r="I863" s="256"/>
      <c r="J863" s="256"/>
      <c r="K863" s="256"/>
    </row>
    <row r="864" spans="1:11" ht="12.75" x14ac:dyDescent="0.35">
      <c r="A864" s="256"/>
      <c r="B864" s="256"/>
      <c r="C864" s="256"/>
      <c r="D864" s="256"/>
      <c r="E864" s="256"/>
      <c r="F864" s="256"/>
      <c r="G864" s="256"/>
      <c r="H864" s="256"/>
      <c r="I864" s="256"/>
      <c r="J864" s="256"/>
      <c r="K864" s="256"/>
    </row>
    <row r="865" spans="1:11" ht="12.75" x14ac:dyDescent="0.35">
      <c r="A865" s="256"/>
      <c r="B865" s="256"/>
      <c r="C865" s="256"/>
      <c r="D865" s="256"/>
      <c r="E865" s="256"/>
      <c r="F865" s="256"/>
      <c r="G865" s="256"/>
      <c r="H865" s="256"/>
      <c r="I865" s="256"/>
      <c r="J865" s="256"/>
      <c r="K865" s="256"/>
    </row>
    <row r="866" spans="1:11" ht="12.75" x14ac:dyDescent="0.35">
      <c r="A866" s="256"/>
      <c r="B866" s="256"/>
      <c r="C866" s="256"/>
      <c r="D866" s="256"/>
      <c r="E866" s="256"/>
      <c r="F866" s="256"/>
      <c r="G866" s="256"/>
      <c r="H866" s="256"/>
      <c r="I866" s="256"/>
      <c r="J866" s="256"/>
      <c r="K866" s="256"/>
    </row>
    <row r="867" spans="1:11" ht="12.75" x14ac:dyDescent="0.35">
      <c r="A867" s="256"/>
      <c r="B867" s="256"/>
      <c r="C867" s="256"/>
      <c r="D867" s="256"/>
      <c r="E867" s="256"/>
      <c r="F867" s="256"/>
      <c r="G867" s="256"/>
      <c r="H867" s="256"/>
      <c r="I867" s="256"/>
      <c r="J867" s="256"/>
      <c r="K867" s="256"/>
    </row>
    <row r="868" spans="1:11" ht="12.75" x14ac:dyDescent="0.35">
      <c r="A868" s="256"/>
      <c r="B868" s="256"/>
      <c r="C868" s="256"/>
      <c r="D868" s="256"/>
      <c r="E868" s="256"/>
      <c r="F868" s="256"/>
      <c r="G868" s="256"/>
      <c r="H868" s="256"/>
      <c r="I868" s="256"/>
      <c r="J868" s="256"/>
      <c r="K868" s="256"/>
    </row>
    <row r="869" spans="1:11" ht="12.75" x14ac:dyDescent="0.35">
      <c r="A869" s="256"/>
      <c r="B869" s="256"/>
      <c r="C869" s="256"/>
      <c r="D869" s="256"/>
      <c r="E869" s="256"/>
      <c r="F869" s="256"/>
      <c r="G869" s="256"/>
      <c r="H869" s="256"/>
      <c r="I869" s="256"/>
      <c r="J869" s="256"/>
      <c r="K869" s="256"/>
    </row>
    <row r="870" spans="1:11" ht="12.75" x14ac:dyDescent="0.35">
      <c r="A870" s="256"/>
      <c r="B870" s="256"/>
      <c r="C870" s="256"/>
      <c r="D870" s="256"/>
      <c r="E870" s="256"/>
      <c r="F870" s="256"/>
      <c r="G870" s="256"/>
      <c r="H870" s="256"/>
      <c r="I870" s="256"/>
      <c r="J870" s="256"/>
      <c r="K870" s="256"/>
    </row>
    <row r="871" spans="1:11" ht="12.75" x14ac:dyDescent="0.35">
      <c r="A871" s="256"/>
      <c r="B871" s="256"/>
      <c r="C871" s="256"/>
      <c r="D871" s="256"/>
      <c r="E871" s="256"/>
      <c r="F871" s="256"/>
      <c r="G871" s="256"/>
      <c r="H871" s="256"/>
      <c r="I871" s="256"/>
      <c r="J871" s="256"/>
      <c r="K871" s="256"/>
    </row>
    <row r="872" spans="1:11" ht="12.75" x14ac:dyDescent="0.35">
      <c r="A872" s="256"/>
      <c r="B872" s="256"/>
      <c r="C872" s="256"/>
      <c r="D872" s="256"/>
      <c r="E872" s="256"/>
      <c r="F872" s="256"/>
      <c r="G872" s="256"/>
      <c r="H872" s="256"/>
      <c r="I872" s="256"/>
      <c r="J872" s="256"/>
      <c r="K872" s="256"/>
    </row>
    <row r="873" spans="1:11" ht="12.75" x14ac:dyDescent="0.35">
      <c r="A873" s="256"/>
      <c r="B873" s="256"/>
      <c r="C873" s="256"/>
      <c r="D873" s="256"/>
      <c r="E873" s="256"/>
      <c r="F873" s="256"/>
      <c r="G873" s="256"/>
      <c r="H873" s="256"/>
      <c r="I873" s="256"/>
      <c r="J873" s="256"/>
      <c r="K873" s="256"/>
    </row>
    <row r="874" spans="1:11" ht="12.75" x14ac:dyDescent="0.35">
      <c r="A874" s="256"/>
      <c r="B874" s="256"/>
      <c r="C874" s="256"/>
      <c r="D874" s="256"/>
      <c r="E874" s="256"/>
      <c r="F874" s="256"/>
      <c r="G874" s="256"/>
      <c r="H874" s="256"/>
      <c r="I874" s="256"/>
      <c r="J874" s="256"/>
      <c r="K874" s="256"/>
    </row>
    <row r="875" spans="1:11" ht="12.75" x14ac:dyDescent="0.35">
      <c r="A875" s="256"/>
      <c r="B875" s="256"/>
      <c r="C875" s="256"/>
      <c r="D875" s="256"/>
      <c r="E875" s="256"/>
      <c r="F875" s="256"/>
      <c r="G875" s="256"/>
      <c r="H875" s="256"/>
      <c r="I875" s="256"/>
      <c r="J875" s="256"/>
      <c r="K875" s="256"/>
    </row>
    <row r="876" spans="1:11" ht="12.75" x14ac:dyDescent="0.35">
      <c r="A876" s="256"/>
      <c r="B876" s="256"/>
      <c r="C876" s="256"/>
      <c r="D876" s="256"/>
      <c r="E876" s="256"/>
      <c r="F876" s="256"/>
      <c r="G876" s="256"/>
      <c r="H876" s="256"/>
      <c r="I876" s="256"/>
      <c r="J876" s="256"/>
      <c r="K876" s="256"/>
    </row>
    <row r="877" spans="1:11" ht="12.75" x14ac:dyDescent="0.35">
      <c r="A877" s="256"/>
      <c r="B877" s="256"/>
      <c r="C877" s="256"/>
      <c r="D877" s="256"/>
      <c r="E877" s="256"/>
      <c r="F877" s="256"/>
      <c r="G877" s="256"/>
      <c r="H877" s="256"/>
      <c r="I877" s="256"/>
      <c r="J877" s="256"/>
      <c r="K877" s="256"/>
    </row>
    <row r="878" spans="1:11" ht="12.75" x14ac:dyDescent="0.35">
      <c r="A878" s="256"/>
      <c r="B878" s="256"/>
      <c r="C878" s="256"/>
      <c r="D878" s="256"/>
      <c r="E878" s="256"/>
      <c r="F878" s="256"/>
      <c r="G878" s="256"/>
      <c r="H878" s="256"/>
      <c r="I878" s="256"/>
      <c r="J878" s="256"/>
      <c r="K878" s="256"/>
    </row>
    <row r="879" spans="1:11" ht="12.75" x14ac:dyDescent="0.35">
      <c r="A879" s="256"/>
      <c r="B879" s="256"/>
      <c r="C879" s="256"/>
      <c r="D879" s="256"/>
      <c r="E879" s="256"/>
      <c r="F879" s="256"/>
      <c r="G879" s="256"/>
      <c r="H879" s="256"/>
      <c r="I879" s="256"/>
      <c r="J879" s="256"/>
      <c r="K879" s="256"/>
    </row>
    <row r="880" spans="1:11" ht="12.75" x14ac:dyDescent="0.35">
      <c r="A880" s="256"/>
      <c r="B880" s="256"/>
      <c r="C880" s="256"/>
      <c r="D880" s="256"/>
      <c r="E880" s="256"/>
      <c r="F880" s="256"/>
      <c r="G880" s="256"/>
      <c r="H880" s="256"/>
      <c r="I880" s="256"/>
      <c r="J880" s="256"/>
      <c r="K880" s="256"/>
    </row>
    <row r="881" spans="1:11" ht="12.75" x14ac:dyDescent="0.35">
      <c r="A881" s="256"/>
      <c r="B881" s="256"/>
      <c r="C881" s="256"/>
      <c r="D881" s="256"/>
      <c r="E881" s="256"/>
      <c r="F881" s="256"/>
      <c r="G881" s="256"/>
      <c r="H881" s="256"/>
      <c r="I881" s="256"/>
      <c r="J881" s="256"/>
      <c r="K881" s="256"/>
    </row>
    <row r="882" spans="1:11" ht="12.75" x14ac:dyDescent="0.35">
      <c r="A882" s="256"/>
      <c r="B882" s="256"/>
      <c r="C882" s="256"/>
      <c r="D882" s="256"/>
      <c r="E882" s="256"/>
      <c r="F882" s="256"/>
      <c r="G882" s="256"/>
      <c r="H882" s="256"/>
      <c r="I882" s="256"/>
      <c r="J882" s="256"/>
      <c r="K882" s="256"/>
    </row>
    <row r="883" spans="1:11" ht="12.75" x14ac:dyDescent="0.35">
      <c r="A883" s="256"/>
      <c r="B883" s="256"/>
      <c r="C883" s="256"/>
      <c r="D883" s="256"/>
      <c r="E883" s="256"/>
      <c r="F883" s="256"/>
      <c r="G883" s="256"/>
      <c r="H883" s="256"/>
      <c r="I883" s="256"/>
      <c r="J883" s="256"/>
      <c r="K883" s="256"/>
    </row>
    <row r="884" spans="1:11" ht="12.75" x14ac:dyDescent="0.35">
      <c r="A884" s="256"/>
      <c r="B884" s="256"/>
      <c r="C884" s="256"/>
      <c r="D884" s="256"/>
      <c r="E884" s="256"/>
      <c r="F884" s="256"/>
      <c r="G884" s="256"/>
      <c r="H884" s="256"/>
      <c r="I884" s="256"/>
      <c r="J884" s="256"/>
      <c r="K884" s="256"/>
    </row>
    <row r="885" spans="1:11" ht="12.75" x14ac:dyDescent="0.35">
      <c r="A885" s="256"/>
      <c r="B885" s="256"/>
      <c r="C885" s="256"/>
      <c r="D885" s="256"/>
      <c r="E885" s="256"/>
      <c r="F885" s="256"/>
      <c r="G885" s="256"/>
      <c r="H885" s="256"/>
      <c r="I885" s="256"/>
      <c r="J885" s="256"/>
      <c r="K885" s="256"/>
    </row>
    <row r="886" spans="1:11" ht="12.75" x14ac:dyDescent="0.35">
      <c r="A886" s="256"/>
      <c r="B886" s="256"/>
      <c r="C886" s="256"/>
      <c r="D886" s="256"/>
      <c r="E886" s="256"/>
      <c r="F886" s="256"/>
      <c r="G886" s="256"/>
      <c r="H886" s="256"/>
      <c r="I886" s="256"/>
      <c r="J886" s="256"/>
      <c r="K886" s="256"/>
    </row>
    <row r="887" spans="1:11" ht="12.75" x14ac:dyDescent="0.35">
      <c r="A887" s="256"/>
      <c r="B887" s="256"/>
      <c r="C887" s="256"/>
      <c r="D887" s="256"/>
      <c r="E887" s="256"/>
      <c r="F887" s="256"/>
      <c r="G887" s="256"/>
      <c r="H887" s="256"/>
      <c r="I887" s="256"/>
      <c r="J887" s="256"/>
      <c r="K887" s="256"/>
    </row>
    <row r="888" spans="1:11" ht="12.75" x14ac:dyDescent="0.35">
      <c r="A888" s="256"/>
      <c r="B888" s="256"/>
      <c r="C888" s="256"/>
      <c r="D888" s="256"/>
      <c r="E888" s="256"/>
      <c r="F888" s="256"/>
      <c r="G888" s="256"/>
      <c r="H888" s="256"/>
      <c r="I888" s="256"/>
      <c r="J888" s="256"/>
      <c r="K888" s="256"/>
    </row>
    <row r="889" spans="1:11" ht="12.75" x14ac:dyDescent="0.35">
      <c r="A889" s="256"/>
      <c r="B889" s="256"/>
      <c r="C889" s="256"/>
      <c r="D889" s="256"/>
      <c r="E889" s="256"/>
      <c r="F889" s="256"/>
      <c r="G889" s="256"/>
      <c r="H889" s="256"/>
      <c r="I889" s="256"/>
      <c r="J889" s="256"/>
      <c r="K889" s="256"/>
    </row>
    <row r="890" spans="1:11" ht="12.75" x14ac:dyDescent="0.35">
      <c r="A890" s="256"/>
      <c r="B890" s="256"/>
      <c r="C890" s="256"/>
      <c r="D890" s="256"/>
      <c r="E890" s="256"/>
      <c r="F890" s="256"/>
      <c r="G890" s="256"/>
      <c r="H890" s="256"/>
      <c r="I890" s="256"/>
      <c r="J890" s="256"/>
      <c r="K890" s="256"/>
    </row>
    <row r="891" spans="1:11" ht="12.75" x14ac:dyDescent="0.35">
      <c r="A891" s="256"/>
      <c r="B891" s="256"/>
      <c r="C891" s="256"/>
      <c r="D891" s="256"/>
      <c r="E891" s="256"/>
      <c r="F891" s="256"/>
      <c r="G891" s="256"/>
      <c r="H891" s="256"/>
      <c r="I891" s="256"/>
      <c r="J891" s="256"/>
      <c r="K891" s="256"/>
    </row>
    <row r="892" spans="1:11" ht="12.75" x14ac:dyDescent="0.35">
      <c r="A892" s="256"/>
      <c r="B892" s="256"/>
      <c r="C892" s="256"/>
      <c r="D892" s="256"/>
      <c r="E892" s="256"/>
      <c r="F892" s="256"/>
      <c r="G892" s="256"/>
      <c r="H892" s="256"/>
      <c r="I892" s="256"/>
      <c r="J892" s="256"/>
      <c r="K892" s="256"/>
    </row>
    <row r="893" spans="1:11" ht="12.75" x14ac:dyDescent="0.35">
      <c r="A893" s="256"/>
      <c r="B893" s="256"/>
      <c r="C893" s="256"/>
      <c r="D893" s="256"/>
      <c r="E893" s="256"/>
      <c r="F893" s="256"/>
      <c r="G893" s="256"/>
      <c r="H893" s="256"/>
      <c r="I893" s="256"/>
      <c r="J893" s="256"/>
      <c r="K893" s="256"/>
    </row>
    <row r="894" spans="1:11" ht="12.75" x14ac:dyDescent="0.35">
      <c r="A894" s="256"/>
      <c r="B894" s="256"/>
      <c r="C894" s="256"/>
      <c r="D894" s="256"/>
      <c r="E894" s="256"/>
      <c r="F894" s="256"/>
      <c r="G894" s="256"/>
      <c r="H894" s="256"/>
      <c r="I894" s="256"/>
      <c r="J894" s="256"/>
      <c r="K894" s="256"/>
    </row>
    <row r="895" spans="1:11" ht="12.75" x14ac:dyDescent="0.35">
      <c r="A895" s="256"/>
      <c r="B895" s="256"/>
      <c r="C895" s="256"/>
      <c r="D895" s="256"/>
      <c r="E895" s="256"/>
      <c r="F895" s="256"/>
      <c r="G895" s="256"/>
      <c r="H895" s="256"/>
      <c r="I895" s="256"/>
      <c r="J895" s="256"/>
      <c r="K895" s="256"/>
    </row>
    <row r="896" spans="1:11" ht="12.75" x14ac:dyDescent="0.35">
      <c r="A896" s="256"/>
      <c r="B896" s="256"/>
      <c r="C896" s="256"/>
      <c r="D896" s="256"/>
      <c r="E896" s="256"/>
      <c r="F896" s="256"/>
      <c r="G896" s="256"/>
      <c r="H896" s="256"/>
      <c r="I896" s="256"/>
      <c r="J896" s="256"/>
      <c r="K896" s="256"/>
    </row>
    <row r="897" spans="1:11" ht="12.75" x14ac:dyDescent="0.35">
      <c r="A897" s="256"/>
      <c r="B897" s="256"/>
      <c r="C897" s="256"/>
      <c r="D897" s="256"/>
      <c r="E897" s="256"/>
      <c r="F897" s="256"/>
      <c r="G897" s="256"/>
      <c r="H897" s="256"/>
      <c r="I897" s="256"/>
      <c r="J897" s="256"/>
      <c r="K897" s="256"/>
    </row>
    <row r="898" spans="1:11" ht="12.75" x14ac:dyDescent="0.35">
      <c r="A898" s="256"/>
      <c r="B898" s="256"/>
      <c r="C898" s="256"/>
      <c r="D898" s="256"/>
      <c r="E898" s="256"/>
      <c r="F898" s="256"/>
      <c r="G898" s="256"/>
      <c r="H898" s="256"/>
      <c r="I898" s="256"/>
      <c r="J898" s="256"/>
      <c r="K898" s="256"/>
    </row>
    <row r="899" spans="1:11" ht="12.75" x14ac:dyDescent="0.35">
      <c r="A899" s="256"/>
      <c r="B899" s="256"/>
      <c r="C899" s="256"/>
      <c r="D899" s="256"/>
      <c r="E899" s="256"/>
      <c r="F899" s="256"/>
      <c r="G899" s="256"/>
      <c r="H899" s="256"/>
      <c r="I899" s="256"/>
      <c r="J899" s="256"/>
      <c r="K899" s="256"/>
    </row>
    <row r="900" spans="1:11" ht="12.75" x14ac:dyDescent="0.35">
      <c r="A900" s="256"/>
      <c r="B900" s="256"/>
      <c r="C900" s="256"/>
      <c r="D900" s="256"/>
      <c r="E900" s="256"/>
      <c r="F900" s="256"/>
      <c r="G900" s="256"/>
      <c r="H900" s="256"/>
      <c r="I900" s="256"/>
      <c r="J900" s="256"/>
      <c r="K900" s="256"/>
    </row>
    <row r="901" spans="1:11" ht="12.75" x14ac:dyDescent="0.35">
      <c r="A901" s="256"/>
      <c r="B901" s="256"/>
      <c r="C901" s="256"/>
      <c r="D901" s="256"/>
      <c r="E901" s="256"/>
      <c r="F901" s="256"/>
      <c r="G901" s="256"/>
      <c r="H901" s="256"/>
      <c r="I901" s="256"/>
      <c r="J901" s="256"/>
      <c r="K901" s="256"/>
    </row>
    <row r="902" spans="1:11" ht="12.75" x14ac:dyDescent="0.35">
      <c r="A902" s="256"/>
      <c r="B902" s="256"/>
      <c r="C902" s="256"/>
      <c r="D902" s="256"/>
      <c r="E902" s="256"/>
      <c r="F902" s="256"/>
      <c r="G902" s="256"/>
      <c r="H902" s="256"/>
      <c r="I902" s="256"/>
      <c r="J902" s="256"/>
      <c r="K902" s="256"/>
    </row>
    <row r="903" spans="1:11" ht="12.75" x14ac:dyDescent="0.35">
      <c r="A903" s="256"/>
      <c r="B903" s="256"/>
      <c r="C903" s="256"/>
      <c r="D903" s="256"/>
      <c r="E903" s="256"/>
      <c r="F903" s="256"/>
      <c r="G903" s="256"/>
      <c r="H903" s="256"/>
      <c r="I903" s="256"/>
      <c r="J903" s="256"/>
      <c r="K903" s="256"/>
    </row>
    <row r="904" spans="1:11" ht="12.75" x14ac:dyDescent="0.35">
      <c r="A904" s="256"/>
      <c r="B904" s="256"/>
      <c r="C904" s="256"/>
      <c r="D904" s="256"/>
      <c r="E904" s="256"/>
      <c r="F904" s="256"/>
      <c r="G904" s="256"/>
      <c r="H904" s="256"/>
      <c r="I904" s="256"/>
      <c r="J904" s="256"/>
      <c r="K904" s="256"/>
    </row>
    <row r="905" spans="1:11" ht="12.75" x14ac:dyDescent="0.35">
      <c r="A905" s="256"/>
      <c r="B905" s="256"/>
      <c r="C905" s="256"/>
      <c r="D905" s="256"/>
      <c r="E905" s="256"/>
      <c r="F905" s="256"/>
      <c r="G905" s="256"/>
      <c r="H905" s="256"/>
      <c r="I905" s="256"/>
      <c r="J905" s="256"/>
      <c r="K905" s="256"/>
    </row>
    <row r="906" spans="1:11" ht="12.75" x14ac:dyDescent="0.35">
      <c r="A906" s="256"/>
      <c r="B906" s="256"/>
      <c r="C906" s="256"/>
      <c r="D906" s="256"/>
      <c r="E906" s="256"/>
      <c r="F906" s="256"/>
      <c r="G906" s="256"/>
      <c r="H906" s="256"/>
      <c r="I906" s="256"/>
      <c r="J906" s="256"/>
      <c r="K906" s="256"/>
    </row>
    <row r="907" spans="1:11" ht="12.75" x14ac:dyDescent="0.35">
      <c r="A907" s="256"/>
      <c r="B907" s="256"/>
      <c r="C907" s="256"/>
      <c r="D907" s="256"/>
      <c r="E907" s="256"/>
      <c r="F907" s="256"/>
      <c r="G907" s="256"/>
      <c r="H907" s="256"/>
      <c r="I907" s="256"/>
      <c r="J907" s="256"/>
      <c r="K907" s="256"/>
    </row>
    <row r="908" spans="1:11" ht="12.75" x14ac:dyDescent="0.35">
      <c r="A908" s="256"/>
      <c r="B908" s="256"/>
      <c r="C908" s="256"/>
      <c r="D908" s="256"/>
      <c r="E908" s="256"/>
      <c r="F908" s="256"/>
      <c r="G908" s="256"/>
      <c r="H908" s="256"/>
      <c r="I908" s="256"/>
      <c r="J908" s="256"/>
      <c r="K908" s="256"/>
    </row>
    <row r="909" spans="1:11" ht="12.75" x14ac:dyDescent="0.35">
      <c r="A909" s="256"/>
      <c r="B909" s="256"/>
      <c r="C909" s="256"/>
      <c r="D909" s="256"/>
      <c r="E909" s="256"/>
      <c r="F909" s="256"/>
      <c r="G909" s="256"/>
      <c r="H909" s="256"/>
      <c r="I909" s="256"/>
      <c r="J909" s="256"/>
      <c r="K909" s="256"/>
    </row>
    <row r="910" spans="1:11" ht="12.75" x14ac:dyDescent="0.35">
      <c r="A910" s="256"/>
      <c r="B910" s="256"/>
      <c r="C910" s="256"/>
      <c r="D910" s="256"/>
      <c r="E910" s="256"/>
      <c r="F910" s="256"/>
      <c r="G910" s="256"/>
      <c r="H910" s="256"/>
      <c r="I910" s="256"/>
      <c r="J910" s="256"/>
      <c r="K910" s="256"/>
    </row>
    <row r="911" spans="1:11" ht="12.75" x14ac:dyDescent="0.35">
      <c r="A911" s="256"/>
      <c r="B911" s="256"/>
      <c r="C911" s="256"/>
      <c r="D911" s="256"/>
      <c r="E911" s="256"/>
      <c r="F911" s="256"/>
      <c r="G911" s="256"/>
      <c r="H911" s="256"/>
      <c r="I911" s="256"/>
      <c r="J911" s="256"/>
      <c r="K911" s="256"/>
    </row>
    <row r="912" spans="1:11" ht="12.75" x14ac:dyDescent="0.35">
      <c r="A912" s="256"/>
      <c r="B912" s="256"/>
      <c r="C912" s="256"/>
      <c r="D912" s="256"/>
      <c r="E912" s="256"/>
      <c r="F912" s="256"/>
      <c r="G912" s="256"/>
      <c r="H912" s="256"/>
      <c r="I912" s="256"/>
      <c r="J912" s="256"/>
      <c r="K912" s="256"/>
    </row>
    <row r="913" spans="1:11" ht="12.75" x14ac:dyDescent="0.35">
      <c r="A913" s="256"/>
      <c r="B913" s="256"/>
      <c r="C913" s="256"/>
      <c r="D913" s="256"/>
      <c r="E913" s="256"/>
      <c r="F913" s="256"/>
      <c r="G913" s="256"/>
      <c r="H913" s="256"/>
      <c r="I913" s="256"/>
      <c r="J913" s="256"/>
      <c r="K913" s="256"/>
    </row>
    <row r="914" spans="1:11" ht="12.75" x14ac:dyDescent="0.35">
      <c r="A914" s="256"/>
      <c r="B914" s="256"/>
      <c r="C914" s="256"/>
      <c r="D914" s="256"/>
      <c r="E914" s="256"/>
      <c r="F914" s="256"/>
      <c r="G914" s="256"/>
      <c r="H914" s="256"/>
      <c r="I914" s="256"/>
      <c r="J914" s="256"/>
      <c r="K914" s="256"/>
    </row>
    <row r="915" spans="1:11" ht="12.75" x14ac:dyDescent="0.35">
      <c r="A915" s="256"/>
      <c r="B915" s="256"/>
      <c r="C915" s="256"/>
      <c r="D915" s="256"/>
      <c r="E915" s="256"/>
      <c r="F915" s="256"/>
      <c r="G915" s="256"/>
      <c r="H915" s="256"/>
      <c r="I915" s="256"/>
      <c r="J915" s="256"/>
      <c r="K915" s="256"/>
    </row>
    <row r="916" spans="1:11" ht="12.75" x14ac:dyDescent="0.35">
      <c r="A916" s="256"/>
      <c r="B916" s="256"/>
      <c r="C916" s="256"/>
      <c r="D916" s="256"/>
      <c r="E916" s="256"/>
      <c r="F916" s="256"/>
      <c r="G916" s="256"/>
      <c r="H916" s="256"/>
      <c r="I916" s="256"/>
      <c r="J916" s="256"/>
      <c r="K916" s="256"/>
    </row>
    <row r="917" spans="1:11" ht="12.75" x14ac:dyDescent="0.35">
      <c r="A917" s="256"/>
      <c r="B917" s="256"/>
      <c r="C917" s="256"/>
      <c r="D917" s="256"/>
      <c r="E917" s="256"/>
      <c r="F917" s="256"/>
      <c r="G917" s="256"/>
      <c r="H917" s="256"/>
      <c r="I917" s="256"/>
      <c r="J917" s="256"/>
      <c r="K917" s="256"/>
    </row>
    <row r="918" spans="1:11" ht="12.75" x14ac:dyDescent="0.35">
      <c r="A918" s="256"/>
      <c r="B918" s="256"/>
      <c r="C918" s="256"/>
      <c r="D918" s="256"/>
      <c r="E918" s="256"/>
      <c r="F918" s="256"/>
      <c r="G918" s="256"/>
      <c r="H918" s="256"/>
      <c r="I918" s="256"/>
      <c r="J918" s="256"/>
      <c r="K918" s="256"/>
    </row>
    <row r="919" spans="1:11" ht="12.75" x14ac:dyDescent="0.35">
      <c r="A919" s="256"/>
      <c r="B919" s="256"/>
      <c r="C919" s="256"/>
      <c r="D919" s="256"/>
      <c r="E919" s="256"/>
      <c r="F919" s="256"/>
      <c r="G919" s="256"/>
      <c r="H919" s="256"/>
      <c r="I919" s="256"/>
      <c r="J919" s="256"/>
      <c r="K919" s="256"/>
    </row>
    <row r="920" spans="1:11" ht="12.75" x14ac:dyDescent="0.35">
      <c r="A920" s="256"/>
      <c r="B920" s="256"/>
      <c r="C920" s="256"/>
      <c r="D920" s="256"/>
      <c r="E920" s="256"/>
      <c r="F920" s="256"/>
      <c r="G920" s="256"/>
      <c r="H920" s="256"/>
      <c r="I920" s="256"/>
      <c r="J920" s="256"/>
      <c r="K920" s="256"/>
    </row>
    <row r="921" spans="1:11" ht="12.75" x14ac:dyDescent="0.35">
      <c r="A921" s="256"/>
      <c r="B921" s="256"/>
      <c r="C921" s="256"/>
      <c r="D921" s="256"/>
      <c r="E921" s="256"/>
      <c r="F921" s="256"/>
      <c r="G921" s="256"/>
      <c r="H921" s="256"/>
      <c r="I921" s="256"/>
      <c r="J921" s="256"/>
      <c r="K921" s="256"/>
    </row>
    <row r="922" spans="1:11" ht="12.75" x14ac:dyDescent="0.35">
      <c r="A922" s="256"/>
      <c r="B922" s="256"/>
      <c r="C922" s="256"/>
      <c r="D922" s="256"/>
      <c r="E922" s="256"/>
      <c r="F922" s="256"/>
      <c r="G922" s="256"/>
      <c r="H922" s="256"/>
      <c r="I922" s="256"/>
      <c r="J922" s="256"/>
      <c r="K922" s="256"/>
    </row>
    <row r="923" spans="1:11" ht="12.75" x14ac:dyDescent="0.35">
      <c r="A923" s="256"/>
      <c r="B923" s="256"/>
      <c r="C923" s="256"/>
      <c r="D923" s="256"/>
      <c r="E923" s="256"/>
      <c r="F923" s="256"/>
      <c r="G923" s="256"/>
      <c r="H923" s="256"/>
      <c r="I923" s="256"/>
      <c r="J923" s="256"/>
      <c r="K923" s="256"/>
    </row>
    <row r="924" spans="1:11" ht="12.75" x14ac:dyDescent="0.35">
      <c r="A924" s="256"/>
      <c r="B924" s="256"/>
      <c r="C924" s="256"/>
      <c r="D924" s="256"/>
      <c r="E924" s="256"/>
      <c r="F924" s="256"/>
      <c r="G924" s="256"/>
      <c r="H924" s="256"/>
      <c r="I924" s="256"/>
      <c r="J924" s="256"/>
      <c r="K924" s="256"/>
    </row>
    <row r="925" spans="1:11" ht="12.75" x14ac:dyDescent="0.35">
      <c r="A925" s="256"/>
      <c r="B925" s="256"/>
      <c r="C925" s="256"/>
      <c r="D925" s="256"/>
      <c r="E925" s="256"/>
      <c r="F925" s="256"/>
      <c r="G925" s="256"/>
      <c r="H925" s="256"/>
      <c r="I925" s="256"/>
      <c r="J925" s="256"/>
      <c r="K925" s="256"/>
    </row>
    <row r="926" spans="1:11" ht="12.75" x14ac:dyDescent="0.35">
      <c r="A926" s="256"/>
      <c r="B926" s="256"/>
      <c r="C926" s="256"/>
      <c r="D926" s="256"/>
      <c r="E926" s="256"/>
      <c r="F926" s="256"/>
      <c r="G926" s="256"/>
      <c r="H926" s="256"/>
      <c r="I926" s="256"/>
      <c r="J926" s="256"/>
      <c r="K926" s="256"/>
    </row>
    <row r="927" spans="1:11" ht="12.75" x14ac:dyDescent="0.35">
      <c r="A927" s="256"/>
      <c r="B927" s="256"/>
      <c r="C927" s="256"/>
      <c r="D927" s="256"/>
      <c r="E927" s="256"/>
      <c r="F927" s="256"/>
      <c r="G927" s="256"/>
      <c r="H927" s="256"/>
      <c r="I927" s="256"/>
      <c r="J927" s="256"/>
      <c r="K927" s="256"/>
    </row>
    <row r="928" spans="1:11" ht="12.75" x14ac:dyDescent="0.35">
      <c r="A928" s="256"/>
      <c r="B928" s="256"/>
      <c r="C928" s="256"/>
      <c r="D928" s="256"/>
      <c r="E928" s="256"/>
      <c r="F928" s="256"/>
      <c r="G928" s="256"/>
      <c r="H928" s="256"/>
      <c r="I928" s="256"/>
      <c r="J928" s="256"/>
      <c r="K928" s="256"/>
    </row>
    <row r="929" spans="1:11" ht="12.75" x14ac:dyDescent="0.35">
      <c r="A929" s="256"/>
      <c r="B929" s="256"/>
      <c r="C929" s="256"/>
      <c r="D929" s="256"/>
      <c r="E929" s="256"/>
      <c r="F929" s="256"/>
      <c r="G929" s="256"/>
      <c r="H929" s="256"/>
      <c r="I929" s="256"/>
      <c r="J929" s="256"/>
      <c r="K929" s="256"/>
    </row>
    <row r="930" spans="1:11" ht="12.75" x14ac:dyDescent="0.35">
      <c r="A930" s="256"/>
      <c r="B930" s="256"/>
      <c r="C930" s="256"/>
      <c r="D930" s="256"/>
      <c r="E930" s="256"/>
      <c r="F930" s="256"/>
      <c r="G930" s="256"/>
      <c r="H930" s="256"/>
      <c r="I930" s="256"/>
      <c r="J930" s="256"/>
      <c r="K930" s="256"/>
    </row>
    <row r="931" spans="1:11" ht="12.75" x14ac:dyDescent="0.35">
      <c r="A931" s="256"/>
      <c r="B931" s="256"/>
      <c r="C931" s="256"/>
      <c r="D931" s="256"/>
      <c r="E931" s="256"/>
      <c r="F931" s="256"/>
      <c r="G931" s="256"/>
      <c r="H931" s="256"/>
      <c r="I931" s="256"/>
      <c r="J931" s="256"/>
      <c r="K931" s="256"/>
    </row>
    <row r="932" spans="1:11" ht="12.75" x14ac:dyDescent="0.35">
      <c r="A932" s="256"/>
      <c r="B932" s="256"/>
      <c r="C932" s="256"/>
      <c r="D932" s="256"/>
      <c r="E932" s="256"/>
      <c r="F932" s="256"/>
      <c r="G932" s="256"/>
      <c r="H932" s="256"/>
      <c r="I932" s="256"/>
      <c r="J932" s="256"/>
      <c r="K932" s="256"/>
    </row>
    <row r="933" spans="1:11" ht="12.75" x14ac:dyDescent="0.35">
      <c r="A933" s="256"/>
      <c r="B933" s="256"/>
      <c r="C933" s="256"/>
      <c r="D933" s="256"/>
      <c r="E933" s="256"/>
      <c r="F933" s="256"/>
      <c r="G933" s="256"/>
      <c r="H933" s="256"/>
      <c r="I933" s="256"/>
      <c r="J933" s="256"/>
      <c r="K933" s="256"/>
    </row>
    <row r="934" spans="1:11" ht="12.75" x14ac:dyDescent="0.35">
      <c r="A934" s="256"/>
      <c r="B934" s="256"/>
      <c r="C934" s="256"/>
      <c r="D934" s="256"/>
      <c r="E934" s="256"/>
      <c r="F934" s="256"/>
      <c r="G934" s="256"/>
      <c r="H934" s="256"/>
      <c r="I934" s="256"/>
      <c r="J934" s="256"/>
      <c r="K934" s="256"/>
    </row>
    <row r="935" spans="1:11" ht="12.75" x14ac:dyDescent="0.35">
      <c r="A935" s="256"/>
      <c r="B935" s="256"/>
      <c r="C935" s="256"/>
      <c r="D935" s="256"/>
      <c r="E935" s="256"/>
      <c r="F935" s="256"/>
      <c r="G935" s="256"/>
      <c r="H935" s="256"/>
      <c r="I935" s="256"/>
      <c r="J935" s="256"/>
      <c r="K935" s="256"/>
    </row>
    <row r="936" spans="1:11" ht="12.75" x14ac:dyDescent="0.35">
      <c r="A936" s="256"/>
      <c r="B936" s="256"/>
      <c r="C936" s="256"/>
      <c r="D936" s="256"/>
      <c r="E936" s="256"/>
      <c r="F936" s="256"/>
      <c r="G936" s="256"/>
      <c r="H936" s="256"/>
      <c r="I936" s="256"/>
      <c r="J936" s="256"/>
      <c r="K936" s="256"/>
    </row>
    <row r="937" spans="1:11" ht="12.75" x14ac:dyDescent="0.35">
      <c r="A937" s="256"/>
      <c r="B937" s="256"/>
      <c r="C937" s="256"/>
      <c r="D937" s="256"/>
      <c r="E937" s="256"/>
      <c r="F937" s="256"/>
      <c r="G937" s="256"/>
      <c r="H937" s="256"/>
      <c r="I937" s="256"/>
      <c r="J937" s="256"/>
      <c r="K937" s="256"/>
    </row>
    <row r="938" spans="1:11" ht="12.75" x14ac:dyDescent="0.35">
      <c r="A938" s="256"/>
      <c r="B938" s="256"/>
      <c r="C938" s="256"/>
      <c r="D938" s="256"/>
      <c r="E938" s="256"/>
      <c r="F938" s="256"/>
      <c r="G938" s="256"/>
      <c r="H938" s="256"/>
      <c r="I938" s="256"/>
      <c r="J938" s="256"/>
      <c r="K938" s="256"/>
    </row>
    <row r="939" spans="1:11" ht="12.75" x14ac:dyDescent="0.35">
      <c r="A939" s="256"/>
      <c r="B939" s="256"/>
      <c r="C939" s="256"/>
      <c r="D939" s="256"/>
      <c r="E939" s="256"/>
      <c r="F939" s="256"/>
      <c r="G939" s="256"/>
      <c r="H939" s="256"/>
      <c r="I939" s="256"/>
      <c r="J939" s="256"/>
      <c r="K939" s="256"/>
    </row>
    <row r="940" spans="1:11" ht="12.75" x14ac:dyDescent="0.35">
      <c r="A940" s="256"/>
      <c r="B940" s="256"/>
      <c r="C940" s="256"/>
      <c r="D940" s="256"/>
      <c r="E940" s="256"/>
      <c r="F940" s="256"/>
      <c r="G940" s="256"/>
      <c r="H940" s="256"/>
      <c r="I940" s="256"/>
      <c r="J940" s="256"/>
      <c r="K940" s="256"/>
    </row>
    <row r="941" spans="1:11" ht="12.75" x14ac:dyDescent="0.35">
      <c r="A941" s="256"/>
      <c r="B941" s="256"/>
      <c r="C941" s="256"/>
      <c r="D941" s="256"/>
      <c r="E941" s="256"/>
      <c r="F941" s="256"/>
      <c r="G941" s="256"/>
      <c r="H941" s="256"/>
      <c r="I941" s="256"/>
      <c r="J941" s="256"/>
      <c r="K941" s="256"/>
    </row>
    <row r="942" spans="1:11" ht="12.75" x14ac:dyDescent="0.35">
      <c r="A942" s="256"/>
      <c r="B942" s="256"/>
      <c r="C942" s="256"/>
      <c r="D942" s="256"/>
      <c r="E942" s="256"/>
      <c r="F942" s="256"/>
      <c r="G942" s="256"/>
      <c r="H942" s="256"/>
      <c r="I942" s="256"/>
      <c r="J942" s="256"/>
      <c r="K942" s="256"/>
    </row>
    <row r="943" spans="1:11" ht="12.75" x14ac:dyDescent="0.35">
      <c r="A943" s="256"/>
      <c r="B943" s="256"/>
      <c r="C943" s="256"/>
      <c r="D943" s="256"/>
      <c r="E943" s="256"/>
      <c r="F943" s="256"/>
      <c r="G943" s="256"/>
      <c r="H943" s="256"/>
      <c r="I943" s="256"/>
      <c r="J943" s="256"/>
      <c r="K943" s="256"/>
    </row>
    <row r="944" spans="1:11" ht="12.75" x14ac:dyDescent="0.35">
      <c r="A944" s="256"/>
      <c r="B944" s="256"/>
      <c r="C944" s="256"/>
      <c r="D944" s="256"/>
      <c r="E944" s="256"/>
      <c r="F944" s="256"/>
      <c r="G944" s="256"/>
      <c r="H944" s="256"/>
      <c r="I944" s="256"/>
      <c r="J944" s="256"/>
      <c r="K944" s="256"/>
    </row>
    <row r="945" spans="1:11" ht="12.75" x14ac:dyDescent="0.35">
      <c r="A945" s="256"/>
      <c r="B945" s="256"/>
      <c r="C945" s="256"/>
      <c r="D945" s="256"/>
      <c r="E945" s="256"/>
      <c r="F945" s="256"/>
      <c r="G945" s="256"/>
      <c r="H945" s="256"/>
      <c r="I945" s="256"/>
      <c r="J945" s="256"/>
      <c r="K945" s="256"/>
    </row>
    <row r="946" spans="1:11" ht="12.75" x14ac:dyDescent="0.35">
      <c r="A946" s="256"/>
      <c r="B946" s="256"/>
      <c r="C946" s="256"/>
      <c r="D946" s="256"/>
      <c r="E946" s="256"/>
      <c r="F946" s="256"/>
      <c r="G946" s="256"/>
      <c r="H946" s="256"/>
      <c r="I946" s="256"/>
      <c r="J946" s="256"/>
      <c r="K946" s="256"/>
    </row>
    <row r="947" spans="1:11" ht="12.75" x14ac:dyDescent="0.35">
      <c r="A947" s="256"/>
      <c r="B947" s="256"/>
      <c r="C947" s="256"/>
      <c r="D947" s="256"/>
      <c r="E947" s="256"/>
      <c r="F947" s="256"/>
      <c r="G947" s="256"/>
      <c r="H947" s="256"/>
      <c r="I947" s="256"/>
      <c r="J947" s="256"/>
      <c r="K947" s="256"/>
    </row>
    <row r="948" spans="1:11" ht="12.75" x14ac:dyDescent="0.35">
      <c r="A948" s="256"/>
      <c r="B948" s="256"/>
      <c r="C948" s="256"/>
      <c r="D948" s="256"/>
      <c r="E948" s="256"/>
      <c r="F948" s="256"/>
      <c r="G948" s="256"/>
      <c r="H948" s="256"/>
      <c r="I948" s="256"/>
      <c r="J948" s="256"/>
      <c r="K948" s="256"/>
    </row>
    <row r="949" spans="1:11" ht="12.75" x14ac:dyDescent="0.35">
      <c r="A949" s="256"/>
      <c r="B949" s="256"/>
      <c r="C949" s="256"/>
      <c r="D949" s="256"/>
      <c r="E949" s="256"/>
      <c r="F949" s="256"/>
      <c r="G949" s="256"/>
      <c r="H949" s="256"/>
      <c r="I949" s="256"/>
      <c r="J949" s="256"/>
      <c r="K949" s="256"/>
    </row>
    <row r="950" spans="1:11" ht="12.75" x14ac:dyDescent="0.35">
      <c r="A950" s="256"/>
      <c r="B950" s="256"/>
      <c r="C950" s="256"/>
      <c r="D950" s="256"/>
      <c r="E950" s="256"/>
      <c r="F950" s="256"/>
      <c r="G950" s="256"/>
      <c r="H950" s="256"/>
      <c r="I950" s="256"/>
      <c r="J950" s="256"/>
      <c r="K950" s="256"/>
    </row>
    <row r="951" spans="1:11" ht="12.75" x14ac:dyDescent="0.35">
      <c r="A951" s="256"/>
      <c r="B951" s="256"/>
      <c r="C951" s="256"/>
      <c r="D951" s="256"/>
      <c r="E951" s="256"/>
      <c r="F951" s="256"/>
      <c r="G951" s="256"/>
      <c r="H951" s="256"/>
      <c r="I951" s="256"/>
      <c r="J951" s="256"/>
      <c r="K951" s="256"/>
    </row>
    <row r="952" spans="1:11" ht="12.75" x14ac:dyDescent="0.35">
      <c r="A952" s="256"/>
      <c r="B952" s="256"/>
      <c r="C952" s="256"/>
      <c r="D952" s="256"/>
      <c r="E952" s="256"/>
      <c r="F952" s="256"/>
      <c r="G952" s="256"/>
      <c r="H952" s="256"/>
      <c r="I952" s="256"/>
      <c r="J952" s="256"/>
      <c r="K952" s="256"/>
    </row>
    <row r="953" spans="1:11" ht="12.75" x14ac:dyDescent="0.35">
      <c r="A953" s="256"/>
      <c r="B953" s="256"/>
      <c r="C953" s="256"/>
      <c r="D953" s="256"/>
      <c r="E953" s="256"/>
      <c r="F953" s="256"/>
      <c r="G953" s="256"/>
      <c r="H953" s="256"/>
      <c r="I953" s="256"/>
      <c r="J953" s="256"/>
      <c r="K953" s="256"/>
    </row>
    <row r="954" spans="1:11" ht="12.75" x14ac:dyDescent="0.35">
      <c r="A954" s="256"/>
      <c r="B954" s="256"/>
      <c r="C954" s="256"/>
      <c r="D954" s="256"/>
      <c r="E954" s="256"/>
      <c r="F954" s="256"/>
      <c r="G954" s="256"/>
      <c r="H954" s="256"/>
      <c r="I954" s="256"/>
      <c r="J954" s="256"/>
      <c r="K954" s="256"/>
    </row>
    <row r="955" spans="1:11" ht="12.75" x14ac:dyDescent="0.35">
      <c r="A955" s="256"/>
      <c r="B955" s="256"/>
      <c r="C955" s="256"/>
      <c r="D955" s="256"/>
      <c r="E955" s="256"/>
      <c r="F955" s="256"/>
      <c r="G955" s="256"/>
      <c r="H955" s="256"/>
      <c r="I955" s="256"/>
      <c r="J955" s="256"/>
      <c r="K955" s="256"/>
    </row>
    <row r="956" spans="1:11" ht="12.75" x14ac:dyDescent="0.35">
      <c r="A956" s="256"/>
      <c r="B956" s="256"/>
      <c r="C956" s="256"/>
      <c r="D956" s="256"/>
      <c r="E956" s="256"/>
      <c r="F956" s="256"/>
      <c r="G956" s="256"/>
      <c r="H956" s="256"/>
      <c r="I956" s="256"/>
      <c r="J956" s="256"/>
      <c r="K956" s="256"/>
    </row>
    <row r="957" spans="1:11" ht="12.75" x14ac:dyDescent="0.35">
      <c r="A957" s="256"/>
      <c r="B957" s="256"/>
      <c r="C957" s="256"/>
      <c r="D957" s="256"/>
      <c r="E957" s="256"/>
      <c r="F957" s="256"/>
      <c r="G957" s="256"/>
      <c r="H957" s="256"/>
      <c r="I957" s="256"/>
      <c r="J957" s="256"/>
      <c r="K957" s="256"/>
    </row>
    <row r="958" spans="1:11" ht="12.75" x14ac:dyDescent="0.35">
      <c r="A958" s="256"/>
      <c r="B958" s="256"/>
      <c r="C958" s="256"/>
      <c r="D958" s="256"/>
      <c r="E958" s="256"/>
      <c r="F958" s="256"/>
      <c r="G958" s="256"/>
      <c r="H958" s="256"/>
      <c r="I958" s="256"/>
      <c r="J958" s="256"/>
      <c r="K958" s="256"/>
    </row>
    <row r="959" spans="1:11" ht="12.75" x14ac:dyDescent="0.35">
      <c r="A959" s="256"/>
      <c r="B959" s="256"/>
      <c r="C959" s="256"/>
      <c r="D959" s="256"/>
      <c r="E959" s="256"/>
      <c r="F959" s="256"/>
      <c r="G959" s="256"/>
      <c r="H959" s="256"/>
      <c r="I959" s="256"/>
      <c r="J959" s="256"/>
      <c r="K959" s="256"/>
    </row>
    <row r="960" spans="1:11" ht="12.75" x14ac:dyDescent="0.35">
      <c r="A960" s="256"/>
      <c r="B960" s="256"/>
      <c r="C960" s="256"/>
      <c r="D960" s="256"/>
      <c r="E960" s="256"/>
      <c r="F960" s="256"/>
      <c r="G960" s="256"/>
      <c r="H960" s="256"/>
      <c r="I960" s="256"/>
      <c r="J960" s="256"/>
      <c r="K960" s="256"/>
    </row>
    <row r="961" spans="1:11" ht="12.75" x14ac:dyDescent="0.35">
      <c r="A961" s="256"/>
      <c r="B961" s="256"/>
      <c r="C961" s="256"/>
      <c r="D961" s="256"/>
      <c r="E961" s="256"/>
      <c r="F961" s="256"/>
      <c r="G961" s="256"/>
      <c r="H961" s="256"/>
      <c r="I961" s="256"/>
      <c r="J961" s="256"/>
      <c r="K961" s="256"/>
    </row>
    <row r="962" spans="1:11" ht="12.75" x14ac:dyDescent="0.35">
      <c r="A962" s="256"/>
      <c r="B962" s="256"/>
      <c r="C962" s="256"/>
      <c r="D962" s="256"/>
      <c r="E962" s="256"/>
      <c r="F962" s="256"/>
      <c r="G962" s="256"/>
      <c r="H962" s="256"/>
      <c r="I962" s="256"/>
      <c r="J962" s="256"/>
      <c r="K962" s="256"/>
    </row>
    <row r="963" spans="1:11" ht="12.75" x14ac:dyDescent="0.35">
      <c r="A963" s="256"/>
      <c r="B963" s="256"/>
      <c r="C963" s="256"/>
      <c r="D963" s="256"/>
      <c r="E963" s="256"/>
      <c r="F963" s="256"/>
      <c r="G963" s="256"/>
      <c r="H963" s="256"/>
      <c r="I963" s="256"/>
      <c r="J963" s="256"/>
      <c r="K963" s="256"/>
    </row>
    <row r="964" spans="1:11" ht="12.75" x14ac:dyDescent="0.35">
      <c r="A964" s="256"/>
      <c r="B964" s="256"/>
      <c r="C964" s="256"/>
      <c r="D964" s="256"/>
      <c r="E964" s="256"/>
      <c r="F964" s="256"/>
      <c r="G964" s="256"/>
      <c r="H964" s="256"/>
      <c r="I964" s="256"/>
      <c r="J964" s="256"/>
      <c r="K964" s="256"/>
    </row>
    <row r="965" spans="1:11" ht="12.75" x14ac:dyDescent="0.35">
      <c r="A965" s="256"/>
      <c r="B965" s="256"/>
      <c r="C965" s="256"/>
      <c r="D965" s="256"/>
      <c r="E965" s="256"/>
      <c r="F965" s="256"/>
      <c r="G965" s="256"/>
      <c r="H965" s="256"/>
      <c r="I965" s="256"/>
      <c r="J965" s="256"/>
      <c r="K965" s="256"/>
    </row>
    <row r="966" spans="1:11" ht="12.75" x14ac:dyDescent="0.35">
      <c r="A966" s="256"/>
      <c r="B966" s="256"/>
      <c r="C966" s="256"/>
      <c r="D966" s="256"/>
      <c r="E966" s="256"/>
      <c r="F966" s="256"/>
      <c r="G966" s="256"/>
      <c r="H966" s="256"/>
      <c r="I966" s="256"/>
      <c r="J966" s="256"/>
      <c r="K966" s="256"/>
    </row>
    <row r="967" spans="1:11" ht="12.75" x14ac:dyDescent="0.35">
      <c r="A967" s="256"/>
      <c r="B967" s="256"/>
      <c r="C967" s="256"/>
      <c r="D967" s="256"/>
      <c r="E967" s="256"/>
      <c r="F967" s="256"/>
      <c r="G967" s="256"/>
      <c r="H967" s="256"/>
      <c r="I967" s="256"/>
      <c r="J967" s="256"/>
      <c r="K967" s="256"/>
    </row>
    <row r="968" spans="1:11" ht="12.75" x14ac:dyDescent="0.35">
      <c r="A968" s="256"/>
      <c r="B968" s="256"/>
      <c r="C968" s="256"/>
      <c r="D968" s="256"/>
      <c r="E968" s="256"/>
      <c r="F968" s="256"/>
      <c r="G968" s="256"/>
      <c r="H968" s="256"/>
      <c r="I968" s="256"/>
      <c r="J968" s="256"/>
      <c r="K968" s="256"/>
    </row>
    <row r="969" spans="1:11" ht="12.75" x14ac:dyDescent="0.35">
      <c r="A969" s="256"/>
      <c r="B969" s="256"/>
      <c r="C969" s="256"/>
      <c r="D969" s="256"/>
      <c r="E969" s="256"/>
      <c r="F969" s="256"/>
      <c r="G969" s="256"/>
      <c r="H969" s="256"/>
      <c r="I969" s="256"/>
      <c r="J969" s="256"/>
      <c r="K969" s="256"/>
    </row>
    <row r="970" spans="1:11" ht="12.75" x14ac:dyDescent="0.35">
      <c r="A970" s="256"/>
      <c r="B970" s="256"/>
      <c r="C970" s="256"/>
      <c r="D970" s="256"/>
      <c r="E970" s="256"/>
      <c r="F970" s="256"/>
      <c r="G970" s="256"/>
      <c r="H970" s="256"/>
      <c r="I970" s="256"/>
      <c r="J970" s="256"/>
      <c r="K970" s="256"/>
    </row>
    <row r="971" spans="1:11" ht="12.75" x14ac:dyDescent="0.35">
      <c r="A971" s="256"/>
      <c r="B971" s="256"/>
      <c r="C971" s="256"/>
      <c r="D971" s="256"/>
      <c r="E971" s="256"/>
      <c r="F971" s="256"/>
      <c r="G971" s="256"/>
      <c r="H971" s="256"/>
      <c r="I971" s="256"/>
      <c r="J971" s="256"/>
      <c r="K971" s="256"/>
    </row>
    <row r="972" spans="1:11" ht="12.75" x14ac:dyDescent="0.35">
      <c r="A972" s="256"/>
      <c r="B972" s="256"/>
      <c r="C972" s="256"/>
      <c r="D972" s="256"/>
      <c r="E972" s="256"/>
      <c r="F972" s="256"/>
      <c r="G972" s="256"/>
      <c r="H972" s="256"/>
      <c r="I972" s="256"/>
      <c r="J972" s="256"/>
      <c r="K972" s="256"/>
    </row>
    <row r="973" spans="1:11" ht="12.75" x14ac:dyDescent="0.35">
      <c r="A973" s="256"/>
      <c r="B973" s="256"/>
      <c r="C973" s="256"/>
      <c r="D973" s="256"/>
      <c r="E973" s="256"/>
      <c r="F973" s="256"/>
      <c r="G973" s="256"/>
      <c r="H973" s="256"/>
      <c r="I973" s="256"/>
      <c r="J973" s="256"/>
      <c r="K973" s="256"/>
    </row>
    <row r="974" spans="1:11" ht="12.75" x14ac:dyDescent="0.35">
      <c r="A974" s="256"/>
      <c r="B974" s="256"/>
      <c r="C974" s="256"/>
      <c r="D974" s="256"/>
      <c r="E974" s="256"/>
      <c r="F974" s="256"/>
      <c r="G974" s="256"/>
      <c r="H974" s="256"/>
      <c r="I974" s="256"/>
      <c r="J974" s="256"/>
      <c r="K974" s="256"/>
    </row>
    <row r="975" spans="1:11" ht="12.75" x14ac:dyDescent="0.35">
      <c r="A975" s="256"/>
      <c r="B975" s="256"/>
      <c r="C975" s="256"/>
      <c r="D975" s="256"/>
      <c r="E975" s="256"/>
      <c r="F975" s="256"/>
      <c r="G975" s="256"/>
      <c r="H975" s="256"/>
      <c r="I975" s="256"/>
      <c r="J975" s="256"/>
      <c r="K975" s="256"/>
    </row>
    <row r="976" spans="1:11" ht="12.75" x14ac:dyDescent="0.35">
      <c r="A976" s="256"/>
      <c r="B976" s="256"/>
      <c r="C976" s="256"/>
      <c r="D976" s="256"/>
      <c r="E976" s="256"/>
      <c r="F976" s="256"/>
      <c r="G976" s="256"/>
      <c r="H976" s="256"/>
      <c r="I976" s="256"/>
      <c r="J976" s="256"/>
      <c r="K976" s="256"/>
    </row>
    <row r="977" spans="1:11" ht="12.75" x14ac:dyDescent="0.35">
      <c r="A977" s="256"/>
      <c r="B977" s="256"/>
      <c r="C977" s="256"/>
      <c r="D977" s="256"/>
      <c r="E977" s="256"/>
      <c r="F977" s="256"/>
      <c r="G977" s="256"/>
      <c r="H977" s="256"/>
      <c r="I977" s="256"/>
      <c r="J977" s="256"/>
      <c r="K977" s="256"/>
    </row>
    <row r="978" spans="1:11" ht="12.75" x14ac:dyDescent="0.35">
      <c r="A978" s="256"/>
      <c r="B978" s="256"/>
      <c r="C978" s="256"/>
      <c r="D978" s="256"/>
      <c r="E978" s="256"/>
      <c r="F978" s="256"/>
      <c r="G978" s="256"/>
      <c r="H978" s="256"/>
      <c r="I978" s="256"/>
      <c r="J978" s="256"/>
      <c r="K978" s="256"/>
    </row>
    <row r="979" spans="1:11" ht="12.75" x14ac:dyDescent="0.35">
      <c r="A979" s="256"/>
      <c r="B979" s="256"/>
      <c r="C979" s="256"/>
      <c r="D979" s="256"/>
      <c r="E979" s="256"/>
      <c r="F979" s="256"/>
      <c r="G979" s="256"/>
      <c r="H979" s="256"/>
      <c r="I979" s="256"/>
      <c r="J979" s="256"/>
      <c r="K979" s="256"/>
    </row>
    <row r="980" spans="1:11" ht="12.75" x14ac:dyDescent="0.35">
      <c r="A980" s="256"/>
      <c r="B980" s="256"/>
      <c r="C980" s="256"/>
      <c r="D980" s="256"/>
      <c r="E980" s="256"/>
      <c r="F980" s="256"/>
      <c r="G980" s="256"/>
      <c r="H980" s="256"/>
      <c r="I980" s="256"/>
      <c r="J980" s="256"/>
      <c r="K980" s="256"/>
    </row>
    <row r="981" spans="1:11" ht="12.75" x14ac:dyDescent="0.35">
      <c r="A981" s="256"/>
      <c r="B981" s="256"/>
      <c r="C981" s="256"/>
      <c r="D981" s="256"/>
      <c r="E981" s="256"/>
      <c r="F981" s="256"/>
      <c r="G981" s="256"/>
      <c r="H981" s="256"/>
      <c r="I981" s="256"/>
      <c r="J981" s="256"/>
      <c r="K981" s="256"/>
    </row>
    <row r="982" spans="1:11" ht="12.75" x14ac:dyDescent="0.35">
      <c r="A982" s="256"/>
      <c r="B982" s="256"/>
      <c r="C982" s="256"/>
      <c r="D982" s="256"/>
      <c r="E982" s="256"/>
      <c r="F982" s="256"/>
      <c r="G982" s="256"/>
      <c r="H982" s="256"/>
      <c r="I982" s="256"/>
      <c r="J982" s="256"/>
      <c r="K982" s="256"/>
    </row>
    <row r="983" spans="1:11" ht="12.75" x14ac:dyDescent="0.35">
      <c r="A983" s="256"/>
      <c r="B983" s="256"/>
      <c r="C983" s="256"/>
      <c r="D983" s="256"/>
      <c r="E983" s="256"/>
      <c r="F983" s="256"/>
      <c r="G983" s="256"/>
      <c r="H983" s="256"/>
      <c r="I983" s="256"/>
      <c r="J983" s="256"/>
      <c r="K983" s="256"/>
    </row>
    <row r="984" spans="1:11" ht="12.75" x14ac:dyDescent="0.35">
      <c r="A984" s="256"/>
      <c r="B984" s="256"/>
      <c r="C984" s="256"/>
      <c r="D984" s="256"/>
      <c r="E984" s="256"/>
      <c r="F984" s="256"/>
      <c r="G984" s="256"/>
      <c r="H984" s="256"/>
      <c r="I984" s="256"/>
      <c r="J984" s="256"/>
      <c r="K984" s="256"/>
    </row>
    <row r="985" spans="1:11" ht="12.75" x14ac:dyDescent="0.35">
      <c r="A985" s="256"/>
      <c r="B985" s="256"/>
      <c r="C985" s="256"/>
      <c r="D985" s="256"/>
      <c r="E985" s="256"/>
      <c r="F985" s="256"/>
      <c r="G985" s="256"/>
      <c r="H985" s="256"/>
      <c r="I985" s="256"/>
      <c r="J985" s="256"/>
      <c r="K985" s="256"/>
    </row>
    <row r="986" spans="1:11" ht="12.75" x14ac:dyDescent="0.35">
      <c r="A986" s="256"/>
      <c r="B986" s="256"/>
      <c r="C986" s="256"/>
      <c r="D986" s="256"/>
      <c r="E986" s="256"/>
      <c r="F986" s="256"/>
      <c r="G986" s="256"/>
      <c r="H986" s="256"/>
      <c r="I986" s="256"/>
      <c r="J986" s="256"/>
      <c r="K986" s="256"/>
    </row>
    <row r="987" spans="1:11" ht="12.75" x14ac:dyDescent="0.35">
      <c r="A987" s="256"/>
      <c r="B987" s="256"/>
      <c r="C987" s="256"/>
      <c r="D987" s="256"/>
      <c r="E987" s="256"/>
      <c r="F987" s="256"/>
      <c r="G987" s="256"/>
      <c r="H987" s="256"/>
      <c r="I987" s="256"/>
      <c r="J987" s="256"/>
      <c r="K987" s="256"/>
    </row>
    <row r="988" spans="1:11" ht="12.75" x14ac:dyDescent="0.35">
      <c r="A988" s="256"/>
      <c r="B988" s="256"/>
      <c r="C988" s="256"/>
      <c r="D988" s="256"/>
      <c r="E988" s="256"/>
      <c r="F988" s="256"/>
      <c r="G988" s="256"/>
      <c r="H988" s="256"/>
      <c r="I988" s="256"/>
      <c r="J988" s="256"/>
      <c r="K988" s="256"/>
    </row>
    <row r="989" spans="1:11" ht="12.75" x14ac:dyDescent="0.35">
      <c r="A989" s="256"/>
      <c r="B989" s="256"/>
      <c r="C989" s="256"/>
      <c r="D989" s="256"/>
      <c r="E989" s="256"/>
      <c r="F989" s="256"/>
      <c r="G989" s="256"/>
      <c r="H989" s="256"/>
      <c r="I989" s="256"/>
      <c r="J989" s="256"/>
      <c r="K989" s="256"/>
    </row>
    <row r="990" spans="1:11" ht="12.75" x14ac:dyDescent="0.35">
      <c r="A990" s="256"/>
      <c r="B990" s="256"/>
      <c r="C990" s="256"/>
      <c r="D990" s="256"/>
      <c r="E990" s="256"/>
      <c r="F990" s="256"/>
      <c r="G990" s="256"/>
      <c r="H990" s="256"/>
      <c r="I990" s="256"/>
      <c r="J990" s="256"/>
      <c r="K990" s="256"/>
    </row>
    <row r="991" spans="1:11" ht="12.75" x14ac:dyDescent="0.35">
      <c r="A991" s="256"/>
      <c r="B991" s="256"/>
      <c r="C991" s="256"/>
      <c r="D991" s="256"/>
      <c r="E991" s="256"/>
      <c r="F991" s="256"/>
      <c r="G991" s="256"/>
      <c r="H991" s="256"/>
      <c r="I991" s="256"/>
      <c r="J991" s="256"/>
      <c r="K991" s="256"/>
    </row>
    <row r="992" spans="1:11" ht="12.75" x14ac:dyDescent="0.35">
      <c r="A992" s="256"/>
      <c r="B992" s="256"/>
      <c r="C992" s="256"/>
      <c r="D992" s="256"/>
      <c r="E992" s="256"/>
      <c r="F992" s="256"/>
      <c r="G992" s="256"/>
      <c r="H992" s="256"/>
      <c r="I992" s="256"/>
      <c r="J992" s="256"/>
      <c r="K992" s="256"/>
    </row>
    <row r="993" spans="1:11" ht="12.75" x14ac:dyDescent="0.35">
      <c r="A993" s="256"/>
      <c r="B993" s="256"/>
      <c r="C993" s="256"/>
      <c r="D993" s="256"/>
      <c r="E993" s="256"/>
      <c r="F993" s="256"/>
      <c r="G993" s="256"/>
      <c r="H993" s="256"/>
      <c r="I993" s="256"/>
      <c r="J993" s="256"/>
      <c r="K993" s="256"/>
    </row>
    <row r="994" spans="1:11" ht="12.75" x14ac:dyDescent="0.35">
      <c r="A994" s="256"/>
      <c r="B994" s="256"/>
      <c r="C994" s="256"/>
      <c r="D994" s="256"/>
      <c r="E994" s="256"/>
      <c r="F994" s="256"/>
      <c r="G994" s="256"/>
      <c r="H994" s="256"/>
      <c r="I994" s="256"/>
      <c r="J994" s="256"/>
      <c r="K994" s="256"/>
    </row>
    <row r="995" spans="1:11" ht="12.75" x14ac:dyDescent="0.35">
      <c r="A995" s="256"/>
      <c r="B995" s="256"/>
      <c r="C995" s="256"/>
      <c r="D995" s="256"/>
      <c r="E995" s="256"/>
      <c r="F995" s="256"/>
      <c r="G995" s="256"/>
      <c r="H995" s="256"/>
      <c r="I995" s="256"/>
      <c r="J995" s="256"/>
      <c r="K995" s="256"/>
    </row>
    <row r="996" spans="1:11" ht="12.75" x14ac:dyDescent="0.35">
      <c r="A996" s="256"/>
      <c r="B996" s="256"/>
      <c r="C996" s="256"/>
      <c r="D996" s="256"/>
      <c r="E996" s="256"/>
      <c r="F996" s="256"/>
      <c r="G996" s="256"/>
      <c r="H996" s="256"/>
      <c r="I996" s="256"/>
      <c r="J996" s="256"/>
      <c r="K996" s="256"/>
    </row>
    <row r="997" spans="1:11" ht="12.75" x14ac:dyDescent="0.35">
      <c r="A997" s="256"/>
      <c r="B997" s="256"/>
      <c r="C997" s="256"/>
      <c r="D997" s="256"/>
      <c r="E997" s="256"/>
      <c r="F997" s="256"/>
      <c r="G997" s="256"/>
      <c r="H997" s="256"/>
      <c r="I997" s="256"/>
      <c r="J997" s="256"/>
      <c r="K997" s="256"/>
    </row>
    <row r="998" spans="1:11" ht="12.75" x14ac:dyDescent="0.35">
      <c r="A998" s="256"/>
      <c r="B998" s="256"/>
      <c r="C998" s="256"/>
      <c r="D998" s="256"/>
      <c r="E998" s="256"/>
      <c r="F998" s="256"/>
      <c r="G998" s="256"/>
      <c r="H998" s="256"/>
      <c r="I998" s="256"/>
      <c r="J998" s="256"/>
      <c r="K998" s="256"/>
    </row>
    <row r="999" spans="1:11" ht="12.75" x14ac:dyDescent="0.35">
      <c r="A999" s="256"/>
      <c r="B999" s="256"/>
      <c r="C999" s="256"/>
      <c r="D999" s="256"/>
      <c r="E999" s="256"/>
      <c r="F999" s="256"/>
      <c r="G999" s="256"/>
      <c r="H999" s="256"/>
      <c r="I999" s="256"/>
      <c r="J999" s="256"/>
      <c r="K999" s="256"/>
    </row>
    <row r="1000" spans="1:11" ht="12.75" x14ac:dyDescent="0.35">
      <c r="A1000" s="256"/>
      <c r="B1000" s="256"/>
      <c r="C1000" s="256"/>
      <c r="D1000" s="256"/>
      <c r="E1000" s="256"/>
      <c r="F1000" s="256"/>
      <c r="G1000" s="256"/>
      <c r="H1000" s="256"/>
      <c r="I1000" s="256"/>
      <c r="J1000" s="256"/>
      <c r="K1000" s="256"/>
    </row>
    <row r="1001" spans="1:11" ht="12.75" x14ac:dyDescent="0.35">
      <c r="A1001" s="256"/>
      <c r="B1001" s="256"/>
      <c r="C1001" s="256"/>
      <c r="D1001" s="256"/>
      <c r="E1001" s="256"/>
      <c r="F1001" s="256"/>
      <c r="G1001" s="256"/>
      <c r="H1001" s="256"/>
      <c r="I1001" s="256"/>
      <c r="J1001" s="256"/>
      <c r="K1001" s="256"/>
    </row>
    <row r="1002" spans="1:11" ht="12.75" x14ac:dyDescent="0.35">
      <c r="A1002" s="256"/>
      <c r="B1002" s="256"/>
      <c r="C1002" s="256"/>
      <c r="D1002" s="256"/>
      <c r="E1002" s="256"/>
      <c r="F1002" s="256"/>
      <c r="G1002" s="256"/>
      <c r="H1002" s="256"/>
      <c r="I1002" s="256"/>
      <c r="J1002" s="256"/>
      <c r="K1002" s="256"/>
    </row>
    <row r="1003" spans="1:11" ht="12.75" x14ac:dyDescent="0.35">
      <c r="A1003" s="256"/>
      <c r="B1003" s="256"/>
      <c r="C1003" s="256"/>
      <c r="D1003" s="256"/>
      <c r="E1003" s="256"/>
      <c r="F1003" s="256"/>
      <c r="G1003" s="256"/>
      <c r="H1003" s="256"/>
      <c r="I1003" s="256"/>
      <c r="J1003" s="256"/>
      <c r="K1003" s="256"/>
    </row>
    <row r="1004" spans="1:11" ht="12.75" x14ac:dyDescent="0.35">
      <c r="A1004" s="256"/>
      <c r="B1004" s="256"/>
      <c r="C1004" s="256"/>
      <c r="D1004" s="256"/>
      <c r="E1004" s="256"/>
      <c r="F1004" s="256"/>
      <c r="G1004" s="256"/>
      <c r="H1004" s="256"/>
      <c r="I1004" s="256"/>
      <c r="J1004" s="256"/>
      <c r="K1004" s="256"/>
    </row>
    <row r="1005" spans="1:11" ht="12.75" x14ac:dyDescent="0.35">
      <c r="A1005" s="256"/>
      <c r="B1005" s="256"/>
      <c r="C1005" s="256"/>
      <c r="D1005" s="256"/>
      <c r="E1005" s="256"/>
      <c r="F1005" s="256"/>
      <c r="G1005" s="256"/>
      <c r="H1005" s="256"/>
      <c r="I1005" s="256"/>
      <c r="J1005" s="256"/>
      <c r="K1005" s="256"/>
    </row>
    <row r="1006" spans="1:11" ht="12.75" x14ac:dyDescent="0.35">
      <c r="A1006" s="256"/>
      <c r="B1006" s="256"/>
      <c r="C1006" s="256"/>
      <c r="D1006" s="256"/>
      <c r="E1006" s="256"/>
      <c r="F1006" s="256"/>
      <c r="G1006" s="256"/>
      <c r="H1006" s="256"/>
      <c r="I1006" s="256"/>
      <c r="J1006" s="256"/>
      <c r="K1006" s="256"/>
    </row>
    <row r="1007" spans="1:11" ht="12.75" x14ac:dyDescent="0.35">
      <c r="A1007" s="256"/>
      <c r="B1007" s="256"/>
      <c r="C1007" s="256"/>
      <c r="D1007" s="256"/>
      <c r="E1007" s="256"/>
      <c r="F1007" s="256"/>
      <c r="G1007" s="256"/>
      <c r="H1007" s="256"/>
      <c r="I1007" s="256"/>
      <c r="J1007" s="256"/>
      <c r="K1007" s="256"/>
    </row>
    <row r="1008" spans="1:11" ht="12.75" x14ac:dyDescent="0.35">
      <c r="A1008" s="256"/>
      <c r="B1008" s="256"/>
      <c r="C1008" s="256"/>
      <c r="D1008" s="256"/>
      <c r="E1008" s="256"/>
      <c r="F1008" s="256"/>
      <c r="G1008" s="256"/>
      <c r="H1008" s="256"/>
      <c r="I1008" s="256"/>
      <c r="J1008" s="256"/>
      <c r="K1008" s="256"/>
    </row>
    <row r="1009" spans="1:11" ht="12.75" x14ac:dyDescent="0.35">
      <c r="A1009" s="256"/>
      <c r="B1009" s="256"/>
      <c r="C1009" s="256"/>
      <c r="D1009" s="256"/>
      <c r="E1009" s="256"/>
      <c r="F1009" s="256"/>
      <c r="G1009" s="256"/>
      <c r="H1009" s="256"/>
      <c r="I1009" s="256"/>
      <c r="J1009" s="256"/>
      <c r="K1009" s="256"/>
    </row>
    <row r="1010" spans="1:11" ht="12.75" x14ac:dyDescent="0.35">
      <c r="A1010" s="256"/>
      <c r="B1010" s="256"/>
      <c r="C1010" s="256"/>
      <c r="D1010" s="256"/>
      <c r="E1010" s="256"/>
      <c r="F1010" s="256"/>
      <c r="G1010" s="256"/>
      <c r="H1010" s="256"/>
      <c r="I1010" s="256"/>
      <c r="J1010" s="256"/>
      <c r="K1010" s="256"/>
    </row>
    <row r="1011" spans="1:11" ht="12.75" x14ac:dyDescent="0.35">
      <c r="A1011" s="256"/>
      <c r="B1011" s="256"/>
      <c r="C1011" s="256"/>
      <c r="D1011" s="256"/>
      <c r="E1011" s="256"/>
      <c r="F1011" s="256"/>
      <c r="G1011" s="256"/>
      <c r="H1011" s="256"/>
      <c r="I1011" s="256"/>
      <c r="J1011" s="256"/>
      <c r="K1011" s="256"/>
    </row>
    <row r="1012" spans="1:11" ht="12.75" x14ac:dyDescent="0.35">
      <c r="A1012" s="256"/>
      <c r="B1012" s="256"/>
      <c r="C1012" s="256"/>
      <c r="D1012" s="256"/>
      <c r="E1012" s="256"/>
      <c r="F1012" s="256"/>
      <c r="G1012" s="256"/>
      <c r="H1012" s="256"/>
      <c r="I1012" s="256"/>
      <c r="J1012" s="256"/>
      <c r="K1012" s="256"/>
    </row>
    <row r="1013" spans="1:11" ht="12.75" x14ac:dyDescent="0.35">
      <c r="A1013" s="256"/>
      <c r="B1013" s="256"/>
      <c r="C1013" s="256"/>
      <c r="D1013" s="256"/>
      <c r="E1013" s="256"/>
      <c r="F1013" s="256"/>
      <c r="G1013" s="256"/>
      <c r="H1013" s="256"/>
      <c r="I1013" s="256"/>
      <c r="J1013" s="256"/>
      <c r="K1013" s="256"/>
    </row>
    <row r="1014" spans="1:11" ht="12.75" x14ac:dyDescent="0.35">
      <c r="A1014" s="256"/>
      <c r="B1014" s="256"/>
      <c r="C1014" s="256"/>
      <c r="D1014" s="256"/>
      <c r="E1014" s="256"/>
      <c r="F1014" s="256"/>
      <c r="G1014" s="256"/>
      <c r="H1014" s="256"/>
      <c r="I1014" s="256"/>
      <c r="J1014" s="256"/>
      <c r="K1014" s="256"/>
    </row>
    <row r="1015" spans="1:11" ht="12.75" x14ac:dyDescent="0.35">
      <c r="A1015" s="256"/>
      <c r="B1015" s="256"/>
      <c r="C1015" s="256"/>
      <c r="D1015" s="256"/>
      <c r="E1015" s="256"/>
      <c r="F1015" s="256"/>
      <c r="G1015" s="256"/>
      <c r="H1015" s="256"/>
      <c r="I1015" s="256"/>
      <c r="J1015" s="256"/>
      <c r="K1015" s="256"/>
    </row>
    <row r="1016" spans="1:11" ht="12.75" x14ac:dyDescent="0.35">
      <c r="A1016" s="256"/>
      <c r="B1016" s="256"/>
      <c r="C1016" s="256"/>
      <c r="D1016" s="256"/>
      <c r="E1016" s="256"/>
      <c r="F1016" s="256"/>
      <c r="G1016" s="256"/>
      <c r="H1016" s="256"/>
      <c r="I1016" s="256"/>
      <c r="J1016" s="256"/>
      <c r="K1016" s="256"/>
    </row>
    <row r="1017" spans="1:11" ht="12.75" x14ac:dyDescent="0.35">
      <c r="A1017" s="256"/>
      <c r="B1017" s="256"/>
      <c r="C1017" s="256"/>
      <c r="D1017" s="256"/>
      <c r="E1017" s="256"/>
      <c r="F1017" s="256"/>
      <c r="G1017" s="256"/>
      <c r="H1017" s="256"/>
      <c r="I1017" s="256"/>
      <c r="J1017" s="256"/>
      <c r="K1017" s="256"/>
    </row>
    <row r="1018" spans="1:11" ht="12.75" x14ac:dyDescent="0.35">
      <c r="A1018" s="256"/>
      <c r="B1018" s="256"/>
      <c r="C1018" s="256"/>
      <c r="D1018" s="256"/>
      <c r="E1018" s="256"/>
      <c r="F1018" s="256"/>
      <c r="G1018" s="256"/>
      <c r="H1018" s="256"/>
      <c r="I1018" s="256"/>
      <c r="J1018" s="256"/>
      <c r="K1018" s="256"/>
    </row>
    <row r="1019" spans="1:11" ht="12.75" x14ac:dyDescent="0.35">
      <c r="A1019" s="256"/>
      <c r="B1019" s="256"/>
      <c r="C1019" s="256"/>
      <c r="D1019" s="256"/>
      <c r="E1019" s="256"/>
      <c r="F1019" s="256"/>
      <c r="G1019" s="256"/>
      <c r="H1019" s="256"/>
      <c r="I1019" s="256"/>
      <c r="J1019" s="256"/>
      <c r="K1019" s="256"/>
    </row>
    <row r="1020" spans="1:11" ht="12.75" x14ac:dyDescent="0.35">
      <c r="A1020" s="256"/>
      <c r="B1020" s="256"/>
      <c r="C1020" s="256"/>
      <c r="D1020" s="256"/>
      <c r="E1020" s="256"/>
      <c r="F1020" s="256"/>
      <c r="G1020" s="256"/>
      <c r="H1020" s="256"/>
      <c r="I1020" s="256"/>
      <c r="J1020" s="256"/>
      <c r="K1020" s="256"/>
    </row>
    <row r="1021" spans="1:11" ht="12.75" x14ac:dyDescent="0.35">
      <c r="A1021" s="256"/>
      <c r="B1021" s="256"/>
      <c r="C1021" s="256"/>
      <c r="D1021" s="256"/>
      <c r="E1021" s="256"/>
      <c r="F1021" s="256"/>
      <c r="G1021" s="256"/>
      <c r="H1021" s="256"/>
      <c r="I1021" s="256"/>
      <c r="J1021" s="256"/>
      <c r="K1021" s="256"/>
    </row>
    <row r="1022" spans="1:11" ht="12.75" x14ac:dyDescent="0.35">
      <c r="A1022" s="256"/>
      <c r="B1022" s="256"/>
      <c r="C1022" s="256"/>
      <c r="D1022" s="256"/>
      <c r="E1022" s="256"/>
      <c r="F1022" s="256"/>
      <c r="G1022" s="256"/>
      <c r="H1022" s="256"/>
      <c r="I1022" s="256"/>
      <c r="J1022" s="256"/>
      <c r="K1022" s="256"/>
    </row>
    <row r="1023" spans="1:11" ht="12.75" x14ac:dyDescent="0.35">
      <c r="A1023" s="256"/>
      <c r="B1023" s="256"/>
      <c r="C1023" s="256"/>
      <c r="D1023" s="256"/>
      <c r="E1023" s="256"/>
      <c r="F1023" s="256"/>
      <c r="G1023" s="256"/>
      <c r="H1023" s="256"/>
      <c r="I1023" s="256"/>
      <c r="J1023" s="256"/>
      <c r="K1023" s="256"/>
    </row>
    <row r="1024" spans="1:11" ht="12.75" x14ac:dyDescent="0.35">
      <c r="A1024" s="256"/>
      <c r="B1024" s="256"/>
      <c r="C1024" s="256"/>
      <c r="D1024" s="256"/>
      <c r="E1024" s="256"/>
      <c r="F1024" s="256"/>
      <c r="G1024" s="256"/>
      <c r="H1024" s="256"/>
      <c r="I1024" s="256"/>
      <c r="J1024" s="256"/>
      <c r="K1024" s="256"/>
    </row>
    <row r="1025" spans="1:11" ht="12.75" x14ac:dyDescent="0.35">
      <c r="A1025" s="256"/>
      <c r="B1025" s="256"/>
      <c r="C1025" s="256"/>
      <c r="D1025" s="256"/>
      <c r="E1025" s="256"/>
      <c r="F1025" s="256"/>
      <c r="G1025" s="256"/>
      <c r="H1025" s="256"/>
      <c r="I1025" s="256"/>
      <c r="J1025" s="256"/>
      <c r="K1025" s="256"/>
    </row>
    <row r="1026" spans="1:11" ht="12.75" x14ac:dyDescent="0.35">
      <c r="A1026" s="256"/>
      <c r="B1026" s="256"/>
      <c r="C1026" s="256"/>
      <c r="D1026" s="256"/>
      <c r="E1026" s="256"/>
      <c r="F1026" s="256"/>
      <c r="G1026" s="256"/>
      <c r="H1026" s="256"/>
      <c r="I1026" s="256"/>
      <c r="J1026" s="256"/>
      <c r="K1026" s="256"/>
    </row>
    <row r="1027" spans="1:11" ht="12.75" x14ac:dyDescent="0.35">
      <c r="A1027" s="256"/>
      <c r="B1027" s="256"/>
      <c r="C1027" s="256"/>
      <c r="D1027" s="256"/>
      <c r="E1027" s="256"/>
      <c r="F1027" s="256"/>
      <c r="G1027" s="256"/>
      <c r="H1027" s="256"/>
      <c r="I1027" s="256"/>
      <c r="J1027" s="256"/>
      <c r="K1027" s="256"/>
    </row>
    <row r="1028" spans="1:11" ht="12.75" x14ac:dyDescent="0.35">
      <c r="A1028" s="256"/>
      <c r="B1028" s="256"/>
      <c r="C1028" s="256"/>
      <c r="D1028" s="256"/>
      <c r="E1028" s="256"/>
      <c r="F1028" s="256"/>
      <c r="G1028" s="256"/>
      <c r="H1028" s="256"/>
      <c r="I1028" s="256"/>
      <c r="J1028" s="256"/>
      <c r="K1028" s="256"/>
    </row>
    <row r="1029" spans="1:11" ht="12.75" x14ac:dyDescent="0.35">
      <c r="A1029" s="256"/>
      <c r="B1029" s="256"/>
      <c r="C1029" s="256"/>
      <c r="D1029" s="256"/>
      <c r="E1029" s="256"/>
      <c r="F1029" s="256"/>
      <c r="G1029" s="256"/>
      <c r="H1029" s="256"/>
      <c r="I1029" s="256"/>
      <c r="J1029" s="256"/>
      <c r="K1029" s="256"/>
    </row>
    <row r="1030" spans="1:11" ht="12.75" x14ac:dyDescent="0.35">
      <c r="A1030" s="256"/>
      <c r="B1030" s="256"/>
      <c r="C1030" s="256"/>
      <c r="D1030" s="256"/>
      <c r="E1030" s="256"/>
      <c r="F1030" s="256"/>
      <c r="G1030" s="256"/>
      <c r="H1030" s="256"/>
      <c r="I1030" s="256"/>
      <c r="J1030" s="256"/>
      <c r="K1030" s="256"/>
    </row>
    <row r="1031" spans="1:11" ht="12.75" x14ac:dyDescent="0.35">
      <c r="A1031" s="256"/>
      <c r="B1031" s="256"/>
      <c r="C1031" s="256"/>
      <c r="D1031" s="256"/>
      <c r="E1031" s="256"/>
      <c r="F1031" s="256"/>
      <c r="G1031" s="256"/>
      <c r="H1031" s="256"/>
      <c r="I1031" s="256"/>
      <c r="J1031" s="256"/>
      <c r="K1031" s="256"/>
    </row>
    <row r="1032" spans="1:11" ht="12.75" x14ac:dyDescent="0.35">
      <c r="A1032" s="256"/>
      <c r="B1032" s="256"/>
      <c r="C1032" s="256"/>
      <c r="D1032" s="256"/>
      <c r="E1032" s="256"/>
      <c r="F1032" s="256"/>
      <c r="G1032" s="256"/>
      <c r="H1032" s="256"/>
      <c r="I1032" s="256"/>
      <c r="J1032" s="256"/>
      <c r="K1032" s="256"/>
    </row>
    <row r="1033" spans="1:11" ht="12.75" x14ac:dyDescent="0.35">
      <c r="A1033" s="256"/>
      <c r="B1033" s="256"/>
      <c r="C1033" s="256"/>
      <c r="D1033" s="256"/>
      <c r="E1033" s="256"/>
      <c r="F1033" s="256"/>
      <c r="G1033" s="256"/>
      <c r="H1033" s="256"/>
      <c r="I1033" s="256"/>
      <c r="J1033" s="256"/>
      <c r="K1033" s="256"/>
    </row>
    <row r="1034" spans="1:11" ht="12.75" x14ac:dyDescent="0.35">
      <c r="A1034" s="256"/>
      <c r="B1034" s="256"/>
      <c r="C1034" s="256"/>
      <c r="D1034" s="256"/>
      <c r="E1034" s="256"/>
      <c r="F1034" s="256"/>
      <c r="G1034" s="256"/>
      <c r="H1034" s="256"/>
      <c r="I1034" s="256"/>
      <c r="J1034" s="256"/>
      <c r="K1034" s="256"/>
    </row>
    <row r="1035" spans="1:11" ht="12.75" x14ac:dyDescent="0.35">
      <c r="A1035" s="256"/>
      <c r="B1035" s="256"/>
      <c r="C1035" s="256"/>
      <c r="D1035" s="256"/>
      <c r="E1035" s="256"/>
      <c r="F1035" s="256"/>
      <c r="G1035" s="256"/>
      <c r="H1035" s="256"/>
      <c r="I1035" s="256"/>
      <c r="J1035" s="256"/>
      <c r="K1035" s="256"/>
    </row>
    <row r="1036" spans="1:11" ht="12.75" x14ac:dyDescent="0.35">
      <c r="A1036" s="256"/>
      <c r="B1036" s="256"/>
      <c r="C1036" s="256"/>
      <c r="D1036" s="256"/>
      <c r="E1036" s="256"/>
      <c r="F1036" s="256"/>
      <c r="G1036" s="256"/>
      <c r="H1036" s="256"/>
      <c r="I1036" s="256"/>
      <c r="J1036" s="256"/>
      <c r="K1036" s="256"/>
    </row>
    <row r="1037" spans="1:11" ht="12.75" x14ac:dyDescent="0.35">
      <c r="A1037" s="256"/>
      <c r="B1037" s="256"/>
      <c r="C1037" s="256"/>
      <c r="D1037" s="256"/>
      <c r="E1037" s="256"/>
      <c r="F1037" s="256"/>
      <c r="G1037" s="256"/>
      <c r="H1037" s="256"/>
      <c r="I1037" s="256"/>
      <c r="J1037" s="256"/>
      <c r="K1037" s="256"/>
    </row>
    <row r="1038" spans="1:11" ht="12.75" x14ac:dyDescent="0.35">
      <c r="A1038" s="256"/>
      <c r="B1038" s="256"/>
      <c r="C1038" s="256"/>
      <c r="D1038" s="256"/>
      <c r="E1038" s="256"/>
      <c r="F1038" s="256"/>
      <c r="G1038" s="256"/>
      <c r="H1038" s="256"/>
      <c r="I1038" s="256"/>
      <c r="J1038" s="256"/>
      <c r="K1038" s="256"/>
    </row>
    <row r="1039" spans="1:11" ht="12.75" x14ac:dyDescent="0.35">
      <c r="A1039" s="256"/>
      <c r="B1039" s="256"/>
      <c r="C1039" s="256"/>
      <c r="D1039" s="256"/>
      <c r="E1039" s="256"/>
      <c r="F1039" s="256"/>
      <c r="G1039" s="256"/>
      <c r="H1039" s="256"/>
      <c r="I1039" s="256"/>
      <c r="J1039" s="256"/>
      <c r="K1039" s="256"/>
    </row>
    <row r="1040" spans="1:11" ht="12.75" x14ac:dyDescent="0.35">
      <c r="A1040" s="256"/>
      <c r="B1040" s="256"/>
      <c r="C1040" s="256"/>
      <c r="D1040" s="256"/>
      <c r="E1040" s="256"/>
      <c r="F1040" s="256"/>
      <c r="G1040" s="256"/>
      <c r="H1040" s="256"/>
      <c r="I1040" s="256"/>
      <c r="J1040" s="256"/>
      <c r="K1040" s="256"/>
    </row>
    <row r="1041" spans="1:11" ht="12.75" x14ac:dyDescent="0.35">
      <c r="A1041" s="256"/>
      <c r="B1041" s="256"/>
      <c r="C1041" s="256"/>
      <c r="D1041" s="256"/>
      <c r="E1041" s="256"/>
      <c r="F1041" s="256"/>
      <c r="G1041" s="256"/>
      <c r="H1041" s="256"/>
      <c r="I1041" s="256"/>
      <c r="J1041" s="256"/>
      <c r="K1041" s="256"/>
    </row>
    <row r="1042" spans="1:11" ht="12.75" x14ac:dyDescent="0.35">
      <c r="A1042" s="256"/>
      <c r="B1042" s="256"/>
      <c r="C1042" s="256"/>
      <c r="D1042" s="256"/>
      <c r="E1042" s="256"/>
      <c r="F1042" s="256"/>
      <c r="G1042" s="256"/>
      <c r="H1042" s="256"/>
      <c r="I1042" s="256"/>
      <c r="J1042" s="256"/>
      <c r="K1042" s="256"/>
    </row>
    <row r="1043" spans="1:11" ht="12.75" x14ac:dyDescent="0.35">
      <c r="A1043" s="256"/>
      <c r="B1043" s="256"/>
      <c r="C1043" s="256"/>
      <c r="D1043" s="256"/>
      <c r="E1043" s="256"/>
      <c r="F1043" s="256"/>
      <c r="G1043" s="256"/>
      <c r="H1043" s="256"/>
      <c r="I1043" s="256"/>
      <c r="J1043" s="256"/>
      <c r="K1043" s="256"/>
    </row>
    <row r="1044" spans="1:11" ht="12.75" x14ac:dyDescent="0.35">
      <c r="A1044" s="256"/>
      <c r="B1044" s="256"/>
      <c r="C1044" s="256"/>
      <c r="D1044" s="256"/>
      <c r="E1044" s="256"/>
      <c r="F1044" s="256"/>
      <c r="G1044" s="256"/>
      <c r="H1044" s="256"/>
      <c r="I1044" s="256"/>
      <c r="J1044" s="256"/>
      <c r="K1044" s="256"/>
    </row>
    <row r="1045" spans="1:11" ht="12.75" x14ac:dyDescent="0.35">
      <c r="A1045" s="256"/>
      <c r="B1045" s="256"/>
      <c r="C1045" s="256"/>
      <c r="D1045" s="256"/>
      <c r="E1045" s="256"/>
      <c r="F1045" s="256"/>
      <c r="G1045" s="256"/>
      <c r="H1045" s="256"/>
      <c r="I1045" s="256"/>
      <c r="J1045" s="256"/>
      <c r="K1045" s="256"/>
    </row>
    <row r="1046" spans="1:11" ht="12.75" x14ac:dyDescent="0.35">
      <c r="A1046" s="256"/>
      <c r="B1046" s="256"/>
      <c r="C1046" s="256"/>
      <c r="D1046" s="256"/>
      <c r="E1046" s="256"/>
      <c r="F1046" s="256"/>
      <c r="G1046" s="256"/>
      <c r="H1046" s="256"/>
      <c r="I1046" s="256"/>
      <c r="J1046" s="256"/>
      <c r="K1046" s="256"/>
    </row>
    <row r="1047" spans="1:11" ht="12.75" x14ac:dyDescent="0.35">
      <c r="A1047" s="256"/>
      <c r="B1047" s="256"/>
      <c r="C1047" s="256"/>
      <c r="D1047" s="256"/>
      <c r="E1047" s="256"/>
      <c r="F1047" s="256"/>
      <c r="G1047" s="256"/>
      <c r="H1047" s="256"/>
      <c r="I1047" s="256"/>
      <c r="J1047" s="256"/>
      <c r="K1047" s="256"/>
    </row>
    <row r="1048" spans="1:11" ht="12.75" x14ac:dyDescent="0.35">
      <c r="A1048" s="256"/>
      <c r="B1048" s="256"/>
      <c r="C1048" s="256"/>
      <c r="D1048" s="256"/>
      <c r="E1048" s="256"/>
      <c r="F1048" s="256"/>
      <c r="G1048" s="256"/>
      <c r="H1048" s="256"/>
      <c r="I1048" s="256"/>
      <c r="J1048" s="256"/>
      <c r="K1048" s="256"/>
    </row>
    <row r="1049" spans="1:11" ht="12.75" x14ac:dyDescent="0.35">
      <c r="A1049" s="256"/>
      <c r="B1049" s="256"/>
      <c r="C1049" s="256"/>
      <c r="D1049" s="256"/>
      <c r="E1049" s="256"/>
      <c r="F1049" s="256"/>
      <c r="G1049" s="256"/>
      <c r="H1049" s="256"/>
      <c r="I1049" s="256"/>
      <c r="J1049" s="256"/>
      <c r="K1049" s="256"/>
    </row>
    <row r="1050" spans="1:11" ht="12.75" x14ac:dyDescent="0.35">
      <c r="A1050" s="256"/>
      <c r="B1050" s="256"/>
      <c r="C1050" s="256"/>
      <c r="D1050" s="256"/>
      <c r="E1050" s="256"/>
      <c r="F1050" s="256"/>
      <c r="G1050" s="256"/>
      <c r="H1050" s="256"/>
      <c r="I1050" s="256"/>
      <c r="J1050" s="256"/>
      <c r="K1050" s="256"/>
    </row>
    <row r="1051" spans="1:11" ht="12.75" x14ac:dyDescent="0.35">
      <c r="A1051" s="256"/>
      <c r="B1051" s="256"/>
      <c r="C1051" s="256"/>
      <c r="D1051" s="256"/>
      <c r="E1051" s="256"/>
      <c r="F1051" s="256"/>
      <c r="G1051" s="256"/>
      <c r="H1051" s="256"/>
      <c r="I1051" s="256"/>
      <c r="J1051" s="256"/>
      <c r="K1051" s="256"/>
    </row>
    <row r="1052" spans="1:11" ht="12.75" x14ac:dyDescent="0.35">
      <c r="A1052" s="256"/>
      <c r="B1052" s="256"/>
      <c r="C1052" s="256"/>
      <c r="D1052" s="256"/>
      <c r="E1052" s="256"/>
      <c r="F1052" s="256"/>
      <c r="G1052" s="256"/>
      <c r="H1052" s="256"/>
      <c r="I1052" s="256"/>
      <c r="J1052" s="256"/>
      <c r="K1052" s="256"/>
    </row>
    <row r="1053" spans="1:11" ht="12.75" x14ac:dyDescent="0.35">
      <c r="A1053" s="256"/>
      <c r="B1053" s="256"/>
      <c r="C1053" s="256"/>
      <c r="D1053" s="256"/>
      <c r="E1053" s="256"/>
      <c r="F1053" s="256"/>
      <c r="G1053" s="256"/>
      <c r="H1053" s="256"/>
      <c r="I1053" s="256"/>
      <c r="J1053" s="256"/>
      <c r="K1053" s="256"/>
    </row>
    <row r="1054" spans="1:11" ht="12.75" x14ac:dyDescent="0.35">
      <c r="A1054" s="256"/>
      <c r="B1054" s="256"/>
      <c r="C1054" s="256"/>
      <c r="D1054" s="256"/>
      <c r="E1054" s="256"/>
      <c r="F1054" s="256"/>
      <c r="G1054" s="256"/>
      <c r="H1054" s="256"/>
      <c r="I1054" s="256"/>
      <c r="J1054" s="256"/>
      <c r="K1054" s="256"/>
    </row>
    <row r="1055" spans="1:11" ht="12.75" x14ac:dyDescent="0.35">
      <c r="A1055" s="256"/>
      <c r="B1055" s="256"/>
      <c r="C1055" s="256"/>
      <c r="D1055" s="256"/>
      <c r="E1055" s="256"/>
      <c r="F1055" s="256"/>
      <c r="G1055" s="256"/>
      <c r="H1055" s="256"/>
      <c r="I1055" s="256"/>
      <c r="J1055" s="256"/>
      <c r="K1055" s="256"/>
    </row>
    <row r="1056" spans="1:11" ht="12.75" x14ac:dyDescent="0.35">
      <c r="A1056" s="256"/>
      <c r="B1056" s="256"/>
      <c r="C1056" s="256"/>
      <c r="D1056" s="256"/>
      <c r="E1056" s="256"/>
      <c r="F1056" s="256"/>
      <c r="G1056" s="256"/>
      <c r="H1056" s="256"/>
      <c r="I1056" s="256"/>
      <c r="J1056" s="256"/>
      <c r="K1056" s="256"/>
    </row>
    <row r="1057" spans="1:11" ht="12.75" x14ac:dyDescent="0.35">
      <c r="A1057" s="256"/>
      <c r="B1057" s="256"/>
      <c r="C1057" s="256"/>
      <c r="D1057" s="256"/>
      <c r="E1057" s="256"/>
      <c r="F1057" s="256"/>
      <c r="G1057" s="256"/>
      <c r="H1057" s="256"/>
      <c r="I1057" s="256"/>
      <c r="J1057" s="256"/>
      <c r="K1057" s="256"/>
    </row>
    <row r="1058" spans="1:11" ht="12.75" x14ac:dyDescent="0.35">
      <c r="A1058" s="256"/>
      <c r="B1058" s="256"/>
      <c r="C1058" s="256"/>
      <c r="D1058" s="256"/>
      <c r="E1058" s="256"/>
      <c r="F1058" s="256"/>
      <c r="G1058" s="256"/>
      <c r="H1058" s="256"/>
      <c r="I1058" s="256"/>
      <c r="J1058" s="256"/>
      <c r="K1058" s="256"/>
    </row>
    <row r="1059" spans="1:11" ht="12.75" x14ac:dyDescent="0.35">
      <c r="A1059" s="256"/>
      <c r="B1059" s="256"/>
      <c r="C1059" s="256"/>
      <c r="D1059" s="256"/>
      <c r="E1059" s="256"/>
      <c r="F1059" s="256"/>
      <c r="G1059" s="256"/>
      <c r="H1059" s="256"/>
      <c r="I1059" s="256"/>
      <c r="J1059" s="256"/>
      <c r="K1059" s="256"/>
    </row>
    <row r="1060" spans="1:11" ht="12.75" x14ac:dyDescent="0.35">
      <c r="A1060" s="256"/>
      <c r="B1060" s="256"/>
      <c r="C1060" s="256"/>
      <c r="D1060" s="256"/>
      <c r="E1060" s="256"/>
      <c r="F1060" s="256"/>
      <c r="G1060" s="256"/>
      <c r="H1060" s="256"/>
      <c r="I1060" s="256"/>
      <c r="J1060" s="256"/>
      <c r="K1060" s="256"/>
    </row>
    <row r="1061" spans="1:11" ht="12.75" x14ac:dyDescent="0.35">
      <c r="A1061" s="256"/>
      <c r="B1061" s="256"/>
      <c r="C1061" s="256"/>
      <c r="D1061" s="256"/>
      <c r="E1061" s="256"/>
      <c r="F1061" s="256"/>
      <c r="G1061" s="256"/>
      <c r="H1061" s="256"/>
      <c r="I1061" s="256"/>
      <c r="J1061" s="256"/>
      <c r="K1061" s="256"/>
    </row>
    <row r="1062" spans="1:11" ht="12.75" x14ac:dyDescent="0.35">
      <c r="A1062" s="256"/>
      <c r="B1062" s="256"/>
      <c r="C1062" s="256"/>
      <c r="D1062" s="256"/>
      <c r="E1062" s="256"/>
      <c r="F1062" s="256"/>
      <c r="G1062" s="256"/>
      <c r="H1062" s="256"/>
      <c r="I1062" s="256"/>
      <c r="J1062" s="256"/>
      <c r="K1062" s="256"/>
    </row>
    <row r="1063" spans="1:11" ht="12.75" x14ac:dyDescent="0.35">
      <c r="A1063" s="256"/>
      <c r="B1063" s="256"/>
      <c r="C1063" s="256"/>
      <c r="D1063" s="256"/>
      <c r="E1063" s="256"/>
      <c r="F1063" s="256"/>
      <c r="G1063" s="256"/>
      <c r="H1063" s="256"/>
      <c r="I1063" s="256"/>
      <c r="J1063" s="256"/>
      <c r="K1063" s="256"/>
    </row>
    <row r="1064" spans="1:11" ht="12.75" x14ac:dyDescent="0.35">
      <c r="A1064" s="256"/>
      <c r="B1064" s="256"/>
      <c r="C1064" s="256"/>
      <c r="D1064" s="256"/>
      <c r="E1064" s="256"/>
      <c r="F1064" s="256"/>
      <c r="G1064" s="256"/>
      <c r="H1064" s="256"/>
      <c r="I1064" s="256"/>
      <c r="J1064" s="256"/>
      <c r="K1064" s="256"/>
    </row>
    <row r="1065" spans="1:11" ht="12.75" x14ac:dyDescent="0.35">
      <c r="A1065" s="256"/>
      <c r="B1065" s="256"/>
      <c r="C1065" s="256"/>
      <c r="D1065" s="256"/>
      <c r="E1065" s="256"/>
      <c r="F1065" s="256"/>
      <c r="G1065" s="256"/>
      <c r="H1065" s="256"/>
      <c r="I1065" s="256"/>
      <c r="J1065" s="256"/>
      <c r="K1065" s="256"/>
    </row>
    <row r="1066" spans="1:11" ht="12.75" x14ac:dyDescent="0.35">
      <c r="A1066" s="256"/>
      <c r="B1066" s="256"/>
      <c r="C1066" s="256"/>
      <c r="D1066" s="256"/>
      <c r="E1066" s="256"/>
      <c r="F1066" s="256"/>
      <c r="G1066" s="256"/>
      <c r="H1066" s="256"/>
      <c r="I1066" s="256"/>
      <c r="J1066" s="256"/>
      <c r="K1066" s="256"/>
    </row>
    <row r="1067" spans="1:11" ht="12.75" x14ac:dyDescent="0.35">
      <c r="A1067" s="256"/>
      <c r="B1067" s="256"/>
      <c r="C1067" s="256"/>
      <c r="D1067" s="256"/>
      <c r="E1067" s="256"/>
      <c r="F1067" s="256"/>
      <c r="G1067" s="256"/>
      <c r="H1067" s="256"/>
      <c r="I1067" s="256"/>
      <c r="J1067" s="256"/>
      <c r="K1067" s="256"/>
    </row>
    <row r="1068" spans="1:11" ht="12.75" x14ac:dyDescent="0.35">
      <c r="A1068" s="256"/>
      <c r="B1068" s="256"/>
      <c r="C1068" s="256"/>
      <c r="D1068" s="256"/>
      <c r="E1068" s="256"/>
      <c r="F1068" s="256"/>
      <c r="G1068" s="256"/>
      <c r="H1068" s="256"/>
      <c r="I1068" s="256"/>
      <c r="J1068" s="256"/>
      <c r="K1068" s="256"/>
    </row>
    <row r="1069" spans="1:11" ht="12.75" x14ac:dyDescent="0.35">
      <c r="A1069" s="256"/>
      <c r="B1069" s="256"/>
      <c r="C1069" s="256"/>
      <c r="D1069" s="256"/>
      <c r="E1069" s="256"/>
      <c r="F1069" s="256"/>
      <c r="G1069" s="256"/>
      <c r="H1069" s="256"/>
      <c r="I1069" s="256"/>
      <c r="J1069" s="256"/>
      <c r="K1069" s="256"/>
    </row>
    <row r="1070" spans="1:11" ht="12.75" x14ac:dyDescent="0.35">
      <c r="A1070" s="256"/>
      <c r="B1070" s="256"/>
      <c r="C1070" s="256"/>
      <c r="D1070" s="256"/>
      <c r="E1070" s="256"/>
      <c r="F1070" s="256"/>
      <c r="G1070" s="256"/>
      <c r="H1070" s="256"/>
      <c r="I1070" s="256"/>
      <c r="J1070" s="256"/>
      <c r="K1070" s="256"/>
    </row>
    <row r="1071" spans="1:11" ht="12.75" x14ac:dyDescent="0.35">
      <c r="A1071" s="256"/>
      <c r="B1071" s="256"/>
      <c r="C1071" s="256"/>
      <c r="D1071" s="256"/>
      <c r="E1071" s="256"/>
      <c r="F1071" s="256"/>
      <c r="G1071" s="256"/>
      <c r="H1071" s="256"/>
      <c r="I1071" s="256"/>
      <c r="J1071" s="256"/>
      <c r="K1071" s="256"/>
    </row>
    <row r="1072" spans="1:11" ht="12.75" x14ac:dyDescent="0.35">
      <c r="A1072" s="256"/>
      <c r="B1072" s="256"/>
      <c r="C1072" s="256"/>
      <c r="D1072" s="256"/>
      <c r="E1072" s="256"/>
      <c r="F1072" s="256"/>
      <c r="G1072" s="256"/>
      <c r="H1072" s="256"/>
      <c r="I1072" s="256"/>
      <c r="J1072" s="256"/>
      <c r="K1072" s="256"/>
    </row>
    <row r="1073" spans="1:11" ht="12.75" x14ac:dyDescent="0.35">
      <c r="A1073" s="256"/>
      <c r="B1073" s="256"/>
      <c r="C1073" s="256"/>
      <c r="D1073" s="256"/>
      <c r="E1073" s="256"/>
      <c r="F1073" s="256"/>
      <c r="G1073" s="256"/>
      <c r="H1073" s="256"/>
      <c r="I1073" s="256"/>
      <c r="J1073" s="256"/>
      <c r="K1073" s="256"/>
    </row>
    <row r="1074" spans="1:11" ht="12.75" x14ac:dyDescent="0.35">
      <c r="A1074" s="256"/>
      <c r="B1074" s="256"/>
      <c r="C1074" s="256"/>
      <c r="D1074" s="256"/>
      <c r="E1074" s="256"/>
      <c r="F1074" s="256"/>
      <c r="G1074" s="256"/>
      <c r="H1074" s="256"/>
      <c r="I1074" s="256"/>
      <c r="J1074" s="256"/>
      <c r="K1074" s="256"/>
    </row>
    <row r="1075" spans="1:11" ht="12.75" x14ac:dyDescent="0.35">
      <c r="A1075" s="256"/>
      <c r="B1075" s="256"/>
      <c r="C1075" s="256"/>
      <c r="D1075" s="256"/>
      <c r="E1075" s="256"/>
      <c r="F1075" s="256"/>
      <c r="G1075" s="256"/>
      <c r="H1075" s="256"/>
      <c r="I1075" s="256"/>
      <c r="J1075" s="256"/>
      <c r="K1075" s="256"/>
    </row>
    <row r="1076" spans="1:11" ht="12.75" x14ac:dyDescent="0.35">
      <c r="A1076" s="256"/>
      <c r="B1076" s="256"/>
      <c r="C1076" s="256"/>
      <c r="D1076" s="256"/>
      <c r="E1076" s="256"/>
      <c r="F1076" s="256"/>
      <c r="G1076" s="256"/>
      <c r="H1076" s="256"/>
      <c r="I1076" s="256"/>
      <c r="J1076" s="256"/>
      <c r="K1076" s="256"/>
    </row>
    <row r="1077" spans="1:11" ht="12.75" x14ac:dyDescent="0.35">
      <c r="A1077" s="256"/>
      <c r="B1077" s="256"/>
      <c r="C1077" s="256"/>
      <c r="D1077" s="256"/>
      <c r="E1077" s="256"/>
      <c r="F1077" s="256"/>
      <c r="G1077" s="256"/>
      <c r="H1077" s="256"/>
      <c r="I1077" s="256"/>
      <c r="J1077" s="256"/>
      <c r="K1077" s="256"/>
    </row>
    <row r="1078" spans="1:11" ht="12.75" x14ac:dyDescent="0.35">
      <c r="A1078" s="256"/>
      <c r="B1078" s="256"/>
      <c r="C1078" s="256"/>
      <c r="D1078" s="256"/>
      <c r="E1078" s="256"/>
      <c r="F1078" s="256"/>
      <c r="G1078" s="256"/>
      <c r="H1078" s="256"/>
      <c r="I1078" s="256"/>
      <c r="J1078" s="256"/>
      <c r="K1078" s="256"/>
    </row>
    <row r="1079" spans="1:11" ht="12.75" x14ac:dyDescent="0.35">
      <c r="A1079" s="256"/>
      <c r="B1079" s="256"/>
      <c r="C1079" s="256"/>
      <c r="D1079" s="256"/>
      <c r="E1079" s="256"/>
      <c r="F1079" s="256"/>
      <c r="G1079" s="256"/>
      <c r="H1079" s="256"/>
      <c r="I1079" s="256"/>
      <c r="J1079" s="256"/>
      <c r="K1079" s="256"/>
    </row>
    <row r="1080" spans="1:11" ht="12.75" x14ac:dyDescent="0.35">
      <c r="A1080" s="256"/>
      <c r="B1080" s="256"/>
      <c r="C1080" s="256"/>
      <c r="D1080" s="256"/>
      <c r="E1080" s="256"/>
      <c r="F1080" s="256"/>
      <c r="G1080" s="256"/>
      <c r="H1080" s="256"/>
      <c r="I1080" s="256"/>
      <c r="J1080" s="256"/>
      <c r="K1080" s="256"/>
    </row>
    <row r="1081" spans="1:11" ht="12.75" x14ac:dyDescent="0.35">
      <c r="A1081" s="256"/>
      <c r="B1081" s="256"/>
      <c r="C1081" s="256"/>
      <c r="D1081" s="256"/>
      <c r="E1081" s="256"/>
      <c r="F1081" s="256"/>
      <c r="G1081" s="256"/>
      <c r="H1081" s="256"/>
      <c r="I1081" s="256"/>
      <c r="J1081" s="256"/>
      <c r="K1081" s="256"/>
    </row>
    <row r="1082" spans="1:11" ht="12.75" x14ac:dyDescent="0.35">
      <c r="A1082" s="256"/>
      <c r="B1082" s="256"/>
      <c r="C1082" s="256"/>
      <c r="D1082" s="256"/>
      <c r="E1082" s="256"/>
      <c r="F1082" s="256"/>
      <c r="G1082" s="256"/>
      <c r="H1082" s="256"/>
      <c r="I1082" s="256"/>
      <c r="J1082" s="256"/>
      <c r="K1082" s="256"/>
    </row>
    <row r="1083" spans="1:11" ht="12.75" x14ac:dyDescent="0.35">
      <c r="A1083" s="256"/>
      <c r="B1083" s="256"/>
      <c r="C1083" s="256"/>
      <c r="D1083" s="256"/>
      <c r="E1083" s="256"/>
      <c r="F1083" s="256"/>
      <c r="G1083" s="256"/>
      <c r="H1083" s="256"/>
      <c r="I1083" s="256"/>
      <c r="J1083" s="256"/>
      <c r="K1083" s="256"/>
    </row>
    <row r="1084" spans="1:11" ht="12.75" x14ac:dyDescent="0.35">
      <c r="A1084" s="256"/>
      <c r="B1084" s="256"/>
      <c r="C1084" s="256"/>
      <c r="D1084" s="256"/>
      <c r="E1084" s="256"/>
      <c r="F1084" s="256"/>
      <c r="G1084" s="256"/>
      <c r="H1084" s="256"/>
      <c r="I1084" s="256"/>
      <c r="J1084" s="256"/>
      <c r="K1084" s="256"/>
    </row>
    <row r="1085" spans="1:11" ht="12.75" x14ac:dyDescent="0.35">
      <c r="A1085" s="256"/>
      <c r="B1085" s="256"/>
      <c r="C1085" s="256"/>
      <c r="D1085" s="256"/>
      <c r="E1085" s="256"/>
      <c r="F1085" s="256"/>
      <c r="G1085" s="256"/>
      <c r="H1085" s="256"/>
      <c r="I1085" s="256"/>
      <c r="J1085" s="256"/>
      <c r="K1085" s="256"/>
    </row>
    <row r="1086" spans="1:11" ht="12.75" x14ac:dyDescent="0.35">
      <c r="A1086" s="256"/>
      <c r="B1086" s="256"/>
      <c r="C1086" s="256"/>
      <c r="D1086" s="256"/>
      <c r="E1086" s="256"/>
      <c r="F1086" s="256"/>
      <c r="G1086" s="256"/>
      <c r="H1086" s="256"/>
      <c r="I1086" s="256"/>
      <c r="J1086" s="256"/>
      <c r="K1086" s="256"/>
    </row>
    <row r="1087" spans="1:11" ht="12.75" x14ac:dyDescent="0.35">
      <c r="A1087" s="256"/>
      <c r="B1087" s="256"/>
      <c r="C1087" s="256"/>
      <c r="D1087" s="256"/>
      <c r="E1087" s="256"/>
      <c r="F1087" s="256"/>
      <c r="G1087" s="256"/>
      <c r="H1087" s="256"/>
      <c r="I1087" s="256"/>
      <c r="J1087" s="256"/>
      <c r="K1087" s="256"/>
    </row>
    <row r="1088" spans="1:11" ht="12.75" x14ac:dyDescent="0.35">
      <c r="A1088" s="256"/>
      <c r="B1088" s="256"/>
      <c r="C1088" s="256"/>
      <c r="D1088" s="256"/>
      <c r="E1088" s="256"/>
      <c r="F1088" s="256"/>
      <c r="G1088" s="256"/>
      <c r="H1088" s="256"/>
      <c r="I1088" s="256"/>
      <c r="J1088" s="256"/>
      <c r="K1088" s="256"/>
    </row>
    <row r="1089" spans="1:11" ht="12.75" x14ac:dyDescent="0.35">
      <c r="A1089" s="256"/>
      <c r="B1089" s="256"/>
      <c r="C1089" s="256"/>
      <c r="D1089" s="256"/>
      <c r="E1089" s="256"/>
      <c r="F1089" s="256"/>
      <c r="G1089" s="256"/>
      <c r="H1089" s="256"/>
      <c r="I1089" s="256"/>
      <c r="J1089" s="256"/>
      <c r="K1089" s="256"/>
    </row>
    <row r="1090" spans="1:11" ht="12.75" x14ac:dyDescent="0.35">
      <c r="A1090" s="256"/>
      <c r="B1090" s="256"/>
      <c r="C1090" s="256"/>
      <c r="D1090" s="256"/>
      <c r="E1090" s="256"/>
      <c r="F1090" s="256"/>
      <c r="G1090" s="256"/>
      <c r="H1090" s="256"/>
      <c r="I1090" s="256"/>
      <c r="J1090" s="256"/>
      <c r="K1090" s="256"/>
    </row>
    <row r="1091" spans="1:11" ht="12.75" x14ac:dyDescent="0.35">
      <c r="A1091" s="256"/>
      <c r="B1091" s="256"/>
      <c r="C1091" s="256"/>
      <c r="D1091" s="256"/>
      <c r="E1091" s="256"/>
      <c r="F1091" s="256"/>
      <c r="G1091" s="256"/>
      <c r="H1091" s="256"/>
      <c r="I1091" s="256"/>
      <c r="J1091" s="256"/>
      <c r="K1091" s="256"/>
    </row>
    <row r="1092" spans="1:11" ht="12.75" x14ac:dyDescent="0.35">
      <c r="A1092" s="256"/>
      <c r="B1092" s="256"/>
      <c r="C1092" s="256"/>
      <c r="D1092" s="256"/>
      <c r="E1092" s="256"/>
      <c r="F1092" s="256"/>
      <c r="G1092" s="256"/>
      <c r="H1092" s="256"/>
      <c r="I1092" s="256"/>
      <c r="J1092" s="256"/>
      <c r="K1092" s="256"/>
    </row>
    <row r="1093" spans="1:11" ht="12.75" x14ac:dyDescent="0.35">
      <c r="A1093" s="256"/>
      <c r="B1093" s="256"/>
      <c r="C1093" s="256"/>
      <c r="D1093" s="256"/>
      <c r="E1093" s="256"/>
      <c r="F1093" s="256"/>
      <c r="G1093" s="256"/>
      <c r="H1093" s="256"/>
      <c r="I1093" s="256"/>
      <c r="J1093" s="256"/>
      <c r="K1093" s="256"/>
    </row>
    <row r="1094" spans="1:11" ht="12.75" x14ac:dyDescent="0.35">
      <c r="A1094" s="256"/>
      <c r="B1094" s="256"/>
      <c r="C1094" s="256"/>
      <c r="D1094" s="256"/>
      <c r="E1094" s="256"/>
      <c r="F1094" s="256"/>
      <c r="G1094" s="256"/>
      <c r="H1094" s="256"/>
      <c r="I1094" s="256"/>
      <c r="J1094" s="256"/>
      <c r="K1094" s="256"/>
    </row>
    <row r="1095" spans="1:11" ht="12.75" x14ac:dyDescent="0.35">
      <c r="A1095" s="256"/>
      <c r="B1095" s="256"/>
      <c r="C1095" s="256"/>
      <c r="D1095" s="256"/>
      <c r="E1095" s="256"/>
      <c r="F1095" s="256"/>
      <c r="G1095" s="256"/>
      <c r="H1095" s="256"/>
      <c r="I1095" s="256"/>
      <c r="J1095" s="256"/>
      <c r="K1095" s="256"/>
    </row>
    <row r="1096" spans="1:11" ht="12.75" x14ac:dyDescent="0.35">
      <c r="A1096" s="256"/>
      <c r="B1096" s="256"/>
      <c r="C1096" s="256"/>
      <c r="D1096" s="256"/>
      <c r="E1096" s="256"/>
      <c r="F1096" s="256"/>
      <c r="G1096" s="256"/>
      <c r="H1096" s="256"/>
      <c r="I1096" s="256"/>
      <c r="J1096" s="256"/>
      <c r="K1096" s="256"/>
    </row>
    <row r="1097" spans="1:11" ht="12.75" x14ac:dyDescent="0.35">
      <c r="A1097" s="256"/>
      <c r="B1097" s="256"/>
      <c r="C1097" s="256"/>
      <c r="D1097" s="256"/>
      <c r="E1097" s="256"/>
      <c r="F1097" s="256"/>
      <c r="G1097" s="256"/>
      <c r="H1097" s="256"/>
      <c r="I1097" s="256"/>
      <c r="J1097" s="256"/>
      <c r="K1097" s="256"/>
    </row>
    <row r="1098" spans="1:11" ht="12.75" x14ac:dyDescent="0.35">
      <c r="A1098" s="256"/>
      <c r="B1098" s="256"/>
      <c r="C1098" s="256"/>
      <c r="D1098" s="256"/>
      <c r="E1098" s="256"/>
      <c r="F1098" s="256"/>
      <c r="G1098" s="256"/>
      <c r="H1098" s="256"/>
      <c r="I1098" s="256"/>
      <c r="J1098" s="256"/>
      <c r="K1098" s="256"/>
    </row>
    <row r="1099" spans="1:11" ht="12.75" x14ac:dyDescent="0.35">
      <c r="A1099" s="256"/>
      <c r="B1099" s="256"/>
      <c r="C1099" s="256"/>
      <c r="D1099" s="256"/>
      <c r="E1099" s="256"/>
      <c r="F1099" s="256"/>
      <c r="G1099" s="256"/>
      <c r="H1099" s="256"/>
      <c r="I1099" s="256"/>
      <c r="J1099" s="256"/>
      <c r="K1099" s="256"/>
    </row>
    <row r="1100" spans="1:11" ht="12.75" x14ac:dyDescent="0.35">
      <c r="A1100" s="256"/>
      <c r="B1100" s="256"/>
      <c r="C1100" s="256"/>
      <c r="D1100" s="256"/>
      <c r="E1100" s="256"/>
      <c r="F1100" s="256"/>
      <c r="G1100" s="256"/>
      <c r="H1100" s="256"/>
      <c r="I1100" s="256"/>
      <c r="J1100" s="256"/>
      <c r="K1100" s="256"/>
    </row>
    <row r="1101" spans="1:11" ht="12.75" x14ac:dyDescent="0.35">
      <c r="A1101" s="256"/>
      <c r="B1101" s="256"/>
      <c r="C1101" s="256"/>
      <c r="D1101" s="256"/>
      <c r="E1101" s="256"/>
      <c r="F1101" s="256"/>
      <c r="G1101" s="256"/>
      <c r="H1101" s="256"/>
      <c r="I1101" s="256"/>
      <c r="J1101" s="256"/>
      <c r="K1101" s="256"/>
    </row>
    <row r="1102" spans="1:11" ht="12.75" x14ac:dyDescent="0.35">
      <c r="A1102" s="256"/>
      <c r="B1102" s="256"/>
      <c r="C1102" s="256"/>
      <c r="D1102" s="256"/>
      <c r="E1102" s="256"/>
      <c r="F1102" s="256"/>
      <c r="G1102" s="256"/>
      <c r="H1102" s="256"/>
      <c r="I1102" s="256"/>
      <c r="J1102" s="256"/>
      <c r="K1102" s="256"/>
    </row>
    <row r="1103" spans="1:11" ht="12.75" x14ac:dyDescent="0.35">
      <c r="A1103" s="256"/>
      <c r="B1103" s="256"/>
      <c r="C1103" s="256"/>
      <c r="D1103" s="256"/>
      <c r="E1103" s="256"/>
      <c r="F1103" s="256"/>
      <c r="G1103" s="256"/>
      <c r="H1103" s="256"/>
      <c r="I1103" s="256"/>
      <c r="J1103" s="256"/>
      <c r="K1103" s="256"/>
    </row>
    <row r="1104" spans="1:11" ht="12.75" x14ac:dyDescent="0.35">
      <c r="A1104" s="256"/>
      <c r="B1104" s="256"/>
      <c r="C1104" s="256"/>
      <c r="D1104" s="256"/>
      <c r="E1104" s="256"/>
      <c r="F1104" s="256"/>
      <c r="G1104" s="256"/>
      <c r="H1104" s="256"/>
      <c r="I1104" s="256"/>
      <c r="J1104" s="256"/>
      <c r="K1104" s="256"/>
    </row>
    <row r="1105" spans="1:11" ht="12.75" x14ac:dyDescent="0.35">
      <c r="A1105" s="256"/>
      <c r="B1105" s="256"/>
      <c r="C1105" s="256"/>
      <c r="D1105" s="256"/>
      <c r="E1105" s="256"/>
      <c r="F1105" s="256"/>
      <c r="G1105" s="256"/>
      <c r="H1105" s="256"/>
      <c r="I1105" s="256"/>
      <c r="J1105" s="256"/>
      <c r="K1105" s="256"/>
    </row>
    <row r="1106" spans="1:11" ht="12.75" x14ac:dyDescent="0.35">
      <c r="A1106" s="256"/>
      <c r="B1106" s="256"/>
      <c r="C1106" s="256"/>
      <c r="D1106" s="256"/>
      <c r="E1106" s="256"/>
      <c r="F1106" s="256"/>
      <c r="G1106" s="256"/>
      <c r="H1106" s="256"/>
      <c r="I1106" s="256"/>
      <c r="J1106" s="256"/>
      <c r="K1106" s="256"/>
    </row>
    <row r="1107" spans="1:11" ht="12.75" x14ac:dyDescent="0.35">
      <c r="A1107" s="256"/>
      <c r="B1107" s="256"/>
      <c r="C1107" s="256"/>
      <c r="D1107" s="256"/>
      <c r="E1107" s="256"/>
      <c r="F1107" s="256"/>
      <c r="G1107" s="256"/>
      <c r="H1107" s="256"/>
      <c r="I1107" s="256"/>
      <c r="J1107" s="256"/>
      <c r="K1107" s="256"/>
    </row>
    <row r="1108" spans="1:11" ht="12.75" x14ac:dyDescent="0.35">
      <c r="A1108" s="256"/>
      <c r="B1108" s="256"/>
      <c r="C1108" s="256"/>
      <c r="D1108" s="256"/>
      <c r="E1108" s="256"/>
      <c r="F1108" s="256"/>
      <c r="G1108" s="256"/>
      <c r="H1108" s="256"/>
      <c r="I1108" s="256"/>
      <c r="J1108" s="256"/>
      <c r="K1108" s="256"/>
    </row>
    <row r="1109" spans="1:11" ht="12.75" x14ac:dyDescent="0.35">
      <c r="A1109" s="256"/>
      <c r="B1109" s="256"/>
      <c r="C1109" s="256"/>
      <c r="D1109" s="256"/>
      <c r="E1109" s="256"/>
      <c r="F1109" s="256"/>
      <c r="G1109" s="256"/>
      <c r="H1109" s="256"/>
      <c r="I1109" s="256"/>
      <c r="J1109" s="256"/>
      <c r="K1109" s="256"/>
    </row>
    <row r="1110" spans="1:11" ht="12.75" x14ac:dyDescent="0.35">
      <c r="A1110" s="256"/>
      <c r="B1110" s="256"/>
      <c r="C1110" s="256"/>
      <c r="D1110" s="256"/>
      <c r="E1110" s="256"/>
      <c r="F1110" s="256"/>
      <c r="G1110" s="256"/>
      <c r="H1110" s="256"/>
      <c r="I1110" s="256"/>
      <c r="J1110" s="256"/>
      <c r="K1110" s="256"/>
    </row>
    <row r="1111" spans="1:11" ht="12.75" x14ac:dyDescent="0.35">
      <c r="A1111" s="256"/>
      <c r="B1111" s="256"/>
      <c r="C1111" s="256"/>
      <c r="D1111" s="256"/>
      <c r="E1111" s="256"/>
      <c r="F1111" s="256"/>
      <c r="G1111" s="256"/>
      <c r="H1111" s="256"/>
      <c r="I1111" s="256"/>
      <c r="J1111" s="256"/>
      <c r="K1111" s="256"/>
    </row>
    <row r="1112" spans="1:11" ht="12.75" x14ac:dyDescent="0.35">
      <c r="A1112" s="256"/>
      <c r="B1112" s="256"/>
      <c r="C1112" s="256"/>
      <c r="D1112" s="256"/>
      <c r="E1112" s="256"/>
      <c r="F1112" s="256"/>
      <c r="G1112" s="256"/>
      <c r="H1112" s="256"/>
      <c r="I1112" s="256"/>
      <c r="J1112" s="256"/>
      <c r="K1112" s="256"/>
    </row>
    <row r="1113" spans="1:11" ht="12.75" x14ac:dyDescent="0.35">
      <c r="A1113" s="256"/>
      <c r="B1113" s="256"/>
      <c r="C1113" s="256"/>
      <c r="D1113" s="256"/>
      <c r="E1113" s="256"/>
      <c r="F1113" s="256"/>
      <c r="G1113" s="256"/>
      <c r="H1113" s="256"/>
      <c r="I1113" s="256"/>
      <c r="J1113" s="256"/>
      <c r="K1113" s="256"/>
    </row>
    <row r="1114" spans="1:11" ht="12.75" x14ac:dyDescent="0.35">
      <c r="A1114" s="256"/>
      <c r="B1114" s="256"/>
      <c r="C1114" s="256"/>
      <c r="D1114" s="256"/>
      <c r="E1114" s="256"/>
      <c r="F1114" s="256"/>
      <c r="G1114" s="256"/>
      <c r="H1114" s="256"/>
      <c r="I1114" s="256"/>
      <c r="J1114" s="256"/>
      <c r="K1114" s="256"/>
    </row>
    <row r="1115" spans="1:11" ht="12.75" x14ac:dyDescent="0.35">
      <c r="A1115" s="256"/>
      <c r="B1115" s="256"/>
      <c r="C1115" s="256"/>
      <c r="D1115" s="256"/>
      <c r="E1115" s="256"/>
      <c r="F1115" s="256"/>
      <c r="G1115" s="256"/>
      <c r="H1115" s="256"/>
      <c r="I1115" s="256"/>
      <c r="J1115" s="256"/>
      <c r="K1115" s="256"/>
    </row>
    <row r="1116" spans="1:11" ht="12.75" x14ac:dyDescent="0.35">
      <c r="A1116" s="256"/>
      <c r="B1116" s="256"/>
      <c r="C1116" s="256"/>
      <c r="D1116" s="256"/>
      <c r="E1116" s="256"/>
      <c r="F1116" s="256"/>
      <c r="G1116" s="256"/>
      <c r="H1116" s="256"/>
      <c r="I1116" s="256"/>
      <c r="J1116" s="256"/>
      <c r="K1116" s="256"/>
    </row>
    <row r="1117" spans="1:11" ht="12.75" x14ac:dyDescent="0.35">
      <c r="A1117" s="256"/>
      <c r="B1117" s="256"/>
      <c r="C1117" s="256"/>
      <c r="D1117" s="256"/>
      <c r="E1117" s="256"/>
      <c r="F1117" s="256"/>
      <c r="G1117" s="256"/>
      <c r="H1117" s="256"/>
      <c r="I1117" s="256"/>
      <c r="J1117" s="256"/>
      <c r="K1117" s="256"/>
    </row>
    <row r="1118" spans="1:11" ht="12.75" x14ac:dyDescent="0.35">
      <c r="A1118" s="256"/>
      <c r="B1118" s="256"/>
      <c r="C1118" s="256"/>
      <c r="D1118" s="256"/>
      <c r="E1118" s="256"/>
      <c r="F1118" s="256"/>
      <c r="G1118" s="256"/>
      <c r="H1118" s="256"/>
      <c r="I1118" s="256"/>
      <c r="J1118" s="256"/>
      <c r="K1118" s="256"/>
    </row>
    <row r="1119" spans="1:11" ht="12.75" x14ac:dyDescent="0.35">
      <c r="A1119" s="256"/>
      <c r="B1119" s="256"/>
      <c r="C1119" s="256"/>
      <c r="D1119" s="256"/>
      <c r="E1119" s="256"/>
      <c r="F1119" s="256"/>
      <c r="G1119" s="256"/>
      <c r="H1119" s="256"/>
      <c r="I1119" s="256"/>
      <c r="J1119" s="256"/>
      <c r="K1119" s="256"/>
    </row>
    <row r="1120" spans="1:11" ht="12.75" x14ac:dyDescent="0.35">
      <c r="A1120" s="256"/>
      <c r="B1120" s="256"/>
      <c r="C1120" s="256"/>
      <c r="D1120" s="256"/>
      <c r="E1120" s="256"/>
      <c r="F1120" s="256"/>
      <c r="G1120" s="256"/>
      <c r="H1120" s="256"/>
      <c r="I1120" s="256"/>
      <c r="J1120" s="256"/>
      <c r="K1120" s="256"/>
    </row>
    <row r="1121" spans="1:11" ht="12.75" x14ac:dyDescent="0.35">
      <c r="A1121" s="256"/>
      <c r="B1121" s="256"/>
      <c r="C1121" s="256"/>
      <c r="D1121" s="256"/>
      <c r="E1121" s="256"/>
      <c r="F1121" s="256"/>
      <c r="G1121" s="256"/>
      <c r="H1121" s="256"/>
      <c r="I1121" s="256"/>
      <c r="J1121" s="256"/>
      <c r="K1121" s="256"/>
    </row>
    <row r="1122" spans="1:11" ht="12.75" x14ac:dyDescent="0.35">
      <c r="A1122" s="256"/>
      <c r="B1122" s="256"/>
      <c r="C1122" s="256"/>
      <c r="D1122" s="256"/>
      <c r="E1122" s="256"/>
      <c r="F1122" s="256"/>
      <c r="G1122" s="256"/>
      <c r="H1122" s="256"/>
      <c r="I1122" s="256"/>
      <c r="J1122" s="256"/>
      <c r="K1122" s="256"/>
    </row>
    <row r="1123" spans="1:11" ht="12.75" x14ac:dyDescent="0.35">
      <c r="A1123" s="256"/>
      <c r="B1123" s="256"/>
      <c r="C1123" s="256"/>
      <c r="D1123" s="256"/>
      <c r="E1123" s="256"/>
      <c r="F1123" s="256"/>
      <c r="G1123" s="256"/>
      <c r="H1123" s="256"/>
      <c r="I1123" s="256"/>
      <c r="J1123" s="256"/>
      <c r="K1123" s="256"/>
    </row>
    <row r="1124" spans="1:11" ht="12.75" x14ac:dyDescent="0.35">
      <c r="A1124" s="256"/>
      <c r="B1124" s="256"/>
      <c r="C1124" s="256"/>
      <c r="D1124" s="256"/>
      <c r="E1124" s="256"/>
      <c r="F1124" s="256"/>
      <c r="G1124" s="256"/>
      <c r="H1124" s="256"/>
      <c r="I1124" s="256"/>
      <c r="J1124" s="256"/>
      <c r="K1124" s="256"/>
    </row>
    <row r="1125" spans="1:11" ht="12.75" x14ac:dyDescent="0.35">
      <c r="A1125" s="256"/>
      <c r="B1125" s="256"/>
      <c r="C1125" s="256"/>
      <c r="D1125" s="256"/>
      <c r="E1125" s="256"/>
      <c r="F1125" s="256"/>
      <c r="G1125" s="256"/>
      <c r="H1125" s="256"/>
      <c r="I1125" s="256"/>
      <c r="J1125" s="256"/>
      <c r="K1125" s="256"/>
    </row>
    <row r="1126" spans="1:11" ht="12.75" x14ac:dyDescent="0.35">
      <c r="A1126" s="256"/>
      <c r="B1126" s="256"/>
      <c r="C1126" s="256"/>
      <c r="D1126" s="256"/>
      <c r="E1126" s="256"/>
      <c r="F1126" s="256"/>
      <c r="G1126" s="256"/>
      <c r="H1126" s="256"/>
      <c r="I1126" s="256"/>
      <c r="J1126" s="256"/>
      <c r="K1126" s="256"/>
    </row>
    <row r="1127" spans="1:11" ht="12.75" x14ac:dyDescent="0.35">
      <c r="A1127" s="256"/>
      <c r="B1127" s="256"/>
      <c r="C1127" s="256"/>
      <c r="D1127" s="256"/>
      <c r="E1127" s="256"/>
      <c r="F1127" s="256"/>
      <c r="G1127" s="256"/>
      <c r="H1127" s="256"/>
      <c r="I1127" s="256"/>
      <c r="J1127" s="256"/>
      <c r="K1127" s="256"/>
    </row>
    <row r="1128" spans="1:11" ht="12.75" x14ac:dyDescent="0.35">
      <c r="A1128" s="256"/>
      <c r="B1128" s="256"/>
      <c r="C1128" s="256"/>
      <c r="D1128" s="256"/>
      <c r="E1128" s="256"/>
      <c r="F1128" s="256"/>
      <c r="G1128" s="256"/>
      <c r="H1128" s="256"/>
      <c r="I1128" s="256"/>
      <c r="J1128" s="256"/>
      <c r="K1128" s="256"/>
    </row>
    <row r="1129" spans="1:11" ht="12.75" x14ac:dyDescent="0.35">
      <c r="A1129" s="256"/>
      <c r="B1129" s="256"/>
      <c r="C1129" s="256"/>
      <c r="D1129" s="256"/>
      <c r="E1129" s="256"/>
      <c r="F1129" s="256"/>
      <c r="G1129" s="256"/>
      <c r="H1129" s="256"/>
      <c r="I1129" s="256"/>
      <c r="J1129" s="256"/>
      <c r="K1129" s="256"/>
    </row>
    <row r="1130" spans="1:11" ht="12.75" x14ac:dyDescent="0.35">
      <c r="A1130" s="256"/>
      <c r="B1130" s="256"/>
      <c r="C1130" s="256"/>
      <c r="D1130" s="256"/>
      <c r="E1130" s="256"/>
      <c r="F1130" s="256"/>
      <c r="G1130" s="256"/>
      <c r="H1130" s="256"/>
      <c r="I1130" s="256"/>
      <c r="J1130" s="256"/>
      <c r="K1130" s="256"/>
    </row>
    <row r="1131" spans="1:11" ht="12.75" x14ac:dyDescent="0.35">
      <c r="A1131" s="256"/>
      <c r="B1131" s="256"/>
      <c r="C1131" s="256"/>
      <c r="D1131" s="256"/>
      <c r="E1131" s="256"/>
      <c r="F1131" s="256"/>
      <c r="G1131" s="256"/>
      <c r="H1131" s="256"/>
      <c r="I1131" s="256"/>
      <c r="J1131" s="256"/>
      <c r="K1131" s="256"/>
    </row>
    <row r="1132" spans="1:11" ht="12.75" x14ac:dyDescent="0.35">
      <c r="A1132" s="256"/>
      <c r="B1132" s="256"/>
      <c r="C1132" s="256"/>
      <c r="D1132" s="256"/>
      <c r="E1132" s="256"/>
      <c r="F1132" s="256"/>
      <c r="G1132" s="256"/>
      <c r="H1132" s="256"/>
      <c r="I1132" s="256"/>
      <c r="J1132" s="256"/>
      <c r="K1132" s="256"/>
    </row>
    <row r="1133" spans="1:11" ht="12.75" x14ac:dyDescent="0.35">
      <c r="A1133" s="256"/>
      <c r="B1133" s="256"/>
      <c r="C1133" s="256"/>
      <c r="D1133" s="256"/>
      <c r="E1133" s="256"/>
      <c r="F1133" s="256"/>
      <c r="G1133" s="256"/>
      <c r="H1133" s="256"/>
      <c r="I1133" s="256"/>
      <c r="J1133" s="256"/>
      <c r="K1133" s="256"/>
    </row>
    <row r="1134" spans="1:11" ht="12.75" x14ac:dyDescent="0.35">
      <c r="A1134" s="256"/>
      <c r="B1134" s="256"/>
      <c r="C1134" s="256"/>
      <c r="D1134" s="256"/>
      <c r="E1134" s="256"/>
      <c r="F1134" s="256"/>
      <c r="G1134" s="256"/>
      <c r="H1134" s="256"/>
      <c r="I1134" s="256"/>
      <c r="J1134" s="256"/>
      <c r="K1134" s="256"/>
    </row>
    <row r="1135" spans="1:11" ht="12.75" x14ac:dyDescent="0.35">
      <c r="A1135" s="256"/>
      <c r="B1135" s="256"/>
      <c r="C1135" s="256"/>
      <c r="D1135" s="256"/>
      <c r="E1135" s="256"/>
      <c r="F1135" s="256"/>
      <c r="G1135" s="256"/>
      <c r="H1135" s="256"/>
      <c r="I1135" s="256"/>
      <c r="J1135" s="256"/>
      <c r="K1135" s="256"/>
    </row>
    <row r="1136" spans="1:11" ht="12.75" x14ac:dyDescent="0.35">
      <c r="A1136" s="256"/>
      <c r="B1136" s="256"/>
      <c r="C1136" s="256"/>
      <c r="D1136" s="256"/>
      <c r="E1136" s="256"/>
      <c r="F1136" s="256"/>
      <c r="G1136" s="256"/>
      <c r="H1136" s="256"/>
      <c r="I1136" s="256"/>
      <c r="J1136" s="256"/>
      <c r="K1136" s="256"/>
    </row>
    <row r="1137" spans="1:11" ht="12.75" x14ac:dyDescent="0.35">
      <c r="A1137" s="256"/>
      <c r="B1137" s="256"/>
      <c r="C1137" s="256"/>
      <c r="D1137" s="256"/>
      <c r="E1137" s="256"/>
      <c r="F1137" s="256"/>
      <c r="G1137" s="256"/>
      <c r="H1137" s="256"/>
      <c r="I1137" s="256"/>
      <c r="J1137" s="256"/>
      <c r="K1137" s="256"/>
    </row>
    <row r="1138" spans="1:11" ht="12.75" x14ac:dyDescent="0.35">
      <c r="A1138" s="256"/>
      <c r="B1138" s="256"/>
      <c r="C1138" s="256"/>
      <c r="D1138" s="256"/>
      <c r="E1138" s="256"/>
      <c r="F1138" s="256"/>
      <c r="G1138" s="256"/>
      <c r="H1138" s="256"/>
      <c r="I1138" s="256"/>
      <c r="J1138" s="256"/>
      <c r="K1138" s="256"/>
    </row>
    <row r="1139" spans="1:11" ht="12.75" x14ac:dyDescent="0.35">
      <c r="A1139" s="256"/>
      <c r="B1139" s="256"/>
      <c r="C1139" s="256"/>
      <c r="D1139" s="256"/>
      <c r="E1139" s="256"/>
      <c r="F1139" s="256"/>
      <c r="G1139" s="256"/>
      <c r="H1139" s="256"/>
      <c r="I1139" s="256"/>
      <c r="J1139" s="256"/>
      <c r="K1139" s="256"/>
    </row>
    <row r="1140" spans="1:11" ht="12.75" x14ac:dyDescent="0.35">
      <c r="A1140" s="256"/>
      <c r="B1140" s="256"/>
      <c r="C1140" s="256"/>
      <c r="D1140" s="256"/>
      <c r="E1140" s="256"/>
      <c r="F1140" s="256"/>
      <c r="G1140" s="256"/>
      <c r="H1140" s="256"/>
      <c r="I1140" s="256"/>
      <c r="J1140" s="256"/>
      <c r="K1140" s="256"/>
    </row>
    <row r="1141" spans="1:11" ht="12.75" x14ac:dyDescent="0.35">
      <c r="A1141" s="256"/>
      <c r="B1141" s="256"/>
      <c r="C1141" s="256"/>
      <c r="D1141" s="256"/>
      <c r="E1141" s="256"/>
      <c r="F1141" s="256"/>
      <c r="G1141" s="256"/>
      <c r="H1141" s="256"/>
      <c r="I1141" s="256"/>
      <c r="J1141" s="256"/>
      <c r="K1141" s="256"/>
    </row>
    <row r="1142" spans="1:11" ht="12.75" x14ac:dyDescent="0.35">
      <c r="A1142" s="256"/>
      <c r="B1142" s="256"/>
      <c r="C1142" s="256"/>
      <c r="D1142" s="256"/>
      <c r="E1142" s="256"/>
      <c r="F1142" s="256"/>
      <c r="G1142" s="256"/>
      <c r="H1142" s="256"/>
      <c r="I1142" s="256"/>
      <c r="J1142" s="256"/>
      <c r="K1142" s="256"/>
    </row>
    <row r="1143" spans="1:11" ht="12.75" x14ac:dyDescent="0.35">
      <c r="A1143" s="256"/>
      <c r="B1143" s="256"/>
      <c r="C1143" s="256"/>
      <c r="D1143" s="256"/>
      <c r="E1143" s="256"/>
      <c r="F1143" s="256"/>
      <c r="G1143" s="256"/>
      <c r="H1143" s="256"/>
      <c r="I1143" s="256"/>
      <c r="J1143" s="256"/>
      <c r="K1143" s="256"/>
    </row>
    <row r="1144" spans="1:11" ht="12.75" x14ac:dyDescent="0.35">
      <c r="A1144" s="256"/>
      <c r="B1144" s="256"/>
      <c r="C1144" s="256"/>
      <c r="D1144" s="256"/>
      <c r="E1144" s="256"/>
      <c r="F1144" s="256"/>
      <c r="G1144" s="256"/>
      <c r="H1144" s="256"/>
      <c r="I1144" s="256"/>
      <c r="J1144" s="256"/>
      <c r="K1144" s="256"/>
    </row>
    <row r="1145" spans="1:11" ht="12.75" x14ac:dyDescent="0.35">
      <c r="A1145" s="256"/>
      <c r="B1145" s="256"/>
      <c r="C1145" s="256"/>
      <c r="D1145" s="256"/>
      <c r="E1145" s="256"/>
      <c r="F1145" s="256"/>
      <c r="G1145" s="256"/>
      <c r="H1145" s="256"/>
      <c r="I1145" s="256"/>
      <c r="J1145" s="256"/>
      <c r="K1145" s="256"/>
    </row>
    <row r="1146" spans="1:11" ht="12.75" x14ac:dyDescent="0.35">
      <c r="A1146" s="256"/>
      <c r="B1146" s="256"/>
      <c r="C1146" s="256"/>
      <c r="D1146" s="256"/>
      <c r="E1146" s="256"/>
      <c r="F1146" s="256"/>
      <c r="G1146" s="256"/>
      <c r="H1146" s="256"/>
      <c r="I1146" s="256"/>
      <c r="J1146" s="256"/>
      <c r="K1146" s="256"/>
    </row>
    <row r="1147" spans="1:11" ht="12.75" x14ac:dyDescent="0.35">
      <c r="A1147" s="256"/>
      <c r="B1147" s="256"/>
      <c r="C1147" s="256"/>
      <c r="D1147" s="256"/>
      <c r="E1147" s="256"/>
      <c r="F1147" s="256"/>
      <c r="G1147" s="256"/>
      <c r="H1147" s="256"/>
      <c r="I1147" s="256"/>
      <c r="J1147" s="256"/>
      <c r="K1147" s="256"/>
    </row>
    <row r="1148" spans="1:11" ht="12.75" x14ac:dyDescent="0.35">
      <c r="A1148" s="256"/>
      <c r="B1148" s="256"/>
      <c r="C1148" s="256"/>
      <c r="D1148" s="256"/>
      <c r="E1148" s="256"/>
      <c r="F1148" s="256"/>
      <c r="G1148" s="256"/>
      <c r="H1148" s="256"/>
      <c r="I1148" s="256"/>
      <c r="J1148" s="256"/>
      <c r="K1148" s="256"/>
    </row>
    <row r="1149" spans="1:11" ht="12.75" x14ac:dyDescent="0.35">
      <c r="A1149" s="256"/>
      <c r="B1149" s="256"/>
      <c r="C1149" s="256"/>
      <c r="D1149" s="256"/>
      <c r="E1149" s="256"/>
      <c r="F1149" s="256"/>
      <c r="G1149" s="256"/>
      <c r="H1149" s="256"/>
      <c r="I1149" s="256"/>
      <c r="J1149" s="256"/>
      <c r="K1149" s="256"/>
    </row>
    <row r="1150" spans="1:11" ht="12.75" x14ac:dyDescent="0.35">
      <c r="A1150" s="256"/>
      <c r="B1150" s="256"/>
      <c r="C1150" s="256"/>
      <c r="D1150" s="256"/>
      <c r="E1150" s="256"/>
      <c r="F1150" s="256"/>
      <c r="G1150" s="256"/>
      <c r="H1150" s="256"/>
      <c r="I1150" s="256"/>
      <c r="J1150" s="256"/>
      <c r="K1150" s="256"/>
    </row>
    <row r="1151" spans="1:11" ht="12.75" x14ac:dyDescent="0.35">
      <c r="A1151" s="256"/>
      <c r="B1151" s="256"/>
      <c r="C1151" s="256"/>
      <c r="D1151" s="256"/>
      <c r="E1151" s="256"/>
      <c r="F1151" s="256"/>
      <c r="G1151" s="256"/>
      <c r="H1151" s="256"/>
      <c r="I1151" s="256"/>
      <c r="J1151" s="256"/>
      <c r="K1151" s="256"/>
    </row>
    <row r="1152" spans="1:11" ht="12.75" x14ac:dyDescent="0.35">
      <c r="A1152" s="256"/>
      <c r="B1152" s="256"/>
      <c r="C1152" s="256"/>
      <c r="D1152" s="256"/>
      <c r="E1152" s="256"/>
      <c r="F1152" s="256"/>
      <c r="G1152" s="256"/>
      <c r="H1152" s="256"/>
      <c r="I1152" s="256"/>
      <c r="J1152" s="256"/>
      <c r="K1152" s="256"/>
    </row>
    <row r="1153" spans="1:11" ht="12.75" x14ac:dyDescent="0.35">
      <c r="A1153" s="256"/>
      <c r="B1153" s="256"/>
      <c r="C1153" s="256"/>
      <c r="D1153" s="256"/>
      <c r="E1153" s="256"/>
      <c r="F1153" s="256"/>
      <c r="G1153" s="256"/>
      <c r="H1153" s="256"/>
      <c r="I1153" s="256"/>
      <c r="J1153" s="256"/>
      <c r="K1153" s="256"/>
    </row>
    <row r="1154" spans="1:11" ht="12.75" x14ac:dyDescent="0.35">
      <c r="A1154" s="256"/>
      <c r="B1154" s="256"/>
      <c r="C1154" s="256"/>
      <c r="D1154" s="256"/>
      <c r="E1154" s="256"/>
      <c r="F1154" s="256"/>
      <c r="G1154" s="256"/>
      <c r="H1154" s="256"/>
      <c r="I1154" s="256"/>
      <c r="J1154" s="256"/>
      <c r="K1154" s="256"/>
    </row>
    <row r="1155" spans="1:11" ht="12.75" x14ac:dyDescent="0.35">
      <c r="A1155" s="256"/>
      <c r="B1155" s="256"/>
      <c r="C1155" s="256"/>
      <c r="D1155" s="256"/>
      <c r="E1155" s="256"/>
      <c r="F1155" s="256"/>
      <c r="G1155" s="256"/>
      <c r="H1155" s="256"/>
      <c r="I1155" s="256"/>
      <c r="J1155" s="256"/>
      <c r="K1155" s="256"/>
    </row>
    <row r="1156" spans="1:11" ht="12.75" x14ac:dyDescent="0.35">
      <c r="A1156" s="256"/>
      <c r="B1156" s="256"/>
      <c r="C1156" s="256"/>
      <c r="D1156" s="256"/>
      <c r="E1156" s="256"/>
      <c r="F1156" s="256"/>
      <c r="G1156" s="256"/>
      <c r="H1156" s="256"/>
      <c r="I1156" s="256"/>
      <c r="J1156" s="256"/>
      <c r="K1156" s="256"/>
    </row>
    <row r="1157" spans="1:11" ht="12.75" x14ac:dyDescent="0.35">
      <c r="A1157" s="256"/>
      <c r="B1157" s="256"/>
      <c r="C1157" s="256"/>
      <c r="D1157" s="256"/>
      <c r="E1157" s="256"/>
      <c r="F1157" s="256"/>
      <c r="G1157" s="256"/>
      <c r="H1157" s="256"/>
      <c r="I1157" s="256"/>
      <c r="J1157" s="256"/>
      <c r="K1157" s="256"/>
    </row>
    <row r="1158" spans="1:11" ht="12.75" x14ac:dyDescent="0.35">
      <c r="A1158" s="256"/>
      <c r="B1158" s="256"/>
      <c r="C1158" s="256"/>
      <c r="D1158" s="256"/>
      <c r="E1158" s="256"/>
      <c r="F1158" s="256"/>
      <c r="G1158" s="256"/>
      <c r="H1158" s="256"/>
      <c r="I1158" s="256"/>
      <c r="J1158" s="256"/>
      <c r="K1158" s="256"/>
    </row>
    <row r="1159" spans="1:11" ht="12.75" x14ac:dyDescent="0.35">
      <c r="A1159" s="256"/>
      <c r="B1159" s="256"/>
      <c r="C1159" s="256"/>
      <c r="D1159" s="256"/>
      <c r="E1159" s="256"/>
      <c r="F1159" s="256"/>
      <c r="G1159" s="256"/>
      <c r="H1159" s="256"/>
      <c r="I1159" s="256"/>
      <c r="J1159" s="256"/>
      <c r="K1159" s="256"/>
    </row>
    <row r="1160" spans="1:11" ht="12.75" x14ac:dyDescent="0.35">
      <c r="A1160" s="256"/>
      <c r="B1160" s="256"/>
      <c r="C1160" s="256"/>
      <c r="D1160" s="256"/>
      <c r="E1160" s="256"/>
      <c r="F1160" s="256"/>
      <c r="G1160" s="256"/>
      <c r="H1160" s="256"/>
      <c r="I1160" s="256"/>
      <c r="J1160" s="256"/>
      <c r="K1160" s="256"/>
    </row>
    <row r="1161" spans="1:11" ht="12.75" x14ac:dyDescent="0.35">
      <c r="A1161" s="256"/>
      <c r="B1161" s="256"/>
      <c r="C1161" s="256"/>
      <c r="D1161" s="256"/>
      <c r="E1161" s="256"/>
      <c r="F1161" s="256"/>
      <c r="G1161" s="256"/>
      <c r="H1161" s="256"/>
      <c r="I1161" s="256"/>
      <c r="J1161" s="256"/>
      <c r="K1161" s="256"/>
    </row>
    <row r="1162" spans="1:11" ht="12.75" x14ac:dyDescent="0.35">
      <c r="A1162" s="256"/>
      <c r="B1162" s="256"/>
      <c r="C1162" s="256"/>
      <c r="D1162" s="256"/>
      <c r="E1162" s="256"/>
      <c r="F1162" s="256"/>
      <c r="G1162" s="256"/>
      <c r="H1162" s="256"/>
      <c r="I1162" s="256"/>
      <c r="J1162" s="256"/>
      <c r="K1162" s="256"/>
    </row>
    <row r="1163" spans="1:11" ht="12.75" x14ac:dyDescent="0.35">
      <c r="A1163" s="256"/>
      <c r="B1163" s="256"/>
      <c r="C1163" s="256"/>
      <c r="D1163" s="256"/>
      <c r="E1163" s="256"/>
      <c r="F1163" s="256"/>
      <c r="G1163" s="256"/>
      <c r="H1163" s="256"/>
      <c r="I1163" s="256"/>
      <c r="J1163" s="256"/>
      <c r="K1163" s="256"/>
    </row>
    <row r="1164" spans="1:11" ht="12.75" x14ac:dyDescent="0.35">
      <c r="A1164" s="256"/>
      <c r="B1164" s="256"/>
      <c r="C1164" s="256"/>
      <c r="D1164" s="256"/>
      <c r="E1164" s="256"/>
      <c r="F1164" s="256"/>
      <c r="G1164" s="256"/>
      <c r="H1164" s="256"/>
      <c r="I1164" s="256"/>
      <c r="J1164" s="256"/>
      <c r="K1164" s="256"/>
    </row>
    <row r="1165" spans="1:11" ht="12.75" x14ac:dyDescent="0.35">
      <c r="A1165" s="256"/>
      <c r="B1165" s="256"/>
      <c r="C1165" s="256"/>
      <c r="D1165" s="256"/>
      <c r="E1165" s="256"/>
      <c r="F1165" s="256"/>
      <c r="G1165" s="256"/>
      <c r="H1165" s="256"/>
      <c r="I1165" s="256"/>
      <c r="J1165" s="256"/>
      <c r="K1165" s="256"/>
    </row>
    <row r="1166" spans="1:11" ht="12.75" x14ac:dyDescent="0.35">
      <c r="A1166" s="256"/>
      <c r="B1166" s="256"/>
      <c r="C1166" s="256"/>
      <c r="D1166" s="256"/>
      <c r="E1166" s="256"/>
      <c r="F1166" s="256"/>
      <c r="G1166" s="256"/>
      <c r="H1166" s="256"/>
      <c r="I1166" s="256"/>
      <c r="J1166" s="256"/>
      <c r="K1166" s="256"/>
    </row>
    <row r="1167" spans="1:11" ht="12.75" x14ac:dyDescent="0.35">
      <c r="A1167" s="256"/>
      <c r="B1167" s="256"/>
      <c r="C1167" s="256"/>
      <c r="D1167" s="256"/>
      <c r="E1167" s="256"/>
      <c r="F1167" s="256"/>
      <c r="G1167" s="256"/>
      <c r="H1167" s="256"/>
      <c r="I1167" s="256"/>
      <c r="J1167" s="256"/>
      <c r="K1167" s="256"/>
    </row>
    <row r="1168" spans="1:11" ht="12.75" x14ac:dyDescent="0.35">
      <c r="A1168" s="256"/>
      <c r="B1168" s="256"/>
      <c r="C1168" s="256"/>
      <c r="D1168" s="256"/>
      <c r="E1168" s="256"/>
      <c r="F1168" s="256"/>
      <c r="G1168" s="256"/>
      <c r="H1168" s="256"/>
      <c r="I1168" s="256"/>
      <c r="J1168" s="256"/>
      <c r="K1168" s="256"/>
    </row>
    <row r="1169" spans="1:11" ht="12.75" x14ac:dyDescent="0.35">
      <c r="A1169" s="256"/>
      <c r="B1169" s="256"/>
      <c r="C1169" s="256"/>
      <c r="D1169" s="256"/>
      <c r="E1169" s="256"/>
      <c r="F1169" s="256"/>
      <c r="G1169" s="256"/>
      <c r="H1169" s="256"/>
      <c r="I1169" s="256"/>
      <c r="J1169" s="256"/>
      <c r="K1169" s="256"/>
    </row>
    <row r="1170" spans="1:11" ht="12.75" x14ac:dyDescent="0.35">
      <c r="A1170" s="256"/>
      <c r="B1170" s="256"/>
      <c r="C1170" s="256"/>
      <c r="D1170" s="256"/>
      <c r="E1170" s="256"/>
      <c r="F1170" s="256"/>
      <c r="G1170" s="256"/>
      <c r="H1170" s="256"/>
      <c r="I1170" s="256"/>
      <c r="J1170" s="256"/>
      <c r="K1170" s="256"/>
    </row>
    <row r="1171" spans="1:11" ht="12.75" x14ac:dyDescent="0.35">
      <c r="A1171" s="256"/>
      <c r="B1171" s="256"/>
      <c r="C1171" s="256"/>
      <c r="D1171" s="256"/>
      <c r="E1171" s="256"/>
      <c r="F1171" s="256"/>
      <c r="G1171" s="256"/>
      <c r="H1171" s="256"/>
      <c r="I1171" s="256"/>
      <c r="J1171" s="256"/>
      <c r="K1171" s="256"/>
    </row>
    <row r="1172" spans="1:11" ht="12.75" x14ac:dyDescent="0.35">
      <c r="A1172" s="256"/>
      <c r="B1172" s="256"/>
      <c r="C1172" s="256"/>
      <c r="D1172" s="256"/>
      <c r="E1172" s="256"/>
      <c r="F1172" s="256"/>
      <c r="G1172" s="256"/>
      <c r="H1172" s="256"/>
      <c r="I1172" s="256"/>
      <c r="J1172" s="256"/>
      <c r="K1172" s="256"/>
    </row>
    <row r="1173" spans="1:11" ht="12.75" x14ac:dyDescent="0.35">
      <c r="A1173" s="256"/>
      <c r="B1173" s="256"/>
      <c r="C1173" s="256"/>
      <c r="D1173" s="256"/>
      <c r="E1173" s="256"/>
      <c r="F1173" s="256"/>
      <c r="G1173" s="256"/>
      <c r="H1173" s="256"/>
      <c r="I1173" s="256"/>
      <c r="J1173" s="256"/>
      <c r="K1173" s="256"/>
    </row>
    <row r="1174" spans="1:11" ht="12.75" x14ac:dyDescent="0.35">
      <c r="A1174" s="256"/>
      <c r="B1174" s="256"/>
      <c r="C1174" s="256"/>
      <c r="D1174" s="256"/>
      <c r="E1174" s="256"/>
      <c r="F1174" s="256"/>
      <c r="G1174" s="256"/>
      <c r="H1174" s="256"/>
      <c r="I1174" s="256"/>
      <c r="J1174" s="256"/>
      <c r="K1174" s="256"/>
    </row>
    <row r="1175" spans="1:11" ht="12.75" x14ac:dyDescent="0.35">
      <c r="A1175" s="256"/>
      <c r="B1175" s="256"/>
      <c r="C1175" s="256"/>
      <c r="D1175" s="256"/>
      <c r="E1175" s="256"/>
      <c r="F1175" s="256"/>
      <c r="G1175" s="256"/>
      <c r="H1175" s="256"/>
      <c r="I1175" s="256"/>
      <c r="J1175" s="256"/>
      <c r="K1175" s="256"/>
    </row>
    <row r="1176" spans="1:11" ht="12.75" x14ac:dyDescent="0.35">
      <c r="A1176" s="256"/>
      <c r="B1176" s="256"/>
      <c r="C1176" s="256"/>
      <c r="D1176" s="256"/>
      <c r="E1176" s="256"/>
      <c r="F1176" s="256"/>
      <c r="G1176" s="256"/>
      <c r="H1176" s="256"/>
      <c r="I1176" s="256"/>
      <c r="J1176" s="256"/>
      <c r="K1176" s="256"/>
    </row>
    <row r="1177" spans="1:11" ht="12.75" x14ac:dyDescent="0.35">
      <c r="A1177" s="256"/>
      <c r="B1177" s="256"/>
      <c r="C1177" s="256"/>
      <c r="D1177" s="256"/>
      <c r="E1177" s="256"/>
      <c r="F1177" s="256"/>
      <c r="G1177" s="256"/>
      <c r="H1177" s="256"/>
      <c r="I1177" s="256"/>
      <c r="J1177" s="256"/>
      <c r="K1177" s="256"/>
    </row>
    <row r="1178" spans="1:11" ht="12.75" x14ac:dyDescent="0.35">
      <c r="A1178" s="256"/>
      <c r="B1178" s="256"/>
      <c r="C1178" s="256"/>
      <c r="D1178" s="256"/>
      <c r="E1178" s="256"/>
      <c r="F1178" s="256"/>
      <c r="G1178" s="256"/>
      <c r="H1178" s="256"/>
      <c r="I1178" s="256"/>
      <c r="J1178" s="256"/>
      <c r="K1178" s="256"/>
    </row>
    <row r="1179" spans="1:11" ht="12.75" x14ac:dyDescent="0.35">
      <c r="A1179" s="256"/>
      <c r="B1179" s="256"/>
      <c r="C1179" s="256"/>
      <c r="D1179" s="256"/>
      <c r="E1179" s="256"/>
      <c r="F1179" s="256"/>
      <c r="G1179" s="256"/>
      <c r="H1179" s="256"/>
      <c r="I1179" s="256"/>
      <c r="J1179" s="256"/>
      <c r="K1179" s="256"/>
    </row>
    <row r="1180" spans="1:11" ht="12.75" x14ac:dyDescent="0.35">
      <c r="A1180" s="256"/>
      <c r="B1180" s="256"/>
      <c r="C1180" s="256"/>
      <c r="D1180" s="256"/>
      <c r="E1180" s="256"/>
      <c r="F1180" s="256"/>
      <c r="G1180" s="256"/>
      <c r="H1180" s="256"/>
      <c r="I1180" s="256"/>
      <c r="J1180" s="256"/>
      <c r="K1180" s="256"/>
    </row>
    <row r="1181" spans="1:11" ht="12.75" x14ac:dyDescent="0.35">
      <c r="A1181" s="256"/>
      <c r="B1181" s="256"/>
      <c r="C1181" s="256"/>
      <c r="D1181" s="256"/>
      <c r="E1181" s="256"/>
      <c r="F1181" s="256"/>
      <c r="G1181" s="256"/>
      <c r="H1181" s="256"/>
      <c r="I1181" s="256"/>
      <c r="J1181" s="256"/>
      <c r="K1181" s="256"/>
    </row>
    <row r="1182" spans="1:11" ht="12.75" x14ac:dyDescent="0.35">
      <c r="A1182" s="256"/>
      <c r="B1182" s="256"/>
      <c r="C1182" s="256"/>
      <c r="D1182" s="256"/>
      <c r="E1182" s="256"/>
      <c r="F1182" s="256"/>
      <c r="G1182" s="256"/>
      <c r="H1182" s="256"/>
      <c r="I1182" s="256"/>
      <c r="J1182" s="256"/>
      <c r="K1182" s="256"/>
    </row>
    <row r="1183" spans="1:11" ht="12.75" x14ac:dyDescent="0.35">
      <c r="A1183" s="256"/>
      <c r="B1183" s="256"/>
      <c r="C1183" s="256"/>
      <c r="D1183" s="256"/>
      <c r="E1183" s="256"/>
      <c r="F1183" s="256"/>
      <c r="G1183" s="256"/>
      <c r="H1183" s="256"/>
      <c r="I1183" s="256"/>
      <c r="J1183" s="256"/>
      <c r="K1183" s="256"/>
    </row>
    <row r="1184" spans="1:11" ht="12.75" x14ac:dyDescent="0.35">
      <c r="A1184" s="256"/>
      <c r="B1184" s="256"/>
      <c r="C1184" s="256"/>
      <c r="D1184" s="256"/>
      <c r="E1184" s="256"/>
      <c r="F1184" s="256"/>
      <c r="G1184" s="256"/>
      <c r="H1184" s="256"/>
      <c r="I1184" s="256"/>
      <c r="J1184" s="256"/>
      <c r="K1184" s="256"/>
    </row>
    <row r="1185" spans="1:11" ht="12.75" x14ac:dyDescent="0.35">
      <c r="A1185" s="256"/>
      <c r="B1185" s="256"/>
      <c r="C1185" s="256"/>
      <c r="D1185" s="256"/>
      <c r="E1185" s="256"/>
      <c r="F1185" s="256"/>
      <c r="G1185" s="256"/>
      <c r="H1185" s="256"/>
      <c r="I1185" s="256"/>
      <c r="J1185" s="256"/>
      <c r="K1185" s="256"/>
    </row>
    <row r="1186" spans="1:11" ht="12.75" x14ac:dyDescent="0.35">
      <c r="A1186" s="256"/>
      <c r="B1186" s="256"/>
      <c r="C1186" s="256"/>
      <c r="D1186" s="256"/>
      <c r="E1186" s="256"/>
      <c r="F1186" s="256"/>
      <c r="G1186" s="256"/>
      <c r="H1186" s="256"/>
      <c r="I1186" s="256"/>
      <c r="J1186" s="256"/>
      <c r="K1186" s="256"/>
    </row>
    <row r="1187" spans="1:11" ht="12.75" x14ac:dyDescent="0.35">
      <c r="A1187" s="256"/>
      <c r="B1187" s="256"/>
      <c r="C1187" s="256"/>
      <c r="D1187" s="256"/>
      <c r="E1187" s="256"/>
      <c r="F1187" s="256"/>
      <c r="G1187" s="256"/>
      <c r="H1187" s="256"/>
      <c r="I1187" s="256"/>
      <c r="J1187" s="256"/>
      <c r="K1187" s="256"/>
    </row>
    <row r="1188" spans="1:11" ht="12.75" x14ac:dyDescent="0.35">
      <c r="A1188" s="256"/>
      <c r="B1188" s="256"/>
      <c r="C1188" s="256"/>
      <c r="D1188" s="256"/>
      <c r="E1188" s="256"/>
      <c r="F1188" s="256"/>
      <c r="G1188" s="256"/>
      <c r="H1188" s="256"/>
      <c r="I1188" s="256"/>
      <c r="J1188" s="256"/>
      <c r="K1188" s="256"/>
    </row>
    <row r="1189" spans="1:11" ht="12.75" x14ac:dyDescent="0.35">
      <c r="A1189" s="256"/>
      <c r="B1189" s="256"/>
      <c r="C1189" s="256"/>
      <c r="D1189" s="256"/>
      <c r="E1189" s="256"/>
      <c r="F1189" s="256"/>
      <c r="G1189" s="256"/>
      <c r="H1189" s="256"/>
      <c r="I1189" s="256"/>
      <c r="J1189" s="256"/>
      <c r="K1189" s="256"/>
    </row>
    <row r="1190" spans="1:11" ht="12.75" x14ac:dyDescent="0.35">
      <c r="A1190" s="256"/>
      <c r="B1190" s="256"/>
      <c r="C1190" s="256"/>
      <c r="D1190" s="256"/>
      <c r="E1190" s="256"/>
      <c r="F1190" s="256"/>
      <c r="G1190" s="256"/>
      <c r="H1190" s="256"/>
      <c r="I1190" s="256"/>
      <c r="J1190" s="256"/>
      <c r="K1190" s="256"/>
    </row>
    <row r="1191" spans="1:11" ht="12.75" x14ac:dyDescent="0.35">
      <c r="A1191" s="256"/>
      <c r="B1191" s="256"/>
      <c r="C1191" s="256"/>
      <c r="D1191" s="256"/>
      <c r="E1191" s="256"/>
      <c r="F1191" s="256"/>
      <c r="G1191" s="256"/>
      <c r="H1191" s="256"/>
      <c r="I1191" s="256"/>
      <c r="J1191" s="256"/>
      <c r="K1191" s="256"/>
    </row>
    <row r="1192" spans="1:11" ht="12.75" x14ac:dyDescent="0.35">
      <c r="A1192" s="256"/>
      <c r="B1192" s="256"/>
      <c r="C1192" s="256"/>
      <c r="D1192" s="256"/>
      <c r="E1192" s="256"/>
      <c r="F1192" s="256"/>
      <c r="G1192" s="256"/>
      <c r="H1192" s="256"/>
      <c r="I1192" s="256"/>
      <c r="J1192" s="256"/>
      <c r="K1192" s="256"/>
    </row>
    <row r="1193" spans="1:11" ht="12.75" x14ac:dyDescent="0.35">
      <c r="A1193" s="256"/>
      <c r="B1193" s="256"/>
      <c r="C1193" s="256"/>
      <c r="D1193" s="256"/>
      <c r="E1193" s="256"/>
      <c r="F1193" s="256"/>
      <c r="G1193" s="256"/>
      <c r="H1193" s="256"/>
      <c r="I1193" s="256"/>
      <c r="J1193" s="256"/>
      <c r="K1193" s="256"/>
    </row>
    <row r="1194" spans="1:11" ht="12.75" x14ac:dyDescent="0.35">
      <c r="A1194" s="256"/>
      <c r="B1194" s="256"/>
      <c r="C1194" s="256"/>
      <c r="D1194" s="256"/>
      <c r="E1194" s="256"/>
      <c r="F1194" s="256"/>
      <c r="G1194" s="256"/>
      <c r="H1194" s="256"/>
      <c r="I1194" s="256"/>
      <c r="J1194" s="256"/>
      <c r="K1194" s="256"/>
    </row>
    <row r="1195" spans="1:11" ht="12.75" x14ac:dyDescent="0.35">
      <c r="A1195" s="256"/>
      <c r="B1195" s="256"/>
      <c r="C1195" s="256"/>
      <c r="D1195" s="256"/>
      <c r="E1195" s="256"/>
      <c r="F1195" s="256"/>
      <c r="G1195" s="256"/>
      <c r="H1195" s="256"/>
      <c r="I1195" s="256"/>
      <c r="J1195" s="256"/>
      <c r="K1195" s="256"/>
    </row>
    <row r="1196" spans="1:11" ht="12.75" x14ac:dyDescent="0.35">
      <c r="A1196" s="256"/>
      <c r="B1196" s="256"/>
      <c r="C1196" s="256"/>
      <c r="D1196" s="256"/>
      <c r="E1196" s="256"/>
      <c r="F1196" s="256"/>
      <c r="G1196" s="256"/>
      <c r="H1196" s="256"/>
      <c r="I1196" s="256"/>
      <c r="J1196" s="256"/>
      <c r="K1196" s="256"/>
    </row>
    <row r="1197" spans="1:11" ht="12.75" x14ac:dyDescent="0.35">
      <c r="A1197" s="256"/>
      <c r="B1197" s="256"/>
      <c r="C1197" s="256"/>
      <c r="D1197" s="256"/>
      <c r="E1197" s="256"/>
      <c r="F1197" s="256"/>
      <c r="G1197" s="256"/>
      <c r="H1197" s="256"/>
      <c r="I1197" s="256"/>
      <c r="J1197" s="256"/>
      <c r="K1197" s="256"/>
    </row>
    <row r="1198" spans="1:11" ht="12.75" x14ac:dyDescent="0.35">
      <c r="A1198" s="256"/>
      <c r="B1198" s="256"/>
      <c r="C1198" s="256"/>
      <c r="D1198" s="256"/>
      <c r="E1198" s="256"/>
      <c r="F1198" s="256"/>
      <c r="G1198" s="256"/>
      <c r="H1198" s="256"/>
      <c r="I1198" s="256"/>
      <c r="J1198" s="256"/>
      <c r="K1198" s="256"/>
    </row>
    <row r="1199" spans="1:11" ht="12.75" x14ac:dyDescent="0.35">
      <c r="A1199" s="256"/>
      <c r="B1199" s="256"/>
      <c r="C1199" s="256"/>
      <c r="D1199" s="256"/>
      <c r="E1199" s="256"/>
      <c r="F1199" s="256"/>
      <c r="G1199" s="256"/>
      <c r="H1199" s="256"/>
      <c r="I1199" s="256"/>
      <c r="J1199" s="256"/>
      <c r="K1199" s="256"/>
    </row>
    <row r="1200" spans="1:11" ht="12.75" x14ac:dyDescent="0.35">
      <c r="A1200" s="256"/>
      <c r="B1200" s="256"/>
      <c r="C1200" s="256"/>
      <c r="D1200" s="256"/>
      <c r="E1200" s="256"/>
      <c r="F1200" s="256"/>
      <c r="G1200" s="256"/>
      <c r="H1200" s="256"/>
      <c r="I1200" s="256"/>
      <c r="J1200" s="256"/>
      <c r="K1200" s="256"/>
    </row>
    <row r="1201" spans="1:11" ht="12.75" x14ac:dyDescent="0.35">
      <c r="A1201" s="256"/>
      <c r="B1201" s="256"/>
      <c r="C1201" s="256"/>
      <c r="D1201" s="256"/>
      <c r="E1201" s="256"/>
      <c r="F1201" s="256"/>
      <c r="G1201" s="256"/>
      <c r="H1201" s="256"/>
      <c r="I1201" s="256"/>
      <c r="J1201" s="256"/>
      <c r="K1201" s="256"/>
    </row>
    <row r="1202" spans="1:11" ht="12.75" x14ac:dyDescent="0.35">
      <c r="A1202" s="256"/>
      <c r="B1202" s="256"/>
      <c r="C1202" s="256"/>
      <c r="D1202" s="256"/>
      <c r="E1202" s="256"/>
      <c r="F1202" s="256"/>
      <c r="G1202" s="256"/>
      <c r="H1202" s="256"/>
      <c r="I1202" s="256"/>
      <c r="J1202" s="256"/>
      <c r="K1202" s="256"/>
    </row>
    <row r="1203" spans="1:11" ht="12.75" x14ac:dyDescent="0.35">
      <c r="A1203" s="256"/>
      <c r="B1203" s="256"/>
      <c r="C1203" s="256"/>
      <c r="D1203" s="256"/>
      <c r="E1203" s="256"/>
      <c r="F1203" s="256"/>
      <c r="G1203" s="256"/>
      <c r="H1203" s="256"/>
      <c r="I1203" s="256"/>
      <c r="J1203" s="256"/>
      <c r="K1203" s="256"/>
    </row>
    <row r="1204" spans="1:11" ht="12.75" x14ac:dyDescent="0.35">
      <c r="A1204" s="256"/>
      <c r="B1204" s="256"/>
      <c r="C1204" s="256"/>
      <c r="D1204" s="256"/>
      <c r="E1204" s="256"/>
      <c r="F1204" s="256"/>
      <c r="G1204" s="256"/>
      <c r="H1204" s="256"/>
      <c r="I1204" s="256"/>
      <c r="J1204" s="256"/>
      <c r="K1204" s="256"/>
    </row>
    <row r="1205" spans="1:11" ht="12.75" x14ac:dyDescent="0.35">
      <c r="A1205" s="256"/>
      <c r="B1205" s="256"/>
      <c r="C1205" s="256"/>
      <c r="D1205" s="256"/>
      <c r="E1205" s="256"/>
      <c r="F1205" s="256"/>
      <c r="G1205" s="256"/>
      <c r="H1205" s="256"/>
      <c r="I1205" s="256"/>
      <c r="J1205" s="256"/>
      <c r="K1205" s="256"/>
    </row>
    <row r="1206" spans="1:11" ht="12.75" x14ac:dyDescent="0.35">
      <c r="A1206" s="256"/>
      <c r="B1206" s="256"/>
      <c r="C1206" s="256"/>
      <c r="D1206" s="256"/>
      <c r="E1206" s="256"/>
      <c r="F1206" s="256"/>
      <c r="G1206" s="256"/>
      <c r="H1206" s="256"/>
      <c r="I1206" s="256"/>
      <c r="J1206" s="256"/>
      <c r="K1206" s="256"/>
    </row>
    <row r="1207" spans="1:11" ht="12.75" x14ac:dyDescent="0.35">
      <c r="A1207" s="256"/>
      <c r="B1207" s="256"/>
      <c r="C1207" s="256"/>
      <c r="D1207" s="256"/>
      <c r="E1207" s="256"/>
      <c r="F1207" s="256"/>
      <c r="G1207" s="256"/>
      <c r="H1207" s="256"/>
      <c r="I1207" s="256"/>
      <c r="J1207" s="256"/>
      <c r="K1207" s="256"/>
    </row>
    <row r="1208" spans="1:11" ht="12.75" x14ac:dyDescent="0.35">
      <c r="A1208" s="256"/>
      <c r="B1208" s="256"/>
      <c r="C1208" s="256"/>
      <c r="D1208" s="256"/>
      <c r="E1208" s="256"/>
      <c r="F1208" s="256"/>
      <c r="G1208" s="256"/>
      <c r="H1208" s="256"/>
      <c r="I1208" s="256"/>
      <c r="J1208" s="256"/>
      <c r="K1208" s="256"/>
    </row>
    <row r="1209" spans="1:11" ht="12.75" x14ac:dyDescent="0.35">
      <c r="A1209" s="256"/>
      <c r="B1209" s="256"/>
      <c r="C1209" s="256"/>
      <c r="D1209" s="256"/>
      <c r="E1209" s="256"/>
      <c r="F1209" s="256"/>
      <c r="G1209" s="256"/>
      <c r="H1209" s="256"/>
      <c r="I1209" s="256"/>
      <c r="J1209" s="256"/>
      <c r="K1209" s="256"/>
    </row>
    <row r="1210" spans="1:11" ht="12.75" x14ac:dyDescent="0.35">
      <c r="A1210" s="256"/>
      <c r="B1210" s="256"/>
      <c r="C1210" s="256"/>
      <c r="D1210" s="256"/>
      <c r="E1210" s="256"/>
      <c r="F1210" s="256"/>
      <c r="G1210" s="256"/>
      <c r="H1210" s="256"/>
      <c r="I1210" s="256"/>
      <c r="J1210" s="256"/>
      <c r="K1210" s="256"/>
    </row>
    <row r="1211" spans="1:11" ht="12.75" x14ac:dyDescent="0.35">
      <c r="A1211" s="256"/>
      <c r="B1211" s="256"/>
      <c r="C1211" s="256"/>
      <c r="D1211" s="256"/>
      <c r="E1211" s="256"/>
      <c r="F1211" s="256"/>
      <c r="G1211" s="256"/>
      <c r="H1211" s="256"/>
      <c r="I1211" s="256"/>
      <c r="J1211" s="256"/>
      <c r="K1211" s="256"/>
    </row>
    <row r="1212" spans="1:11" ht="12.75" x14ac:dyDescent="0.35">
      <c r="A1212" s="256"/>
      <c r="B1212" s="256"/>
      <c r="C1212" s="256"/>
      <c r="D1212" s="256"/>
      <c r="E1212" s="256"/>
      <c r="F1212" s="256"/>
      <c r="G1212" s="256"/>
      <c r="H1212" s="256"/>
      <c r="I1212" s="256"/>
      <c r="J1212" s="256"/>
      <c r="K1212" s="256"/>
    </row>
    <row r="1213" spans="1:11" ht="12.75" x14ac:dyDescent="0.35">
      <c r="A1213" s="256"/>
      <c r="B1213" s="256"/>
      <c r="C1213" s="256"/>
      <c r="D1213" s="256"/>
      <c r="E1213" s="256"/>
      <c r="F1213" s="256"/>
      <c r="G1213" s="256"/>
      <c r="H1213" s="256"/>
      <c r="I1213" s="256"/>
      <c r="J1213" s="256"/>
      <c r="K1213" s="256"/>
    </row>
    <row r="1214" spans="1:11" ht="12.75" x14ac:dyDescent="0.35">
      <c r="A1214" s="256"/>
      <c r="B1214" s="256"/>
      <c r="C1214" s="256"/>
      <c r="D1214" s="256"/>
      <c r="E1214" s="256"/>
      <c r="F1214" s="256"/>
      <c r="G1214" s="256"/>
      <c r="H1214" s="256"/>
      <c r="I1214" s="256"/>
      <c r="J1214" s="256"/>
      <c r="K1214" s="256"/>
    </row>
    <row r="1215" spans="1:11" ht="12.75" x14ac:dyDescent="0.35">
      <c r="A1215" s="256"/>
      <c r="B1215" s="256"/>
      <c r="C1215" s="256"/>
      <c r="D1215" s="256"/>
      <c r="E1215" s="256"/>
      <c r="F1215" s="256"/>
      <c r="G1215" s="256"/>
      <c r="H1215" s="256"/>
      <c r="I1215" s="256"/>
      <c r="J1215" s="256"/>
      <c r="K1215" s="256"/>
    </row>
    <row r="1216" spans="1:11" ht="12.75" x14ac:dyDescent="0.35">
      <c r="A1216" s="256"/>
      <c r="B1216" s="256"/>
      <c r="C1216" s="256"/>
      <c r="D1216" s="256"/>
      <c r="E1216" s="256"/>
      <c r="F1216" s="256"/>
      <c r="G1216" s="256"/>
      <c r="H1216" s="256"/>
      <c r="I1216" s="256"/>
      <c r="J1216" s="256"/>
      <c r="K1216" s="256"/>
    </row>
    <row r="1217" spans="1:11" ht="12.75" x14ac:dyDescent="0.35">
      <c r="A1217" s="256"/>
      <c r="B1217" s="256"/>
      <c r="C1217" s="256"/>
      <c r="D1217" s="256"/>
      <c r="E1217" s="256"/>
      <c r="F1217" s="256"/>
      <c r="G1217" s="256"/>
      <c r="H1217" s="256"/>
      <c r="I1217" s="256"/>
      <c r="J1217" s="256"/>
      <c r="K1217" s="256"/>
    </row>
    <row r="1218" spans="1:11" ht="12.75" x14ac:dyDescent="0.35">
      <c r="A1218" s="256"/>
      <c r="B1218" s="256"/>
      <c r="C1218" s="256"/>
      <c r="D1218" s="256"/>
      <c r="E1218" s="256"/>
      <c r="F1218" s="256"/>
      <c r="G1218" s="256"/>
      <c r="H1218" s="256"/>
      <c r="I1218" s="256"/>
      <c r="J1218" s="256"/>
      <c r="K1218" s="256"/>
    </row>
    <row r="1219" spans="1:11" ht="12.75" x14ac:dyDescent="0.35">
      <c r="A1219" s="256"/>
      <c r="B1219" s="256"/>
      <c r="C1219" s="256"/>
      <c r="D1219" s="256"/>
      <c r="E1219" s="256"/>
      <c r="F1219" s="256"/>
      <c r="G1219" s="256"/>
      <c r="H1219" s="256"/>
      <c r="I1219" s="256"/>
      <c r="J1219" s="256"/>
      <c r="K1219" s="256"/>
    </row>
    <row r="1220" spans="1:11" ht="12.75" x14ac:dyDescent="0.35">
      <c r="A1220" s="256"/>
      <c r="B1220" s="256"/>
      <c r="C1220" s="256"/>
      <c r="D1220" s="256"/>
      <c r="E1220" s="256"/>
      <c r="F1220" s="256"/>
      <c r="G1220" s="256"/>
      <c r="H1220" s="256"/>
      <c r="I1220" s="256"/>
      <c r="J1220" s="256"/>
      <c r="K1220" s="256"/>
    </row>
    <row r="1221" spans="1:11" ht="12.75" x14ac:dyDescent="0.35">
      <c r="A1221" s="256"/>
      <c r="B1221" s="256"/>
      <c r="C1221" s="256"/>
      <c r="D1221" s="256"/>
      <c r="E1221" s="256"/>
      <c r="F1221" s="256"/>
      <c r="G1221" s="256"/>
      <c r="H1221" s="256"/>
      <c r="I1221" s="256"/>
      <c r="J1221" s="256"/>
      <c r="K1221" s="256"/>
    </row>
    <row r="1222" spans="1:11" ht="12.75" x14ac:dyDescent="0.35">
      <c r="A1222" s="256"/>
      <c r="B1222" s="256"/>
      <c r="C1222" s="256"/>
      <c r="D1222" s="256"/>
      <c r="E1222" s="256"/>
      <c r="F1222" s="256"/>
      <c r="G1222" s="256"/>
      <c r="H1222" s="256"/>
      <c r="I1222" s="256"/>
      <c r="J1222" s="256"/>
      <c r="K1222" s="256"/>
    </row>
    <row r="1223" spans="1:11" ht="12.75" x14ac:dyDescent="0.35">
      <c r="A1223" s="256"/>
      <c r="B1223" s="256"/>
      <c r="C1223" s="256"/>
      <c r="D1223" s="256"/>
      <c r="E1223" s="256"/>
      <c r="F1223" s="256"/>
      <c r="G1223" s="256"/>
      <c r="H1223" s="256"/>
      <c r="I1223" s="256"/>
      <c r="J1223" s="256"/>
      <c r="K1223" s="256"/>
    </row>
    <row r="1224" spans="1:11" ht="12.75" x14ac:dyDescent="0.35">
      <c r="A1224" s="256"/>
      <c r="B1224" s="256"/>
      <c r="C1224" s="256"/>
      <c r="D1224" s="256"/>
      <c r="E1224" s="256"/>
      <c r="F1224" s="256"/>
      <c r="G1224" s="256"/>
      <c r="H1224" s="256"/>
      <c r="I1224" s="256"/>
      <c r="J1224" s="256"/>
      <c r="K1224" s="256"/>
    </row>
    <row r="1225" spans="1:11" ht="12.75" x14ac:dyDescent="0.35">
      <c r="A1225" s="256"/>
      <c r="B1225" s="256"/>
      <c r="C1225" s="256"/>
      <c r="D1225" s="256"/>
      <c r="E1225" s="256"/>
      <c r="F1225" s="256"/>
      <c r="G1225" s="256"/>
      <c r="H1225" s="256"/>
      <c r="I1225" s="256"/>
      <c r="J1225" s="256"/>
      <c r="K1225" s="256"/>
    </row>
    <row r="1226" spans="1:11" ht="12.75" x14ac:dyDescent="0.35">
      <c r="A1226" s="256"/>
      <c r="B1226" s="256"/>
      <c r="C1226" s="256"/>
      <c r="D1226" s="256"/>
      <c r="E1226" s="256"/>
      <c r="F1226" s="256"/>
      <c r="G1226" s="256"/>
      <c r="H1226" s="256"/>
      <c r="I1226" s="256"/>
      <c r="J1226" s="256"/>
      <c r="K1226" s="256"/>
    </row>
    <row r="1227" spans="1:11" ht="12.75" x14ac:dyDescent="0.35">
      <c r="A1227" s="256"/>
      <c r="B1227" s="256"/>
      <c r="C1227" s="256"/>
      <c r="D1227" s="256"/>
      <c r="E1227" s="256"/>
      <c r="F1227" s="256"/>
      <c r="G1227" s="256"/>
      <c r="H1227" s="256"/>
      <c r="I1227" s="256"/>
      <c r="J1227" s="256"/>
      <c r="K1227" s="256"/>
    </row>
    <row r="1228" spans="1:11" ht="12.75" x14ac:dyDescent="0.35">
      <c r="A1228" s="256"/>
      <c r="B1228" s="256"/>
      <c r="C1228" s="256"/>
      <c r="D1228" s="256"/>
      <c r="E1228" s="256"/>
      <c r="F1228" s="256"/>
      <c r="G1228" s="256"/>
      <c r="H1228" s="256"/>
      <c r="I1228" s="256"/>
      <c r="J1228" s="256"/>
      <c r="K1228" s="256"/>
    </row>
    <row r="1229" spans="1:11" ht="12.75" x14ac:dyDescent="0.35">
      <c r="A1229" s="256"/>
      <c r="B1229" s="256"/>
      <c r="C1229" s="256"/>
      <c r="D1229" s="256"/>
      <c r="E1229" s="256"/>
      <c r="F1229" s="256"/>
      <c r="G1229" s="256"/>
      <c r="H1229" s="256"/>
      <c r="I1229" s="256"/>
      <c r="J1229" s="256"/>
      <c r="K1229" s="256"/>
    </row>
    <row r="1230" spans="1:11" ht="12.75" x14ac:dyDescent="0.35">
      <c r="A1230" s="256"/>
      <c r="B1230" s="256"/>
      <c r="C1230" s="256"/>
      <c r="D1230" s="256"/>
      <c r="E1230" s="256"/>
      <c r="F1230" s="256"/>
      <c r="G1230" s="256"/>
      <c r="H1230" s="256"/>
      <c r="I1230" s="256"/>
      <c r="J1230" s="256"/>
      <c r="K1230" s="256"/>
    </row>
    <row r="1231" spans="1:11" ht="12.75" x14ac:dyDescent="0.35">
      <c r="A1231" s="256"/>
      <c r="B1231" s="256"/>
      <c r="C1231" s="256"/>
      <c r="D1231" s="256"/>
      <c r="E1231" s="256"/>
      <c r="F1231" s="256"/>
      <c r="G1231" s="256"/>
      <c r="H1231" s="256"/>
      <c r="I1231" s="256"/>
      <c r="J1231" s="256"/>
      <c r="K1231" s="256"/>
    </row>
    <row r="1232" spans="1:11" ht="12.75" x14ac:dyDescent="0.35">
      <c r="A1232" s="256"/>
      <c r="B1232" s="256"/>
      <c r="C1232" s="256"/>
      <c r="D1232" s="256"/>
      <c r="E1232" s="256"/>
      <c r="F1232" s="256"/>
      <c r="G1232" s="256"/>
      <c r="H1232" s="256"/>
      <c r="I1232" s="256"/>
      <c r="J1232" s="256"/>
      <c r="K1232" s="256"/>
    </row>
    <row r="1233" spans="1:11" ht="12.75" x14ac:dyDescent="0.35">
      <c r="A1233" s="256"/>
      <c r="B1233" s="256"/>
      <c r="C1233" s="256"/>
      <c r="D1233" s="256"/>
      <c r="E1233" s="256"/>
      <c r="F1233" s="256"/>
      <c r="G1233" s="256"/>
      <c r="H1233" s="256"/>
      <c r="I1233" s="256"/>
      <c r="J1233" s="256"/>
      <c r="K1233" s="256"/>
    </row>
    <row r="1234" spans="1:11" ht="12.75" x14ac:dyDescent="0.35">
      <c r="A1234" s="256"/>
      <c r="B1234" s="256"/>
      <c r="C1234" s="256"/>
      <c r="D1234" s="256"/>
      <c r="E1234" s="256"/>
      <c r="F1234" s="256"/>
      <c r="G1234" s="256"/>
      <c r="H1234" s="256"/>
      <c r="I1234" s="256"/>
      <c r="J1234" s="256"/>
      <c r="K1234" s="256"/>
    </row>
    <row r="1235" spans="1:11" ht="12.75" x14ac:dyDescent="0.35">
      <c r="A1235" s="256"/>
      <c r="B1235" s="256"/>
      <c r="C1235" s="256"/>
      <c r="D1235" s="256"/>
      <c r="E1235" s="256"/>
      <c r="F1235" s="256"/>
      <c r="G1235" s="256"/>
      <c r="H1235" s="256"/>
      <c r="I1235" s="256"/>
      <c r="J1235" s="256"/>
      <c r="K1235" s="256"/>
    </row>
    <row r="1236" spans="1:11" ht="12.75" x14ac:dyDescent="0.35">
      <c r="A1236" s="256"/>
      <c r="B1236" s="256"/>
      <c r="C1236" s="256"/>
      <c r="D1236" s="256"/>
      <c r="E1236" s="256"/>
      <c r="F1236" s="256"/>
      <c r="G1236" s="256"/>
      <c r="H1236" s="256"/>
      <c r="I1236" s="256"/>
      <c r="J1236" s="256"/>
      <c r="K1236" s="256"/>
    </row>
    <row r="1237" spans="1:11" ht="12.75" x14ac:dyDescent="0.35">
      <c r="A1237" s="256"/>
      <c r="B1237" s="256"/>
      <c r="C1237" s="256"/>
      <c r="D1237" s="256"/>
      <c r="E1237" s="256"/>
      <c r="F1237" s="256"/>
      <c r="G1237" s="256"/>
      <c r="H1237" s="256"/>
      <c r="I1237" s="256"/>
      <c r="J1237" s="256"/>
      <c r="K1237" s="256"/>
    </row>
    <row r="1238" spans="1:11" ht="12.75" x14ac:dyDescent="0.35">
      <c r="A1238" s="256"/>
      <c r="B1238" s="256"/>
      <c r="C1238" s="256"/>
      <c r="D1238" s="256"/>
      <c r="E1238" s="256"/>
      <c r="F1238" s="256"/>
      <c r="G1238" s="256"/>
      <c r="H1238" s="256"/>
      <c r="I1238" s="256"/>
      <c r="J1238" s="256"/>
      <c r="K1238" s="256"/>
    </row>
    <row r="1239" spans="1:11" ht="12.75" x14ac:dyDescent="0.35">
      <c r="A1239" s="256"/>
      <c r="B1239" s="256"/>
      <c r="C1239" s="256"/>
      <c r="D1239" s="256"/>
      <c r="E1239" s="256"/>
      <c r="F1239" s="256"/>
      <c r="G1239" s="256"/>
      <c r="H1239" s="256"/>
      <c r="I1239" s="256"/>
      <c r="J1239" s="256"/>
      <c r="K1239" s="256"/>
    </row>
    <row r="1240" spans="1:11" ht="12.75" x14ac:dyDescent="0.35">
      <c r="A1240" s="256"/>
      <c r="B1240" s="256"/>
      <c r="C1240" s="256"/>
      <c r="D1240" s="256"/>
      <c r="E1240" s="256"/>
      <c r="F1240" s="256"/>
      <c r="G1240" s="256"/>
      <c r="H1240" s="256"/>
      <c r="I1240" s="256"/>
      <c r="J1240" s="256"/>
      <c r="K1240" s="256"/>
    </row>
    <row r="1241" spans="1:11" ht="12.75" x14ac:dyDescent="0.35">
      <c r="A1241" s="256"/>
      <c r="B1241" s="256"/>
      <c r="C1241" s="256"/>
      <c r="D1241" s="256"/>
      <c r="E1241" s="256"/>
      <c r="F1241" s="256"/>
      <c r="G1241" s="256"/>
      <c r="H1241" s="256"/>
      <c r="I1241" s="256"/>
      <c r="J1241" s="256"/>
      <c r="K1241" s="256"/>
    </row>
    <row r="1242" spans="1:11" ht="12.75" x14ac:dyDescent="0.35">
      <c r="A1242" s="256"/>
      <c r="B1242" s="256"/>
      <c r="C1242" s="256"/>
      <c r="D1242" s="256"/>
      <c r="E1242" s="256"/>
      <c r="F1242" s="256"/>
      <c r="G1242" s="256"/>
      <c r="H1242" s="256"/>
      <c r="I1242" s="256"/>
      <c r="J1242" s="256"/>
      <c r="K1242" s="256"/>
    </row>
    <row r="1243" spans="1:11" ht="12.75" x14ac:dyDescent="0.35">
      <c r="A1243" s="256"/>
      <c r="B1243" s="256"/>
      <c r="C1243" s="256"/>
      <c r="D1243" s="256"/>
      <c r="E1243" s="256"/>
      <c r="F1243" s="256"/>
      <c r="G1243" s="256"/>
      <c r="H1243" s="256"/>
      <c r="I1243" s="256"/>
      <c r="J1243" s="256"/>
      <c r="K1243" s="256"/>
    </row>
    <row r="1244" spans="1:11" ht="12.75" x14ac:dyDescent="0.35">
      <c r="A1244" s="256"/>
      <c r="B1244" s="256"/>
      <c r="C1244" s="256"/>
      <c r="D1244" s="256"/>
      <c r="E1244" s="256"/>
      <c r="F1244" s="256"/>
      <c r="G1244" s="256"/>
      <c r="H1244" s="256"/>
      <c r="I1244" s="256"/>
      <c r="J1244" s="256"/>
      <c r="K1244" s="256"/>
    </row>
    <row r="1245" spans="1:11" ht="12.75" x14ac:dyDescent="0.35">
      <c r="A1245" s="256"/>
      <c r="B1245" s="256"/>
      <c r="C1245" s="256"/>
      <c r="D1245" s="256"/>
      <c r="E1245" s="256"/>
      <c r="F1245" s="256"/>
      <c r="G1245" s="256"/>
      <c r="H1245" s="256"/>
      <c r="I1245" s="256"/>
      <c r="J1245" s="256"/>
      <c r="K1245" s="256"/>
    </row>
    <row r="1246" spans="1:11" ht="12.75" x14ac:dyDescent="0.35">
      <c r="A1246" s="256"/>
      <c r="B1246" s="256"/>
      <c r="C1246" s="256"/>
      <c r="D1246" s="256"/>
      <c r="E1246" s="256"/>
      <c r="F1246" s="256"/>
      <c r="G1246" s="256"/>
      <c r="H1246" s="256"/>
      <c r="I1246" s="256"/>
      <c r="J1246" s="256"/>
      <c r="K1246" s="256"/>
    </row>
    <row r="1247" spans="1:11" ht="12.75" x14ac:dyDescent="0.35">
      <c r="A1247" s="256"/>
      <c r="B1247" s="256"/>
      <c r="C1247" s="256"/>
      <c r="D1247" s="256"/>
      <c r="E1247" s="256"/>
      <c r="F1247" s="256"/>
      <c r="G1247" s="256"/>
      <c r="H1247" s="256"/>
      <c r="I1247" s="256"/>
      <c r="J1247" s="256"/>
      <c r="K1247" s="256"/>
    </row>
    <row r="1248" spans="1:11" ht="12.75" x14ac:dyDescent="0.35">
      <c r="A1248" s="256"/>
      <c r="B1248" s="256"/>
      <c r="C1248" s="256"/>
      <c r="D1248" s="256"/>
      <c r="E1248" s="256"/>
      <c r="F1248" s="256"/>
      <c r="G1248" s="256"/>
      <c r="H1248" s="256"/>
      <c r="I1248" s="256"/>
      <c r="J1248" s="256"/>
      <c r="K1248" s="256"/>
    </row>
    <row r="1249" spans="1:11" ht="12.75" x14ac:dyDescent="0.35">
      <c r="A1249" s="256"/>
      <c r="B1249" s="256"/>
      <c r="C1249" s="256"/>
      <c r="D1249" s="256"/>
      <c r="E1249" s="256"/>
      <c r="F1249" s="256"/>
      <c r="G1249" s="256"/>
      <c r="H1249" s="256"/>
      <c r="I1249" s="256"/>
      <c r="J1249" s="256"/>
      <c r="K1249" s="256"/>
    </row>
    <row r="1250" spans="1:11" ht="12.75" x14ac:dyDescent="0.35">
      <c r="A1250" s="256"/>
      <c r="B1250" s="256"/>
      <c r="C1250" s="256"/>
      <c r="D1250" s="256"/>
      <c r="E1250" s="256"/>
      <c r="F1250" s="256"/>
      <c r="G1250" s="256"/>
      <c r="H1250" s="256"/>
      <c r="I1250" s="256"/>
      <c r="J1250" s="256"/>
      <c r="K1250" s="256"/>
    </row>
    <row r="1251" spans="1:11" ht="12.75" x14ac:dyDescent="0.35">
      <c r="A1251" s="256"/>
      <c r="B1251" s="256"/>
      <c r="C1251" s="256"/>
      <c r="D1251" s="256"/>
      <c r="E1251" s="256"/>
      <c r="F1251" s="256"/>
      <c r="G1251" s="256"/>
      <c r="H1251" s="256"/>
      <c r="I1251" s="256"/>
      <c r="J1251" s="256"/>
      <c r="K1251" s="256"/>
    </row>
    <row r="1252" spans="1:11" ht="12.75" x14ac:dyDescent="0.35">
      <c r="A1252" s="256"/>
      <c r="B1252" s="256"/>
      <c r="C1252" s="256"/>
      <c r="D1252" s="256"/>
      <c r="E1252" s="256"/>
      <c r="F1252" s="256"/>
      <c r="G1252" s="256"/>
      <c r="H1252" s="256"/>
      <c r="I1252" s="256"/>
      <c r="J1252" s="256"/>
      <c r="K1252" s="256"/>
    </row>
    <row r="1253" spans="1:11" ht="12.75" x14ac:dyDescent="0.35">
      <c r="A1253" s="256"/>
      <c r="B1253" s="256"/>
      <c r="C1253" s="256"/>
      <c r="D1253" s="256"/>
      <c r="E1253" s="256"/>
      <c r="F1253" s="256"/>
      <c r="G1253" s="256"/>
      <c r="H1253" s="256"/>
      <c r="I1253" s="256"/>
      <c r="J1253" s="256"/>
      <c r="K1253" s="256"/>
    </row>
    <row r="1254" spans="1:11" ht="12.75" x14ac:dyDescent="0.35">
      <c r="A1254" s="256"/>
      <c r="B1254" s="256"/>
      <c r="C1254" s="256"/>
      <c r="D1254" s="256"/>
      <c r="E1254" s="256"/>
      <c r="F1254" s="256"/>
      <c r="G1254" s="256"/>
      <c r="H1254" s="256"/>
      <c r="I1254" s="256"/>
      <c r="J1254" s="256"/>
      <c r="K1254" s="256"/>
    </row>
    <row r="1255" spans="1:11" ht="12.75" x14ac:dyDescent="0.35">
      <c r="A1255" s="256"/>
      <c r="B1255" s="256"/>
      <c r="C1255" s="256"/>
      <c r="D1255" s="256"/>
      <c r="E1255" s="256"/>
      <c r="F1255" s="256"/>
      <c r="G1255" s="256"/>
      <c r="H1255" s="256"/>
      <c r="I1255" s="256"/>
      <c r="J1255" s="256"/>
      <c r="K1255" s="256"/>
    </row>
    <row r="1256" spans="1:11" ht="12.75" x14ac:dyDescent="0.35">
      <c r="A1256" s="256"/>
      <c r="B1256" s="256"/>
      <c r="C1256" s="256"/>
      <c r="D1256" s="256"/>
      <c r="E1256" s="256"/>
      <c r="F1256" s="256"/>
      <c r="G1256" s="256"/>
      <c r="H1256" s="256"/>
      <c r="I1256" s="256"/>
      <c r="J1256" s="256"/>
      <c r="K1256" s="256"/>
    </row>
    <row r="1257" spans="1:11" ht="12.75" x14ac:dyDescent="0.35">
      <c r="A1257" s="256"/>
      <c r="B1257" s="256"/>
      <c r="C1257" s="256"/>
      <c r="D1257" s="256"/>
      <c r="E1257" s="256"/>
      <c r="F1257" s="256"/>
      <c r="G1257" s="256"/>
      <c r="H1257" s="256"/>
      <c r="I1257" s="256"/>
      <c r="J1257" s="256"/>
      <c r="K1257" s="256"/>
    </row>
    <row r="1258" spans="1:11" ht="12.75" x14ac:dyDescent="0.35">
      <c r="A1258" s="256"/>
      <c r="B1258" s="256"/>
      <c r="C1258" s="256"/>
      <c r="D1258" s="256"/>
      <c r="E1258" s="256"/>
      <c r="F1258" s="256"/>
      <c r="G1258" s="256"/>
      <c r="H1258" s="256"/>
      <c r="I1258" s="256"/>
      <c r="J1258" s="256"/>
      <c r="K1258" s="256"/>
    </row>
    <row r="1259" spans="1:11" ht="12.75" x14ac:dyDescent="0.35">
      <c r="A1259" s="256"/>
      <c r="B1259" s="256"/>
      <c r="C1259" s="256"/>
      <c r="D1259" s="256"/>
      <c r="E1259" s="256"/>
      <c r="F1259" s="256"/>
      <c r="G1259" s="256"/>
      <c r="H1259" s="256"/>
      <c r="I1259" s="256"/>
      <c r="J1259" s="256"/>
      <c r="K1259" s="256"/>
    </row>
    <row r="1260" spans="1:11" ht="12.75" x14ac:dyDescent="0.35">
      <c r="A1260" s="256"/>
      <c r="B1260" s="256"/>
      <c r="C1260" s="256"/>
      <c r="D1260" s="256"/>
      <c r="E1260" s="256"/>
      <c r="F1260" s="256"/>
      <c r="G1260" s="256"/>
      <c r="H1260" s="256"/>
      <c r="I1260" s="256"/>
      <c r="J1260" s="256"/>
      <c r="K1260" s="256"/>
    </row>
    <row r="1261" spans="1:11" ht="12.75" x14ac:dyDescent="0.35">
      <c r="A1261" s="256"/>
      <c r="B1261" s="256"/>
      <c r="C1261" s="256"/>
      <c r="D1261" s="256"/>
      <c r="E1261" s="256"/>
      <c r="F1261" s="256"/>
      <c r="G1261" s="256"/>
      <c r="H1261" s="256"/>
      <c r="I1261" s="256"/>
      <c r="J1261" s="256"/>
      <c r="K1261" s="256"/>
    </row>
    <row r="1262" spans="1:11" ht="12.75" x14ac:dyDescent="0.35">
      <c r="A1262" s="256"/>
      <c r="B1262" s="256"/>
      <c r="C1262" s="256"/>
      <c r="D1262" s="256"/>
      <c r="E1262" s="256"/>
      <c r="F1262" s="256"/>
      <c r="G1262" s="256"/>
      <c r="H1262" s="256"/>
      <c r="I1262" s="256"/>
      <c r="J1262" s="256"/>
      <c r="K1262" s="256"/>
    </row>
    <row r="1263" spans="1:11" ht="12.75" x14ac:dyDescent="0.35">
      <c r="A1263" s="256"/>
      <c r="B1263" s="256"/>
      <c r="C1263" s="256"/>
      <c r="D1263" s="256"/>
      <c r="E1263" s="256"/>
      <c r="F1263" s="256"/>
      <c r="G1263" s="256"/>
      <c r="H1263" s="256"/>
      <c r="I1263" s="256"/>
      <c r="J1263" s="256"/>
      <c r="K1263" s="256"/>
    </row>
    <row r="1264" spans="1:11" ht="12.75" x14ac:dyDescent="0.35">
      <c r="A1264" s="256"/>
      <c r="B1264" s="256"/>
      <c r="C1264" s="256"/>
      <c r="D1264" s="256"/>
      <c r="E1264" s="256"/>
      <c r="F1264" s="256"/>
      <c r="G1264" s="256"/>
      <c r="H1264" s="256"/>
      <c r="I1264" s="256"/>
      <c r="J1264" s="256"/>
      <c r="K1264" s="256"/>
    </row>
    <row r="1265" spans="1:11" ht="12.75" x14ac:dyDescent="0.35">
      <c r="A1265" s="256"/>
      <c r="B1265" s="256"/>
      <c r="C1265" s="256"/>
      <c r="D1265" s="256"/>
      <c r="E1265" s="256"/>
      <c r="F1265" s="256"/>
      <c r="G1265" s="256"/>
      <c r="H1265" s="256"/>
      <c r="I1265" s="256"/>
      <c r="J1265" s="256"/>
      <c r="K1265" s="256"/>
    </row>
    <row r="1266" spans="1:11" ht="12.75" x14ac:dyDescent="0.35">
      <c r="A1266" s="256"/>
      <c r="B1266" s="256"/>
      <c r="C1266" s="256"/>
      <c r="D1266" s="256"/>
      <c r="E1266" s="256"/>
      <c r="F1266" s="256"/>
      <c r="G1266" s="256"/>
      <c r="H1266" s="256"/>
      <c r="I1266" s="256"/>
      <c r="J1266" s="256"/>
      <c r="K1266" s="256"/>
    </row>
    <row r="1267" spans="1:11" ht="12.75" x14ac:dyDescent="0.35">
      <c r="A1267" s="256"/>
      <c r="B1267" s="256"/>
      <c r="C1267" s="256"/>
      <c r="D1267" s="256"/>
      <c r="E1267" s="256"/>
      <c r="F1267" s="256"/>
      <c r="G1267" s="256"/>
      <c r="H1267" s="256"/>
      <c r="I1267" s="256"/>
      <c r="J1267" s="256"/>
      <c r="K1267" s="256"/>
    </row>
    <row r="1268" spans="1:11" ht="12.75" x14ac:dyDescent="0.35">
      <c r="A1268" s="256"/>
      <c r="B1268" s="256"/>
      <c r="C1268" s="256"/>
      <c r="D1268" s="256"/>
      <c r="E1268" s="256"/>
      <c r="F1268" s="256"/>
      <c r="G1268" s="256"/>
      <c r="H1268" s="256"/>
      <c r="I1268" s="256"/>
      <c r="J1268" s="256"/>
      <c r="K1268" s="256"/>
    </row>
    <row r="1269" spans="1:11" ht="12.75" x14ac:dyDescent="0.35">
      <c r="A1269" s="256"/>
      <c r="B1269" s="256"/>
      <c r="C1269" s="256"/>
      <c r="D1269" s="256"/>
      <c r="E1269" s="256"/>
      <c r="F1269" s="256"/>
      <c r="G1269" s="256"/>
      <c r="H1269" s="256"/>
      <c r="I1269" s="256"/>
      <c r="J1269" s="256"/>
      <c r="K1269" s="256"/>
    </row>
    <row r="1270" spans="1:11" ht="12.75" x14ac:dyDescent="0.35">
      <c r="A1270" s="256"/>
      <c r="B1270" s="256"/>
      <c r="C1270" s="256"/>
      <c r="D1270" s="256"/>
      <c r="E1270" s="256"/>
      <c r="F1270" s="256"/>
      <c r="G1270" s="256"/>
      <c r="H1270" s="256"/>
      <c r="I1270" s="256"/>
      <c r="J1270" s="256"/>
      <c r="K1270" s="256"/>
    </row>
    <row r="1271" spans="1:11" ht="12.75" x14ac:dyDescent="0.35">
      <c r="A1271" s="256"/>
      <c r="B1271" s="256"/>
      <c r="C1271" s="256"/>
      <c r="D1271" s="256"/>
      <c r="E1271" s="256"/>
      <c r="F1271" s="256"/>
      <c r="G1271" s="256"/>
      <c r="H1271" s="256"/>
      <c r="I1271" s="256"/>
      <c r="J1271" s="256"/>
      <c r="K1271" s="256"/>
    </row>
    <row r="1272" spans="1:11" ht="12.75" x14ac:dyDescent="0.35">
      <c r="A1272" s="256"/>
      <c r="B1272" s="256"/>
      <c r="C1272" s="256"/>
      <c r="D1272" s="256"/>
      <c r="E1272" s="256"/>
      <c r="F1272" s="256"/>
      <c r="G1272" s="256"/>
      <c r="H1272" s="256"/>
      <c r="I1272" s="256"/>
      <c r="J1272" s="256"/>
      <c r="K1272" s="256"/>
    </row>
    <row r="1273" spans="1:11" ht="12.75" x14ac:dyDescent="0.35">
      <c r="A1273" s="256"/>
      <c r="B1273" s="256"/>
      <c r="C1273" s="256"/>
      <c r="D1273" s="256"/>
      <c r="E1273" s="256"/>
      <c r="F1273" s="256"/>
      <c r="G1273" s="256"/>
      <c r="H1273" s="256"/>
      <c r="I1273" s="256"/>
      <c r="J1273" s="256"/>
      <c r="K1273" s="256"/>
    </row>
    <row r="1274" spans="1:11" ht="12.75" x14ac:dyDescent="0.35">
      <c r="A1274" s="256"/>
      <c r="B1274" s="256"/>
      <c r="C1274" s="256"/>
      <c r="D1274" s="256"/>
      <c r="E1274" s="256"/>
      <c r="F1274" s="256"/>
      <c r="G1274" s="256"/>
      <c r="H1274" s="256"/>
      <c r="I1274" s="256"/>
      <c r="J1274" s="256"/>
      <c r="K1274" s="256"/>
    </row>
    <row r="1275" spans="1:11" ht="12.75" x14ac:dyDescent="0.35">
      <c r="A1275" s="256"/>
      <c r="B1275" s="256"/>
      <c r="C1275" s="256"/>
      <c r="D1275" s="256"/>
      <c r="E1275" s="256"/>
      <c r="F1275" s="256"/>
      <c r="G1275" s="256"/>
      <c r="H1275" s="256"/>
      <c r="I1275" s="256"/>
      <c r="J1275" s="256"/>
      <c r="K1275" s="256"/>
    </row>
    <row r="1276" spans="1:11" ht="12.75" x14ac:dyDescent="0.35">
      <c r="A1276" s="256"/>
      <c r="B1276" s="256"/>
      <c r="C1276" s="256"/>
      <c r="D1276" s="256"/>
      <c r="E1276" s="256"/>
      <c r="F1276" s="256"/>
      <c r="G1276" s="256"/>
      <c r="H1276" s="256"/>
      <c r="I1276" s="256"/>
      <c r="J1276" s="256"/>
      <c r="K1276" s="256"/>
    </row>
    <row r="1277" spans="1:11" ht="12.75" x14ac:dyDescent="0.35">
      <c r="A1277" s="256"/>
      <c r="B1277" s="256"/>
      <c r="C1277" s="256"/>
      <c r="D1277" s="256"/>
      <c r="E1277" s="256"/>
      <c r="F1277" s="256"/>
      <c r="G1277" s="256"/>
      <c r="H1277" s="256"/>
      <c r="I1277" s="256"/>
      <c r="J1277" s="256"/>
      <c r="K1277" s="256"/>
    </row>
    <row r="1278" spans="1:11" ht="12.75" x14ac:dyDescent="0.35">
      <c r="A1278" s="256"/>
      <c r="B1278" s="256"/>
      <c r="C1278" s="256"/>
      <c r="D1278" s="256"/>
      <c r="E1278" s="256"/>
      <c r="F1278" s="256"/>
      <c r="G1278" s="256"/>
      <c r="H1278" s="256"/>
      <c r="I1278" s="256"/>
      <c r="J1278" s="256"/>
      <c r="K1278" s="256"/>
    </row>
    <row r="1279" spans="1:11" ht="12.75" x14ac:dyDescent="0.35">
      <c r="A1279" s="256"/>
      <c r="B1279" s="256"/>
      <c r="C1279" s="256"/>
      <c r="D1279" s="256"/>
      <c r="E1279" s="256"/>
      <c r="F1279" s="256"/>
      <c r="G1279" s="256"/>
      <c r="H1279" s="256"/>
      <c r="I1279" s="256"/>
      <c r="J1279" s="256"/>
      <c r="K1279" s="256"/>
    </row>
    <row r="1280" spans="1:11" ht="12.75" x14ac:dyDescent="0.35">
      <c r="A1280" s="256"/>
      <c r="B1280" s="256"/>
      <c r="C1280" s="256"/>
      <c r="D1280" s="256"/>
      <c r="E1280" s="256"/>
      <c r="F1280" s="256"/>
      <c r="G1280" s="256"/>
      <c r="H1280" s="256"/>
      <c r="I1280" s="256"/>
      <c r="J1280" s="256"/>
      <c r="K1280" s="256"/>
    </row>
    <row r="1281" spans="1:11" ht="12.75" x14ac:dyDescent="0.35">
      <c r="A1281" s="256"/>
      <c r="B1281" s="256"/>
      <c r="C1281" s="256"/>
      <c r="D1281" s="256"/>
      <c r="E1281" s="256"/>
      <c r="F1281" s="256"/>
      <c r="G1281" s="256"/>
      <c r="H1281" s="256"/>
      <c r="I1281" s="256"/>
      <c r="J1281" s="256"/>
      <c r="K1281" s="256"/>
    </row>
    <row r="1282" spans="1:11" ht="12.75" x14ac:dyDescent="0.35">
      <c r="A1282" s="256"/>
      <c r="B1282" s="256"/>
      <c r="C1282" s="256"/>
      <c r="D1282" s="256"/>
      <c r="E1282" s="256"/>
      <c r="F1282" s="256"/>
      <c r="G1282" s="256"/>
      <c r="H1282" s="256"/>
      <c r="I1282" s="256"/>
      <c r="J1282" s="256"/>
      <c r="K1282" s="256"/>
    </row>
    <row r="1283" spans="1:11" ht="12.75" x14ac:dyDescent="0.35">
      <c r="A1283" s="256"/>
      <c r="B1283" s="256"/>
      <c r="C1283" s="256"/>
      <c r="D1283" s="256"/>
      <c r="E1283" s="256"/>
      <c r="F1283" s="256"/>
      <c r="G1283" s="256"/>
      <c r="H1283" s="256"/>
      <c r="I1283" s="256"/>
      <c r="J1283" s="256"/>
      <c r="K1283" s="256"/>
    </row>
    <row r="1284" spans="1:11" ht="12.75" x14ac:dyDescent="0.35">
      <c r="A1284" s="256"/>
      <c r="B1284" s="256"/>
      <c r="C1284" s="256"/>
      <c r="D1284" s="256"/>
      <c r="E1284" s="256"/>
      <c r="F1284" s="256"/>
      <c r="G1284" s="256"/>
      <c r="H1284" s="256"/>
      <c r="I1284" s="256"/>
      <c r="J1284" s="256"/>
      <c r="K1284" s="256"/>
    </row>
    <row r="1285" spans="1:11" ht="12.75" x14ac:dyDescent="0.35">
      <c r="A1285" s="256"/>
      <c r="B1285" s="256"/>
      <c r="C1285" s="256"/>
      <c r="D1285" s="256"/>
      <c r="E1285" s="256"/>
      <c r="F1285" s="256"/>
      <c r="G1285" s="256"/>
      <c r="H1285" s="256"/>
      <c r="I1285" s="256"/>
      <c r="J1285" s="256"/>
      <c r="K1285" s="256"/>
    </row>
    <row r="1286" spans="1:11" ht="12.75" x14ac:dyDescent="0.35">
      <c r="A1286" s="256"/>
      <c r="B1286" s="256"/>
      <c r="C1286" s="256"/>
      <c r="D1286" s="256"/>
      <c r="E1286" s="256"/>
      <c r="F1286" s="256"/>
      <c r="G1286" s="256"/>
      <c r="H1286" s="256"/>
      <c r="I1286" s="256"/>
      <c r="J1286" s="256"/>
      <c r="K1286" s="256"/>
    </row>
    <row r="1287" spans="1:11" ht="12.75" x14ac:dyDescent="0.35">
      <c r="A1287" s="256"/>
      <c r="B1287" s="256"/>
      <c r="C1287" s="256"/>
      <c r="D1287" s="256"/>
      <c r="E1287" s="256"/>
      <c r="F1287" s="256"/>
      <c r="G1287" s="256"/>
      <c r="H1287" s="256"/>
      <c r="I1287" s="256"/>
      <c r="J1287" s="256"/>
      <c r="K1287" s="256"/>
    </row>
    <row r="1288" spans="1:11" ht="12.75" x14ac:dyDescent="0.35">
      <c r="A1288" s="256"/>
      <c r="B1288" s="256"/>
      <c r="C1288" s="256"/>
      <c r="D1288" s="256"/>
      <c r="E1288" s="256"/>
      <c r="F1288" s="256"/>
      <c r="G1288" s="256"/>
      <c r="H1288" s="256"/>
      <c r="I1288" s="256"/>
      <c r="J1288" s="256"/>
      <c r="K1288" s="256"/>
    </row>
    <row r="1289" spans="1:11" ht="12.75" x14ac:dyDescent="0.35">
      <c r="A1289" s="256"/>
      <c r="B1289" s="256"/>
      <c r="C1289" s="256"/>
      <c r="D1289" s="256"/>
      <c r="E1289" s="256"/>
      <c r="F1289" s="256"/>
      <c r="G1289" s="256"/>
      <c r="H1289" s="256"/>
      <c r="I1289" s="256"/>
      <c r="J1289" s="256"/>
      <c r="K1289" s="256"/>
    </row>
    <row r="1290" spans="1:11" ht="12.75" x14ac:dyDescent="0.35">
      <c r="A1290" s="256"/>
      <c r="B1290" s="256"/>
      <c r="C1290" s="256"/>
      <c r="D1290" s="256"/>
      <c r="E1290" s="256"/>
      <c r="F1290" s="256"/>
      <c r="G1290" s="256"/>
      <c r="H1290" s="256"/>
      <c r="I1290" s="256"/>
      <c r="J1290" s="256"/>
      <c r="K1290" s="256"/>
    </row>
    <row r="1291" spans="1:11" ht="12.75" x14ac:dyDescent="0.35">
      <c r="A1291" s="256"/>
      <c r="B1291" s="256"/>
      <c r="C1291" s="256"/>
      <c r="D1291" s="256"/>
      <c r="E1291" s="256"/>
      <c r="F1291" s="256"/>
      <c r="G1291" s="256"/>
      <c r="H1291" s="256"/>
      <c r="I1291" s="256"/>
      <c r="J1291" s="256"/>
      <c r="K1291" s="256"/>
    </row>
    <row r="1292" spans="1:11" ht="12.75" x14ac:dyDescent="0.35">
      <c r="A1292" s="256"/>
      <c r="B1292" s="256"/>
      <c r="C1292" s="256"/>
      <c r="D1292" s="256"/>
      <c r="E1292" s="256"/>
      <c r="F1292" s="256"/>
      <c r="G1292" s="256"/>
      <c r="H1292" s="256"/>
      <c r="I1292" s="256"/>
      <c r="J1292" s="256"/>
      <c r="K1292" s="256"/>
    </row>
    <row r="1293" spans="1:11" ht="12.75" x14ac:dyDescent="0.35">
      <c r="A1293" s="256"/>
      <c r="B1293" s="256"/>
      <c r="C1293" s="256"/>
      <c r="D1293" s="256"/>
      <c r="E1293" s="256"/>
      <c r="F1293" s="256"/>
      <c r="G1293" s="256"/>
      <c r="H1293" s="256"/>
      <c r="I1293" s="256"/>
      <c r="J1293" s="256"/>
      <c r="K1293" s="256"/>
    </row>
    <row r="1294" spans="1:11" ht="12.75" x14ac:dyDescent="0.35">
      <c r="A1294" s="256"/>
      <c r="B1294" s="256"/>
      <c r="C1294" s="256"/>
      <c r="D1294" s="256"/>
      <c r="E1294" s="256"/>
      <c r="F1294" s="256"/>
      <c r="G1294" s="256"/>
      <c r="H1294" s="256"/>
      <c r="I1294" s="256"/>
      <c r="J1294" s="256"/>
      <c r="K1294" s="256"/>
    </row>
    <row r="1295" spans="1:11" ht="12.75" x14ac:dyDescent="0.35">
      <c r="A1295" s="256"/>
      <c r="B1295" s="256"/>
      <c r="C1295" s="256"/>
      <c r="D1295" s="256"/>
      <c r="E1295" s="256"/>
      <c r="F1295" s="256"/>
      <c r="G1295" s="256"/>
      <c r="H1295" s="256"/>
      <c r="I1295" s="256"/>
      <c r="J1295" s="256"/>
      <c r="K1295" s="256"/>
    </row>
    <row r="1296" spans="1:11" ht="12.75" x14ac:dyDescent="0.35">
      <c r="A1296" s="256"/>
      <c r="B1296" s="256"/>
      <c r="C1296" s="256"/>
      <c r="D1296" s="256"/>
      <c r="E1296" s="256"/>
      <c r="F1296" s="256"/>
      <c r="G1296" s="256"/>
      <c r="H1296" s="256"/>
      <c r="I1296" s="256"/>
      <c r="J1296" s="256"/>
      <c r="K1296" s="256"/>
    </row>
    <row r="1297" spans="1:11" ht="12.75" x14ac:dyDescent="0.35">
      <c r="A1297" s="256"/>
      <c r="B1297" s="256"/>
      <c r="C1297" s="256"/>
      <c r="D1297" s="256"/>
      <c r="E1297" s="256"/>
      <c r="F1297" s="256"/>
      <c r="G1297" s="256"/>
      <c r="H1297" s="256"/>
      <c r="I1297" s="256"/>
      <c r="J1297" s="256"/>
      <c r="K1297" s="256"/>
    </row>
    <row r="1298" spans="1:11" ht="12.75" x14ac:dyDescent="0.35">
      <c r="A1298" s="256"/>
      <c r="B1298" s="256"/>
      <c r="C1298" s="256"/>
      <c r="D1298" s="256"/>
      <c r="E1298" s="256"/>
      <c r="F1298" s="256"/>
      <c r="G1298" s="256"/>
      <c r="H1298" s="256"/>
      <c r="I1298" s="256"/>
      <c r="J1298" s="256"/>
      <c r="K1298" s="256"/>
    </row>
    <row r="1299" spans="1:11" ht="12.75" x14ac:dyDescent="0.35">
      <c r="A1299" s="256"/>
      <c r="B1299" s="256"/>
      <c r="C1299" s="256"/>
      <c r="D1299" s="256"/>
      <c r="E1299" s="256"/>
      <c r="F1299" s="256"/>
      <c r="G1299" s="256"/>
      <c r="H1299" s="256"/>
      <c r="I1299" s="256"/>
      <c r="J1299" s="256"/>
      <c r="K1299" s="256"/>
    </row>
    <row r="1300" spans="1:11" ht="12.75" x14ac:dyDescent="0.35">
      <c r="A1300" s="256"/>
      <c r="B1300" s="256"/>
      <c r="C1300" s="256"/>
      <c r="D1300" s="256"/>
      <c r="E1300" s="256"/>
      <c r="F1300" s="256"/>
      <c r="G1300" s="256"/>
      <c r="H1300" s="256"/>
      <c r="I1300" s="256"/>
      <c r="J1300" s="256"/>
      <c r="K1300" s="256"/>
    </row>
    <row r="1301" spans="1:11" ht="12.75" x14ac:dyDescent="0.35">
      <c r="A1301" s="256"/>
      <c r="B1301" s="256"/>
      <c r="C1301" s="256"/>
      <c r="D1301" s="256"/>
      <c r="E1301" s="256"/>
      <c r="F1301" s="256"/>
      <c r="G1301" s="256"/>
      <c r="H1301" s="256"/>
      <c r="I1301" s="256"/>
      <c r="J1301" s="256"/>
      <c r="K1301" s="256"/>
    </row>
    <row r="1302" spans="1:11" ht="12.75" x14ac:dyDescent="0.35">
      <c r="A1302" s="256"/>
      <c r="B1302" s="256"/>
      <c r="C1302" s="256"/>
      <c r="D1302" s="256"/>
      <c r="E1302" s="256"/>
      <c r="F1302" s="256"/>
      <c r="G1302" s="256"/>
      <c r="H1302" s="256"/>
      <c r="I1302" s="256"/>
      <c r="J1302" s="256"/>
      <c r="K1302" s="256"/>
    </row>
    <row r="1303" spans="1:11" ht="12.75" x14ac:dyDescent="0.35">
      <c r="A1303" s="256"/>
      <c r="B1303" s="256"/>
      <c r="C1303" s="256"/>
      <c r="D1303" s="256"/>
      <c r="E1303" s="256"/>
      <c r="F1303" s="256"/>
      <c r="G1303" s="256"/>
      <c r="H1303" s="256"/>
      <c r="I1303" s="256"/>
      <c r="J1303" s="256"/>
      <c r="K1303" s="256"/>
    </row>
    <row r="1304" spans="1:11" ht="12.75" x14ac:dyDescent="0.35">
      <c r="A1304" s="256"/>
      <c r="B1304" s="256"/>
      <c r="C1304" s="256"/>
      <c r="D1304" s="256"/>
      <c r="E1304" s="256"/>
      <c r="F1304" s="256"/>
      <c r="G1304" s="256"/>
      <c r="H1304" s="256"/>
      <c r="I1304" s="256"/>
      <c r="J1304" s="256"/>
      <c r="K1304" s="256"/>
    </row>
    <row r="1305" spans="1:11" ht="12.75" x14ac:dyDescent="0.35">
      <c r="A1305" s="256"/>
      <c r="B1305" s="256"/>
      <c r="C1305" s="256"/>
      <c r="D1305" s="256"/>
      <c r="E1305" s="256"/>
      <c r="F1305" s="256"/>
      <c r="G1305" s="256"/>
      <c r="H1305" s="256"/>
      <c r="I1305" s="256"/>
      <c r="J1305" s="256"/>
      <c r="K1305" s="256"/>
    </row>
    <row r="1306" spans="1:11" ht="12.75" x14ac:dyDescent="0.35">
      <c r="A1306" s="256"/>
      <c r="B1306" s="256"/>
      <c r="C1306" s="256"/>
      <c r="D1306" s="256"/>
      <c r="E1306" s="256"/>
      <c r="F1306" s="256"/>
      <c r="G1306" s="256"/>
      <c r="H1306" s="256"/>
      <c r="I1306" s="256"/>
      <c r="J1306" s="256"/>
      <c r="K1306" s="256"/>
    </row>
    <row r="1307" spans="1:11" ht="12.75" x14ac:dyDescent="0.35">
      <c r="A1307" s="256"/>
      <c r="B1307" s="256"/>
      <c r="C1307" s="256"/>
      <c r="D1307" s="256"/>
      <c r="E1307" s="256"/>
      <c r="F1307" s="256"/>
      <c r="G1307" s="256"/>
      <c r="H1307" s="256"/>
      <c r="I1307" s="256"/>
      <c r="J1307" s="256"/>
      <c r="K1307" s="256"/>
    </row>
    <row r="1308" spans="1:11" ht="12.75" x14ac:dyDescent="0.35">
      <c r="A1308" s="256"/>
      <c r="B1308" s="256"/>
      <c r="C1308" s="256"/>
      <c r="D1308" s="256"/>
      <c r="E1308" s="256"/>
      <c r="F1308" s="256"/>
      <c r="G1308" s="256"/>
      <c r="H1308" s="256"/>
      <c r="I1308" s="256"/>
      <c r="J1308" s="256"/>
      <c r="K1308" s="256"/>
    </row>
    <row r="1309" spans="1:11" ht="12.75" x14ac:dyDescent="0.35">
      <c r="A1309" s="256"/>
      <c r="B1309" s="256"/>
      <c r="C1309" s="256"/>
      <c r="D1309" s="256"/>
      <c r="E1309" s="256"/>
      <c r="F1309" s="256"/>
      <c r="G1309" s="256"/>
      <c r="H1309" s="256"/>
      <c r="I1309" s="256"/>
      <c r="J1309" s="256"/>
      <c r="K1309" s="256"/>
    </row>
    <row r="1310" spans="1:11" ht="12.75" x14ac:dyDescent="0.35">
      <c r="A1310" s="256"/>
      <c r="B1310" s="256"/>
      <c r="C1310" s="256"/>
      <c r="D1310" s="256"/>
      <c r="E1310" s="256"/>
      <c r="F1310" s="256"/>
      <c r="G1310" s="256"/>
      <c r="H1310" s="256"/>
      <c r="I1310" s="256"/>
      <c r="J1310" s="256"/>
      <c r="K1310" s="256"/>
    </row>
    <row r="1311" spans="1:11" ht="12.75" x14ac:dyDescent="0.35">
      <c r="A1311" s="256"/>
      <c r="B1311" s="256"/>
      <c r="C1311" s="256"/>
      <c r="D1311" s="256"/>
      <c r="E1311" s="256"/>
      <c r="F1311" s="256"/>
      <c r="G1311" s="256"/>
      <c r="H1311" s="256"/>
      <c r="I1311" s="256"/>
      <c r="J1311" s="256"/>
      <c r="K1311" s="256"/>
    </row>
    <row r="1312" spans="1:11" ht="12.75" x14ac:dyDescent="0.35">
      <c r="A1312" s="256"/>
      <c r="B1312" s="256"/>
      <c r="C1312" s="256"/>
      <c r="D1312" s="256"/>
      <c r="E1312" s="256"/>
      <c r="F1312" s="256"/>
      <c r="G1312" s="256"/>
      <c r="H1312" s="256"/>
      <c r="I1312" s="256"/>
      <c r="J1312" s="256"/>
      <c r="K1312" s="256"/>
    </row>
    <row r="1313" spans="1:11" ht="12.75" x14ac:dyDescent="0.35">
      <c r="A1313" s="256"/>
      <c r="B1313" s="256"/>
      <c r="C1313" s="256"/>
      <c r="D1313" s="256"/>
      <c r="E1313" s="256"/>
      <c r="F1313" s="256"/>
      <c r="G1313" s="256"/>
      <c r="H1313" s="256"/>
      <c r="I1313" s="256"/>
      <c r="J1313" s="256"/>
      <c r="K1313" s="256"/>
    </row>
    <row r="1314" spans="1:11" ht="12.75" x14ac:dyDescent="0.35">
      <c r="A1314" s="256"/>
      <c r="B1314" s="256"/>
      <c r="C1314" s="256"/>
      <c r="D1314" s="256"/>
      <c r="E1314" s="256"/>
      <c r="F1314" s="256"/>
      <c r="G1314" s="256"/>
      <c r="H1314" s="256"/>
      <c r="I1314" s="256"/>
      <c r="J1314" s="256"/>
      <c r="K1314" s="256"/>
    </row>
    <row r="1315" spans="1:11" ht="12.75" x14ac:dyDescent="0.35">
      <c r="A1315" s="256"/>
      <c r="B1315" s="256"/>
      <c r="C1315" s="256"/>
      <c r="D1315" s="256"/>
      <c r="E1315" s="256"/>
      <c r="F1315" s="256"/>
      <c r="G1315" s="256"/>
      <c r="H1315" s="256"/>
      <c r="I1315" s="256"/>
      <c r="J1315" s="256"/>
      <c r="K1315" s="256"/>
    </row>
    <row r="1316" spans="1:11" ht="12.75" x14ac:dyDescent="0.35">
      <c r="A1316" s="256"/>
      <c r="B1316" s="256"/>
      <c r="C1316" s="256"/>
      <c r="D1316" s="256"/>
      <c r="E1316" s="256"/>
      <c r="F1316" s="256"/>
      <c r="G1316" s="256"/>
      <c r="H1316" s="256"/>
      <c r="I1316" s="256"/>
      <c r="J1316" s="256"/>
      <c r="K1316" s="256"/>
    </row>
    <row r="1317" spans="1:11" ht="12.75" x14ac:dyDescent="0.35">
      <c r="A1317" s="256"/>
      <c r="B1317" s="256"/>
      <c r="C1317" s="256"/>
      <c r="D1317" s="256"/>
      <c r="E1317" s="256"/>
      <c r="F1317" s="256"/>
      <c r="G1317" s="256"/>
      <c r="H1317" s="256"/>
      <c r="I1317" s="256"/>
      <c r="J1317" s="256"/>
      <c r="K1317" s="256"/>
    </row>
    <row r="1318" spans="1:11" ht="12.75" x14ac:dyDescent="0.35">
      <c r="A1318" s="256"/>
      <c r="B1318" s="256"/>
      <c r="C1318" s="256"/>
      <c r="D1318" s="256"/>
      <c r="E1318" s="256"/>
      <c r="F1318" s="256"/>
      <c r="G1318" s="256"/>
      <c r="H1318" s="256"/>
      <c r="I1318" s="256"/>
      <c r="J1318" s="256"/>
      <c r="K1318" s="256"/>
    </row>
    <row r="1319" spans="1:11" ht="12.75" x14ac:dyDescent="0.35">
      <c r="A1319" s="256"/>
      <c r="B1319" s="256"/>
      <c r="C1319" s="256"/>
      <c r="D1319" s="256"/>
      <c r="E1319" s="256"/>
      <c r="F1319" s="256"/>
      <c r="G1319" s="256"/>
      <c r="H1319" s="256"/>
      <c r="I1319" s="256"/>
      <c r="J1319" s="256"/>
      <c r="K1319" s="256"/>
    </row>
    <row r="1320" spans="1:11" ht="12.75" x14ac:dyDescent="0.35">
      <c r="A1320" s="256"/>
      <c r="B1320" s="256"/>
      <c r="C1320" s="256"/>
      <c r="D1320" s="256"/>
      <c r="E1320" s="256"/>
      <c r="F1320" s="256"/>
      <c r="G1320" s="256"/>
      <c r="H1320" s="256"/>
      <c r="I1320" s="256"/>
      <c r="J1320" s="256"/>
      <c r="K1320" s="256"/>
    </row>
    <row r="1321" spans="1:11" ht="12.75" x14ac:dyDescent="0.35">
      <c r="A1321" s="256"/>
      <c r="B1321" s="256"/>
      <c r="C1321" s="256"/>
      <c r="D1321" s="256"/>
      <c r="E1321" s="256"/>
      <c r="F1321" s="256"/>
      <c r="G1321" s="256"/>
      <c r="H1321" s="256"/>
      <c r="I1321" s="256"/>
      <c r="J1321" s="256"/>
      <c r="K1321" s="256"/>
    </row>
    <row r="1322" spans="1:11" ht="12.75" x14ac:dyDescent="0.35">
      <c r="A1322" s="256"/>
      <c r="B1322" s="256"/>
      <c r="C1322" s="256"/>
      <c r="D1322" s="256"/>
      <c r="E1322" s="256"/>
      <c r="F1322" s="256"/>
      <c r="G1322" s="256"/>
      <c r="H1322" s="256"/>
      <c r="I1322" s="256"/>
      <c r="J1322" s="256"/>
      <c r="K1322" s="256"/>
    </row>
    <row r="1323" spans="1:11" ht="12.75" x14ac:dyDescent="0.35">
      <c r="A1323" s="256"/>
      <c r="B1323" s="256"/>
      <c r="C1323" s="256"/>
      <c r="D1323" s="256"/>
      <c r="E1323" s="256"/>
      <c r="F1323" s="256"/>
      <c r="G1323" s="256"/>
      <c r="H1323" s="256"/>
      <c r="I1323" s="256"/>
      <c r="J1323" s="256"/>
      <c r="K1323" s="256"/>
    </row>
    <row r="1324" spans="1:11" ht="12.75" x14ac:dyDescent="0.35">
      <c r="A1324" s="256"/>
      <c r="B1324" s="256"/>
      <c r="C1324" s="256"/>
      <c r="D1324" s="256"/>
      <c r="E1324" s="256"/>
      <c r="F1324" s="256"/>
      <c r="G1324" s="256"/>
      <c r="H1324" s="256"/>
      <c r="I1324" s="256"/>
      <c r="J1324" s="256"/>
      <c r="K1324" s="256"/>
    </row>
    <row r="1325" spans="1:11" ht="12.75" x14ac:dyDescent="0.35">
      <c r="A1325" s="256"/>
      <c r="B1325" s="256"/>
      <c r="C1325" s="256"/>
      <c r="D1325" s="256"/>
      <c r="E1325" s="256"/>
      <c r="F1325" s="256"/>
      <c r="G1325" s="256"/>
      <c r="H1325" s="256"/>
      <c r="I1325" s="256"/>
      <c r="J1325" s="256"/>
      <c r="K1325" s="256"/>
    </row>
    <row r="1326" spans="1:11" ht="12.75" x14ac:dyDescent="0.35">
      <c r="A1326" s="256"/>
      <c r="B1326" s="256"/>
      <c r="C1326" s="256"/>
      <c r="D1326" s="256"/>
      <c r="E1326" s="256"/>
      <c r="F1326" s="256"/>
      <c r="G1326" s="256"/>
      <c r="H1326" s="256"/>
      <c r="I1326" s="256"/>
      <c r="J1326" s="256"/>
      <c r="K1326" s="256"/>
    </row>
    <row r="1327" spans="1:11" ht="12.75" x14ac:dyDescent="0.35">
      <c r="A1327" s="256"/>
      <c r="B1327" s="256"/>
      <c r="C1327" s="256"/>
      <c r="D1327" s="256"/>
      <c r="E1327" s="256"/>
      <c r="F1327" s="256"/>
      <c r="G1327" s="256"/>
      <c r="H1327" s="256"/>
      <c r="I1327" s="256"/>
      <c r="J1327" s="256"/>
      <c r="K1327" s="256"/>
    </row>
    <row r="1328" spans="1:11" ht="12.75" x14ac:dyDescent="0.35">
      <c r="A1328" s="256"/>
      <c r="B1328" s="256"/>
      <c r="C1328" s="256"/>
      <c r="D1328" s="256"/>
      <c r="E1328" s="256"/>
      <c r="F1328" s="256"/>
      <c r="G1328" s="256"/>
      <c r="H1328" s="256"/>
      <c r="I1328" s="256"/>
      <c r="J1328" s="256"/>
      <c r="K1328" s="256"/>
    </row>
    <row r="1329" spans="1:11" ht="12.75" x14ac:dyDescent="0.35">
      <c r="A1329" s="256"/>
      <c r="B1329" s="256"/>
      <c r="C1329" s="256"/>
      <c r="D1329" s="256"/>
      <c r="E1329" s="256"/>
      <c r="F1329" s="256"/>
      <c r="G1329" s="256"/>
      <c r="H1329" s="256"/>
      <c r="I1329" s="256"/>
      <c r="J1329" s="256"/>
      <c r="K1329" s="256"/>
    </row>
    <row r="1330" spans="1:11" ht="12.75" x14ac:dyDescent="0.35">
      <c r="A1330" s="256"/>
      <c r="B1330" s="256"/>
      <c r="C1330" s="256"/>
      <c r="D1330" s="256"/>
      <c r="E1330" s="256"/>
      <c r="F1330" s="256"/>
      <c r="G1330" s="256"/>
      <c r="H1330" s="256"/>
      <c r="I1330" s="256"/>
      <c r="J1330" s="256"/>
      <c r="K1330" s="256"/>
    </row>
    <row r="1331" spans="1:11" ht="12.75" x14ac:dyDescent="0.35">
      <c r="A1331" s="256"/>
      <c r="B1331" s="256"/>
      <c r="C1331" s="256"/>
      <c r="D1331" s="256"/>
      <c r="E1331" s="256"/>
      <c r="F1331" s="256"/>
      <c r="G1331" s="256"/>
      <c r="H1331" s="256"/>
      <c r="I1331" s="256"/>
      <c r="J1331" s="256"/>
      <c r="K1331" s="256"/>
    </row>
    <row r="1332" spans="1:11" ht="12.75" x14ac:dyDescent="0.35">
      <c r="A1332" s="256"/>
      <c r="B1332" s="256"/>
      <c r="C1332" s="256"/>
      <c r="D1332" s="256"/>
      <c r="E1332" s="256"/>
      <c r="F1332" s="256"/>
      <c r="G1332" s="256"/>
      <c r="H1332" s="256"/>
      <c r="I1332" s="256"/>
      <c r="J1332" s="256"/>
      <c r="K1332" s="256"/>
    </row>
    <row r="1333" spans="1:11" ht="12.75" x14ac:dyDescent="0.35">
      <c r="A1333" s="256"/>
      <c r="B1333" s="256"/>
      <c r="C1333" s="256"/>
      <c r="D1333" s="256"/>
      <c r="E1333" s="256"/>
      <c r="F1333" s="256"/>
      <c r="G1333" s="256"/>
      <c r="H1333" s="256"/>
      <c r="I1333" s="256"/>
      <c r="J1333" s="256"/>
      <c r="K1333" s="256"/>
    </row>
    <row r="1334" spans="1:11" ht="12.75" x14ac:dyDescent="0.35">
      <c r="A1334" s="256"/>
      <c r="B1334" s="256"/>
      <c r="C1334" s="256"/>
      <c r="D1334" s="256"/>
      <c r="E1334" s="256"/>
      <c r="F1334" s="256"/>
      <c r="G1334" s="256"/>
      <c r="H1334" s="256"/>
      <c r="I1334" s="256"/>
      <c r="J1334" s="256"/>
      <c r="K1334" s="256"/>
    </row>
    <row r="1335" spans="1:11" ht="12.75" x14ac:dyDescent="0.35">
      <c r="A1335" s="256"/>
      <c r="B1335" s="256"/>
      <c r="C1335" s="256"/>
      <c r="D1335" s="256"/>
      <c r="E1335" s="256"/>
      <c r="F1335" s="256"/>
      <c r="G1335" s="256"/>
      <c r="H1335" s="256"/>
      <c r="I1335" s="256"/>
      <c r="J1335" s="256"/>
      <c r="K1335" s="256"/>
    </row>
    <row r="1336" spans="1:11" ht="12.75" x14ac:dyDescent="0.35">
      <c r="A1336" s="256"/>
      <c r="B1336" s="256"/>
      <c r="C1336" s="256"/>
      <c r="D1336" s="256"/>
      <c r="E1336" s="256"/>
      <c r="F1336" s="256"/>
      <c r="G1336" s="256"/>
      <c r="H1336" s="256"/>
      <c r="I1336" s="256"/>
      <c r="J1336" s="256"/>
      <c r="K1336" s="256"/>
    </row>
    <row r="1337" spans="1:11" ht="12.75" x14ac:dyDescent="0.35">
      <c r="A1337" s="256"/>
      <c r="B1337" s="256"/>
      <c r="C1337" s="256"/>
      <c r="D1337" s="256"/>
      <c r="E1337" s="256"/>
      <c r="F1337" s="256"/>
      <c r="G1337" s="256"/>
      <c r="H1337" s="256"/>
      <c r="I1337" s="256"/>
      <c r="J1337" s="256"/>
      <c r="K1337" s="256"/>
    </row>
    <row r="1338" spans="1:11" ht="12.75" x14ac:dyDescent="0.35">
      <c r="A1338" s="256"/>
      <c r="B1338" s="256"/>
      <c r="C1338" s="256"/>
      <c r="D1338" s="256"/>
      <c r="E1338" s="256"/>
      <c r="F1338" s="256"/>
      <c r="G1338" s="256"/>
      <c r="H1338" s="256"/>
      <c r="I1338" s="256"/>
      <c r="J1338" s="256"/>
      <c r="K1338" s="256"/>
    </row>
    <row r="1339" spans="1:11" ht="12.75" x14ac:dyDescent="0.35">
      <c r="A1339" s="256"/>
      <c r="B1339" s="256"/>
      <c r="C1339" s="256"/>
      <c r="D1339" s="256"/>
      <c r="E1339" s="256"/>
      <c r="F1339" s="256"/>
      <c r="G1339" s="256"/>
      <c r="H1339" s="256"/>
      <c r="I1339" s="256"/>
      <c r="J1339" s="256"/>
      <c r="K1339" s="256"/>
    </row>
    <row r="1340" spans="1:11" ht="12.75" x14ac:dyDescent="0.35">
      <c r="A1340" s="256"/>
      <c r="B1340" s="256"/>
      <c r="C1340" s="256"/>
      <c r="D1340" s="256"/>
      <c r="E1340" s="256"/>
      <c r="F1340" s="256"/>
      <c r="G1340" s="256"/>
      <c r="H1340" s="256"/>
      <c r="I1340" s="256"/>
      <c r="J1340" s="256"/>
      <c r="K1340" s="256"/>
    </row>
    <row r="1341" spans="1:11" ht="12.75" x14ac:dyDescent="0.35">
      <c r="A1341" s="256"/>
      <c r="B1341" s="256"/>
      <c r="C1341" s="256"/>
      <c r="D1341" s="256"/>
      <c r="E1341" s="256"/>
      <c r="F1341" s="256"/>
      <c r="G1341" s="256"/>
      <c r="H1341" s="256"/>
      <c r="I1341" s="256"/>
      <c r="J1341" s="256"/>
      <c r="K1341" s="256"/>
    </row>
    <row r="1342" spans="1:11" ht="12.75" x14ac:dyDescent="0.35">
      <c r="A1342" s="256"/>
      <c r="B1342" s="256"/>
      <c r="C1342" s="256"/>
      <c r="D1342" s="256"/>
      <c r="E1342" s="256"/>
      <c r="F1342" s="256"/>
      <c r="G1342" s="256"/>
      <c r="H1342" s="256"/>
      <c r="I1342" s="256"/>
      <c r="J1342" s="256"/>
      <c r="K1342" s="256"/>
    </row>
    <row r="1343" spans="1:11" ht="12.75" x14ac:dyDescent="0.35">
      <c r="A1343" s="256"/>
      <c r="B1343" s="256"/>
      <c r="C1343" s="256"/>
      <c r="D1343" s="256"/>
      <c r="E1343" s="256"/>
      <c r="F1343" s="256"/>
      <c r="G1343" s="256"/>
      <c r="H1343" s="256"/>
      <c r="I1343" s="256"/>
      <c r="J1343" s="256"/>
      <c r="K1343" s="256"/>
    </row>
    <row r="1344" spans="1:11" ht="12.75" x14ac:dyDescent="0.35">
      <c r="A1344" s="256"/>
      <c r="B1344" s="256"/>
      <c r="C1344" s="256"/>
      <c r="D1344" s="256"/>
      <c r="E1344" s="256"/>
      <c r="F1344" s="256"/>
      <c r="G1344" s="256"/>
      <c r="H1344" s="256"/>
      <c r="I1344" s="256"/>
      <c r="J1344" s="256"/>
      <c r="K1344" s="256"/>
    </row>
    <row r="1345" spans="1:11" ht="12.75" x14ac:dyDescent="0.35">
      <c r="A1345" s="256"/>
      <c r="B1345" s="256"/>
      <c r="C1345" s="256"/>
      <c r="D1345" s="256"/>
      <c r="E1345" s="256"/>
      <c r="F1345" s="256"/>
      <c r="G1345" s="256"/>
      <c r="H1345" s="256"/>
      <c r="I1345" s="256"/>
      <c r="J1345" s="256"/>
      <c r="K1345" s="256"/>
    </row>
    <row r="1346" spans="1:11" ht="12.75" x14ac:dyDescent="0.35">
      <c r="A1346" s="256"/>
      <c r="B1346" s="256"/>
      <c r="C1346" s="256"/>
      <c r="D1346" s="256"/>
      <c r="E1346" s="256"/>
      <c r="F1346" s="256"/>
      <c r="G1346" s="256"/>
      <c r="H1346" s="256"/>
      <c r="I1346" s="256"/>
      <c r="J1346" s="256"/>
      <c r="K1346" s="256"/>
    </row>
    <row r="1347" spans="1:11" ht="12.75" x14ac:dyDescent="0.35">
      <c r="A1347" s="256"/>
      <c r="B1347" s="256"/>
      <c r="C1347" s="256"/>
      <c r="D1347" s="256"/>
      <c r="E1347" s="256"/>
      <c r="F1347" s="256"/>
      <c r="G1347" s="256"/>
      <c r="H1347" s="256"/>
      <c r="I1347" s="256"/>
      <c r="J1347" s="256"/>
      <c r="K1347" s="256"/>
    </row>
    <row r="1348" spans="1:11" ht="12.75" x14ac:dyDescent="0.35">
      <c r="A1348" s="256"/>
      <c r="B1348" s="256"/>
      <c r="C1348" s="256"/>
      <c r="D1348" s="256"/>
      <c r="E1348" s="256"/>
      <c r="F1348" s="256"/>
      <c r="G1348" s="256"/>
      <c r="H1348" s="256"/>
      <c r="I1348" s="256"/>
      <c r="J1348" s="256"/>
      <c r="K1348" s="256"/>
    </row>
    <row r="1349" spans="1:11" ht="12.75" x14ac:dyDescent="0.35">
      <c r="A1349" s="256"/>
      <c r="B1349" s="256"/>
      <c r="C1349" s="256"/>
      <c r="D1349" s="256"/>
      <c r="E1349" s="256"/>
      <c r="F1349" s="256"/>
      <c r="G1349" s="256"/>
      <c r="H1349" s="256"/>
      <c r="I1349" s="256"/>
      <c r="J1349" s="256"/>
      <c r="K1349" s="256"/>
    </row>
    <row r="1350" spans="1:11" ht="12.75" x14ac:dyDescent="0.35">
      <c r="A1350" s="256"/>
      <c r="B1350" s="256"/>
      <c r="C1350" s="256"/>
      <c r="D1350" s="256"/>
      <c r="E1350" s="256"/>
      <c r="F1350" s="256"/>
      <c r="G1350" s="256"/>
      <c r="H1350" s="256"/>
      <c r="I1350" s="256"/>
      <c r="J1350" s="256"/>
      <c r="K1350" s="256"/>
    </row>
    <row r="1351" spans="1:11" ht="12.75" x14ac:dyDescent="0.35">
      <c r="A1351" s="256"/>
      <c r="B1351" s="256"/>
      <c r="C1351" s="256"/>
      <c r="D1351" s="256"/>
      <c r="E1351" s="256"/>
      <c r="F1351" s="256"/>
      <c r="G1351" s="256"/>
      <c r="H1351" s="256"/>
      <c r="I1351" s="256"/>
      <c r="J1351" s="256"/>
      <c r="K1351" s="256"/>
    </row>
    <row r="1352" spans="1:11" ht="12.75" x14ac:dyDescent="0.35">
      <c r="A1352" s="256"/>
      <c r="B1352" s="256"/>
      <c r="C1352" s="256"/>
      <c r="D1352" s="256"/>
      <c r="E1352" s="256"/>
      <c r="F1352" s="256"/>
      <c r="G1352" s="256"/>
      <c r="H1352" s="256"/>
      <c r="I1352" s="256"/>
      <c r="J1352" s="256"/>
      <c r="K1352" s="256"/>
    </row>
    <row r="1353" spans="1:11" ht="12.75" x14ac:dyDescent="0.35">
      <c r="A1353" s="256"/>
      <c r="B1353" s="256"/>
      <c r="C1353" s="256"/>
      <c r="D1353" s="256"/>
      <c r="E1353" s="256"/>
      <c r="F1353" s="256"/>
      <c r="G1353" s="256"/>
      <c r="H1353" s="256"/>
      <c r="I1353" s="256"/>
      <c r="J1353" s="256"/>
      <c r="K1353" s="256"/>
    </row>
    <row r="1354" spans="1:11" ht="12.75" x14ac:dyDescent="0.35">
      <c r="A1354" s="256"/>
      <c r="B1354" s="256"/>
      <c r="C1354" s="256"/>
      <c r="D1354" s="256"/>
      <c r="E1354" s="256"/>
      <c r="F1354" s="256"/>
      <c r="G1354" s="256"/>
      <c r="H1354" s="256"/>
      <c r="I1354" s="256"/>
      <c r="J1354" s="256"/>
      <c r="K1354" s="256"/>
    </row>
    <row r="1355" spans="1:11" ht="12.75" x14ac:dyDescent="0.35">
      <c r="A1355" s="256"/>
      <c r="B1355" s="256"/>
      <c r="C1355" s="256"/>
      <c r="D1355" s="256"/>
      <c r="E1355" s="256"/>
      <c r="F1355" s="256"/>
      <c r="G1355" s="256"/>
      <c r="H1355" s="256"/>
      <c r="I1355" s="256"/>
      <c r="J1355" s="256"/>
      <c r="K1355" s="256"/>
    </row>
    <row r="1356" spans="1:11" ht="12.75" x14ac:dyDescent="0.35">
      <c r="A1356" s="256"/>
      <c r="B1356" s="256"/>
      <c r="C1356" s="256"/>
      <c r="D1356" s="256"/>
      <c r="E1356" s="256"/>
      <c r="F1356" s="256"/>
      <c r="G1356" s="256"/>
      <c r="H1356" s="256"/>
      <c r="I1356" s="256"/>
      <c r="J1356" s="256"/>
      <c r="K1356" s="256"/>
    </row>
    <row r="1357" spans="1:11" ht="12.75" x14ac:dyDescent="0.35">
      <c r="A1357" s="256"/>
      <c r="B1357" s="256"/>
      <c r="C1357" s="256"/>
      <c r="D1357" s="256"/>
      <c r="E1357" s="256"/>
      <c r="F1357" s="256"/>
      <c r="G1357" s="256"/>
      <c r="H1357" s="256"/>
      <c r="I1357" s="256"/>
      <c r="J1357" s="256"/>
      <c r="K1357" s="256"/>
    </row>
    <row r="1358" spans="1:11" ht="12.75" x14ac:dyDescent="0.35">
      <c r="A1358" s="256"/>
      <c r="B1358" s="256"/>
      <c r="C1358" s="256"/>
      <c r="D1358" s="256"/>
      <c r="E1358" s="256"/>
      <c r="F1358" s="256"/>
      <c r="G1358" s="256"/>
      <c r="H1358" s="256"/>
      <c r="I1358" s="256"/>
      <c r="J1358" s="256"/>
      <c r="K1358" s="256"/>
    </row>
    <row r="1359" spans="1:11" ht="12.75" x14ac:dyDescent="0.35">
      <c r="A1359" s="256"/>
      <c r="B1359" s="256"/>
      <c r="C1359" s="256"/>
      <c r="D1359" s="256"/>
      <c r="E1359" s="256"/>
      <c r="F1359" s="256"/>
      <c r="G1359" s="256"/>
      <c r="H1359" s="256"/>
      <c r="I1359" s="256"/>
      <c r="J1359" s="256"/>
      <c r="K1359" s="256"/>
    </row>
    <row r="1360" spans="1:11" ht="12.75" x14ac:dyDescent="0.35">
      <c r="A1360" s="256"/>
      <c r="B1360" s="256"/>
      <c r="C1360" s="256"/>
      <c r="D1360" s="256"/>
      <c r="E1360" s="256"/>
      <c r="F1360" s="256"/>
      <c r="G1360" s="256"/>
      <c r="H1360" s="256"/>
      <c r="I1360" s="256"/>
      <c r="J1360" s="256"/>
      <c r="K1360" s="256"/>
    </row>
    <row r="1361" spans="1:11" ht="12.75" x14ac:dyDescent="0.35">
      <c r="A1361" s="256"/>
      <c r="B1361" s="256"/>
      <c r="C1361" s="256"/>
      <c r="D1361" s="256"/>
      <c r="E1361" s="256"/>
      <c r="F1361" s="256"/>
      <c r="G1361" s="256"/>
      <c r="H1361" s="256"/>
      <c r="I1361" s="256"/>
      <c r="J1361" s="256"/>
      <c r="K1361" s="256"/>
    </row>
    <row r="1362" spans="1:11" ht="12.75" x14ac:dyDescent="0.35">
      <c r="A1362" s="256"/>
      <c r="B1362" s="256"/>
      <c r="C1362" s="256"/>
      <c r="D1362" s="256"/>
      <c r="E1362" s="256"/>
      <c r="F1362" s="256"/>
      <c r="G1362" s="256"/>
      <c r="H1362" s="256"/>
      <c r="I1362" s="256"/>
      <c r="J1362" s="256"/>
      <c r="K1362" s="256"/>
    </row>
    <row r="1363" spans="1:11" ht="12.75" x14ac:dyDescent="0.35">
      <c r="A1363" s="256"/>
      <c r="B1363" s="256"/>
      <c r="C1363" s="256"/>
      <c r="D1363" s="256"/>
      <c r="E1363" s="256"/>
      <c r="F1363" s="256"/>
      <c r="G1363" s="256"/>
      <c r="H1363" s="256"/>
      <c r="I1363" s="256"/>
      <c r="J1363" s="256"/>
      <c r="K1363" s="256"/>
    </row>
    <row r="1364" spans="1:11" ht="12.75" x14ac:dyDescent="0.35">
      <c r="A1364" s="256"/>
      <c r="B1364" s="256"/>
      <c r="C1364" s="256"/>
      <c r="D1364" s="256"/>
      <c r="E1364" s="256"/>
      <c r="F1364" s="256"/>
      <c r="G1364" s="256"/>
      <c r="H1364" s="256"/>
      <c r="I1364" s="256"/>
      <c r="J1364" s="256"/>
      <c r="K1364" s="256"/>
    </row>
    <row r="1365" spans="1:11" ht="12.75" x14ac:dyDescent="0.35">
      <c r="A1365" s="256"/>
      <c r="B1365" s="256"/>
      <c r="C1365" s="256"/>
      <c r="D1365" s="256"/>
      <c r="E1365" s="256"/>
      <c r="F1365" s="256"/>
      <c r="G1365" s="256"/>
      <c r="H1365" s="256"/>
      <c r="I1365" s="256"/>
      <c r="J1365" s="256"/>
      <c r="K1365" s="256"/>
    </row>
    <row r="1366" spans="1:11" ht="12.75" x14ac:dyDescent="0.35">
      <c r="A1366" s="256"/>
      <c r="B1366" s="256"/>
      <c r="C1366" s="256"/>
      <c r="D1366" s="256"/>
      <c r="E1366" s="256"/>
      <c r="F1366" s="256"/>
      <c r="G1366" s="256"/>
      <c r="H1366" s="256"/>
      <c r="I1366" s="256"/>
      <c r="J1366" s="256"/>
      <c r="K1366" s="256"/>
    </row>
    <row r="1367" spans="1:11" ht="12.75" x14ac:dyDescent="0.35">
      <c r="A1367" s="256"/>
      <c r="B1367" s="256"/>
      <c r="C1367" s="256"/>
      <c r="D1367" s="256"/>
      <c r="E1367" s="256"/>
      <c r="F1367" s="256"/>
      <c r="G1367" s="256"/>
      <c r="H1367" s="256"/>
      <c r="I1367" s="256"/>
      <c r="J1367" s="256"/>
      <c r="K1367" s="256"/>
    </row>
    <row r="1368" spans="1:11" ht="12.75" x14ac:dyDescent="0.35">
      <c r="A1368" s="256"/>
      <c r="B1368" s="256"/>
      <c r="C1368" s="256"/>
      <c r="D1368" s="256"/>
      <c r="E1368" s="256"/>
      <c r="F1368" s="256"/>
      <c r="G1368" s="256"/>
      <c r="H1368" s="256"/>
      <c r="I1368" s="256"/>
      <c r="J1368" s="256"/>
      <c r="K1368" s="256"/>
    </row>
    <row r="1369" spans="1:11" ht="12.75" x14ac:dyDescent="0.35">
      <c r="A1369" s="256"/>
      <c r="B1369" s="256"/>
      <c r="C1369" s="256"/>
      <c r="D1369" s="256"/>
      <c r="E1369" s="256"/>
      <c r="F1369" s="256"/>
      <c r="G1369" s="256"/>
      <c r="H1369" s="256"/>
      <c r="I1369" s="256"/>
      <c r="J1369" s="256"/>
      <c r="K1369" s="256"/>
    </row>
    <row r="1370" spans="1:11" ht="12.75" x14ac:dyDescent="0.35">
      <c r="A1370" s="256"/>
      <c r="B1370" s="256"/>
      <c r="C1370" s="256"/>
      <c r="D1370" s="256"/>
      <c r="E1370" s="256"/>
      <c r="F1370" s="256"/>
      <c r="G1370" s="256"/>
      <c r="H1370" s="256"/>
      <c r="I1370" s="256"/>
      <c r="J1370" s="256"/>
      <c r="K1370" s="256"/>
    </row>
    <row r="1371" spans="1:11" ht="12.75" x14ac:dyDescent="0.35">
      <c r="A1371" s="256"/>
      <c r="B1371" s="256"/>
      <c r="C1371" s="256"/>
      <c r="D1371" s="256"/>
      <c r="E1371" s="256"/>
      <c r="F1371" s="256"/>
      <c r="G1371" s="256"/>
      <c r="H1371" s="256"/>
      <c r="I1371" s="256"/>
      <c r="J1371" s="256"/>
      <c r="K1371" s="256"/>
    </row>
    <row r="1372" spans="1:11" ht="12.75" x14ac:dyDescent="0.35">
      <c r="A1372" s="256"/>
      <c r="B1372" s="256"/>
      <c r="C1372" s="256"/>
      <c r="D1372" s="256"/>
      <c r="E1372" s="256"/>
      <c r="F1372" s="256"/>
      <c r="G1372" s="256"/>
      <c r="H1372" s="256"/>
      <c r="I1372" s="256"/>
      <c r="J1372" s="256"/>
      <c r="K1372" s="256"/>
    </row>
    <row r="1373" spans="1:11" ht="12.75" x14ac:dyDescent="0.35">
      <c r="A1373" s="256"/>
      <c r="B1373" s="256"/>
      <c r="C1373" s="256"/>
      <c r="D1373" s="256"/>
      <c r="E1373" s="256"/>
      <c r="F1373" s="256"/>
      <c r="G1373" s="256"/>
      <c r="H1373" s="256"/>
      <c r="I1373" s="256"/>
      <c r="J1373" s="256"/>
      <c r="K1373" s="256"/>
    </row>
    <row r="1374" spans="1:11" ht="12.75" x14ac:dyDescent="0.35">
      <c r="A1374" s="256"/>
      <c r="B1374" s="256"/>
      <c r="C1374" s="256"/>
      <c r="D1374" s="256"/>
      <c r="E1374" s="256"/>
      <c r="F1374" s="256"/>
      <c r="G1374" s="256"/>
      <c r="H1374" s="256"/>
      <c r="I1374" s="256"/>
      <c r="J1374" s="256"/>
      <c r="K1374" s="256"/>
    </row>
    <row r="1375" spans="1:11" ht="12.75" x14ac:dyDescent="0.35">
      <c r="A1375" s="256"/>
      <c r="B1375" s="256"/>
      <c r="C1375" s="256"/>
      <c r="D1375" s="256"/>
      <c r="E1375" s="256"/>
      <c r="F1375" s="256"/>
      <c r="G1375" s="256"/>
      <c r="H1375" s="256"/>
      <c r="I1375" s="256"/>
      <c r="J1375" s="256"/>
      <c r="K1375" s="256"/>
    </row>
    <row r="1376" spans="1:11" ht="12.75" x14ac:dyDescent="0.35">
      <c r="A1376" s="256"/>
      <c r="B1376" s="256"/>
      <c r="C1376" s="256"/>
      <c r="D1376" s="256"/>
      <c r="E1376" s="256"/>
      <c r="F1376" s="256"/>
      <c r="G1376" s="256"/>
      <c r="H1376" s="256"/>
      <c r="I1376" s="256"/>
      <c r="J1376" s="256"/>
      <c r="K1376" s="256"/>
    </row>
    <row r="1377" spans="1:11" ht="12.75" x14ac:dyDescent="0.35">
      <c r="A1377" s="256"/>
      <c r="B1377" s="256"/>
      <c r="C1377" s="256"/>
      <c r="D1377" s="256"/>
      <c r="E1377" s="256"/>
      <c r="F1377" s="256"/>
      <c r="G1377" s="256"/>
      <c r="H1377" s="256"/>
      <c r="I1377" s="256"/>
      <c r="J1377" s="256"/>
      <c r="K1377" s="256"/>
    </row>
    <row r="1378" spans="1:11" ht="12.75" x14ac:dyDescent="0.35">
      <c r="A1378" s="256"/>
      <c r="B1378" s="256"/>
      <c r="C1378" s="256"/>
      <c r="D1378" s="256"/>
      <c r="E1378" s="256"/>
      <c r="F1378" s="256"/>
      <c r="G1378" s="256"/>
      <c r="H1378" s="256"/>
      <c r="I1378" s="256"/>
      <c r="J1378" s="256"/>
      <c r="K1378" s="256"/>
    </row>
    <row r="1379" spans="1:11" ht="12.75" x14ac:dyDescent="0.35">
      <c r="A1379" s="256"/>
      <c r="B1379" s="256"/>
      <c r="C1379" s="256"/>
      <c r="D1379" s="256"/>
      <c r="E1379" s="256"/>
      <c r="F1379" s="256"/>
      <c r="G1379" s="256"/>
      <c r="H1379" s="256"/>
      <c r="I1379" s="256"/>
      <c r="J1379" s="256"/>
      <c r="K1379" s="256"/>
    </row>
    <row r="1380" spans="1:11" ht="12.75" x14ac:dyDescent="0.35">
      <c r="A1380" s="256"/>
      <c r="B1380" s="256"/>
      <c r="C1380" s="256"/>
      <c r="D1380" s="256"/>
      <c r="E1380" s="256"/>
      <c r="F1380" s="256"/>
      <c r="G1380" s="256"/>
      <c r="H1380" s="256"/>
      <c r="I1380" s="256"/>
      <c r="J1380" s="256"/>
      <c r="K1380" s="256"/>
    </row>
    <row r="1381" spans="1:11" ht="12.75" x14ac:dyDescent="0.35">
      <c r="A1381" s="256"/>
      <c r="B1381" s="256"/>
      <c r="C1381" s="256"/>
      <c r="D1381" s="256"/>
      <c r="E1381" s="256"/>
      <c r="F1381" s="256"/>
      <c r="G1381" s="256"/>
      <c r="H1381" s="256"/>
      <c r="I1381" s="256"/>
      <c r="J1381" s="256"/>
      <c r="K1381" s="256"/>
    </row>
    <row r="1382" spans="1:11" ht="12.75" x14ac:dyDescent="0.35">
      <c r="A1382" s="256"/>
      <c r="B1382" s="256"/>
      <c r="C1382" s="256"/>
      <c r="D1382" s="256"/>
      <c r="E1382" s="256"/>
      <c r="F1382" s="256"/>
      <c r="G1382" s="256"/>
      <c r="H1382" s="256"/>
      <c r="I1382" s="256"/>
      <c r="J1382" s="256"/>
      <c r="K1382" s="256"/>
    </row>
    <row r="1383" spans="1:11" ht="12.75" x14ac:dyDescent="0.35">
      <c r="A1383" s="256"/>
      <c r="B1383" s="256"/>
      <c r="C1383" s="256"/>
      <c r="D1383" s="256"/>
      <c r="E1383" s="256"/>
      <c r="F1383" s="256"/>
      <c r="G1383" s="256"/>
      <c r="H1383" s="256"/>
      <c r="I1383" s="256"/>
      <c r="J1383" s="256"/>
      <c r="K1383" s="256"/>
    </row>
    <row r="1384" spans="1:11" ht="12.75" x14ac:dyDescent="0.35">
      <c r="A1384" s="256"/>
      <c r="B1384" s="256"/>
      <c r="C1384" s="256"/>
      <c r="D1384" s="256"/>
      <c r="E1384" s="256"/>
      <c r="F1384" s="256"/>
      <c r="G1384" s="256"/>
      <c r="H1384" s="256"/>
      <c r="I1384" s="256"/>
      <c r="J1384" s="256"/>
      <c r="K1384" s="256"/>
    </row>
    <row r="1385" spans="1:11" ht="12.75" x14ac:dyDescent="0.35">
      <c r="A1385" s="256"/>
      <c r="B1385" s="256"/>
      <c r="C1385" s="256"/>
      <c r="D1385" s="256"/>
      <c r="E1385" s="256"/>
      <c r="F1385" s="256"/>
      <c r="G1385" s="256"/>
      <c r="H1385" s="256"/>
      <c r="I1385" s="256"/>
      <c r="J1385" s="256"/>
      <c r="K1385" s="256"/>
    </row>
    <row r="1386" spans="1:11" ht="12.75" x14ac:dyDescent="0.35">
      <c r="A1386" s="256"/>
      <c r="B1386" s="256"/>
      <c r="C1386" s="256"/>
      <c r="D1386" s="256"/>
      <c r="E1386" s="256"/>
      <c r="F1386" s="256"/>
      <c r="G1386" s="256"/>
      <c r="H1386" s="256"/>
      <c r="I1386" s="256"/>
      <c r="J1386" s="256"/>
      <c r="K1386" s="256"/>
    </row>
    <row r="1387" spans="1:11" ht="12.75" x14ac:dyDescent="0.35">
      <c r="A1387" s="256"/>
      <c r="B1387" s="256"/>
      <c r="C1387" s="256"/>
      <c r="D1387" s="256"/>
      <c r="E1387" s="256"/>
      <c r="F1387" s="256"/>
      <c r="G1387" s="256"/>
      <c r="H1387" s="256"/>
      <c r="I1387" s="256"/>
      <c r="J1387" s="256"/>
      <c r="K1387" s="256"/>
    </row>
    <row r="1388" spans="1:11" ht="12.75" x14ac:dyDescent="0.35">
      <c r="A1388" s="256"/>
      <c r="B1388" s="256"/>
      <c r="C1388" s="256"/>
      <c r="D1388" s="256"/>
      <c r="E1388" s="256"/>
      <c r="F1388" s="256"/>
      <c r="G1388" s="256"/>
      <c r="H1388" s="256"/>
      <c r="I1388" s="256"/>
      <c r="J1388" s="256"/>
      <c r="K1388" s="256"/>
    </row>
    <row r="1389" spans="1:11" ht="12.75" x14ac:dyDescent="0.35">
      <c r="A1389" s="256"/>
      <c r="B1389" s="256"/>
      <c r="C1389" s="256"/>
      <c r="D1389" s="256"/>
      <c r="E1389" s="256"/>
      <c r="F1389" s="256"/>
      <c r="G1389" s="256"/>
      <c r="H1389" s="256"/>
      <c r="I1389" s="256"/>
      <c r="J1389" s="256"/>
      <c r="K1389" s="256"/>
    </row>
    <row r="1390" spans="1:11" ht="12.75" x14ac:dyDescent="0.35">
      <c r="A1390" s="256"/>
      <c r="B1390" s="256"/>
      <c r="C1390" s="256"/>
      <c r="D1390" s="256"/>
      <c r="E1390" s="256"/>
      <c r="F1390" s="256"/>
      <c r="G1390" s="256"/>
      <c r="H1390" s="256"/>
      <c r="I1390" s="256"/>
      <c r="J1390" s="256"/>
      <c r="K1390" s="256"/>
    </row>
    <row r="1391" spans="1:11" ht="12.75" x14ac:dyDescent="0.35">
      <c r="A1391" s="256"/>
      <c r="B1391" s="256"/>
      <c r="C1391" s="256"/>
      <c r="D1391" s="256"/>
      <c r="E1391" s="256"/>
      <c r="F1391" s="256"/>
      <c r="G1391" s="256"/>
      <c r="H1391" s="256"/>
      <c r="I1391" s="256"/>
      <c r="J1391" s="256"/>
      <c r="K1391" s="256"/>
    </row>
    <row r="1392" spans="1:11" ht="12.75" x14ac:dyDescent="0.35">
      <c r="A1392" s="256"/>
      <c r="B1392" s="256"/>
      <c r="C1392" s="256"/>
      <c r="D1392" s="256"/>
      <c r="E1392" s="256"/>
      <c r="F1392" s="256"/>
      <c r="G1392" s="256"/>
      <c r="H1392" s="256"/>
      <c r="I1392" s="256"/>
      <c r="J1392" s="256"/>
      <c r="K1392" s="256"/>
    </row>
    <row r="1393" spans="1:11" ht="12.75" x14ac:dyDescent="0.35">
      <c r="A1393" s="256"/>
      <c r="B1393" s="256"/>
      <c r="C1393" s="256"/>
      <c r="D1393" s="256"/>
      <c r="E1393" s="256"/>
      <c r="F1393" s="256"/>
      <c r="G1393" s="256"/>
      <c r="H1393" s="256"/>
      <c r="I1393" s="256"/>
      <c r="J1393" s="256"/>
      <c r="K1393" s="256"/>
    </row>
    <row r="1394" spans="1:11" ht="12.75" x14ac:dyDescent="0.35">
      <c r="A1394" s="256"/>
      <c r="B1394" s="256"/>
      <c r="C1394" s="256"/>
      <c r="D1394" s="256"/>
      <c r="E1394" s="256"/>
      <c r="F1394" s="256"/>
      <c r="G1394" s="256"/>
      <c r="H1394" s="256"/>
      <c r="I1394" s="256"/>
      <c r="J1394" s="256"/>
      <c r="K1394" s="256"/>
    </row>
    <row r="1395" spans="1:11" ht="12.75" x14ac:dyDescent="0.35">
      <c r="A1395" s="256"/>
      <c r="B1395" s="256"/>
      <c r="C1395" s="256"/>
      <c r="D1395" s="256"/>
      <c r="E1395" s="256"/>
      <c r="F1395" s="256"/>
      <c r="G1395" s="256"/>
      <c r="H1395" s="256"/>
      <c r="I1395" s="256"/>
      <c r="J1395" s="256"/>
      <c r="K1395" s="256"/>
    </row>
    <row r="1396" spans="1:11" ht="12.75" x14ac:dyDescent="0.35">
      <c r="A1396" s="256"/>
      <c r="B1396" s="256"/>
      <c r="C1396" s="256"/>
      <c r="D1396" s="256"/>
      <c r="E1396" s="256"/>
      <c r="F1396" s="256"/>
      <c r="G1396" s="256"/>
      <c r="H1396" s="256"/>
      <c r="I1396" s="256"/>
      <c r="J1396" s="256"/>
      <c r="K1396" s="256"/>
    </row>
    <row r="1397" spans="1:11" ht="12.75" x14ac:dyDescent="0.35">
      <c r="A1397" s="256"/>
      <c r="B1397" s="256"/>
      <c r="C1397" s="256"/>
      <c r="D1397" s="256"/>
      <c r="E1397" s="256"/>
      <c r="F1397" s="256"/>
      <c r="G1397" s="256"/>
      <c r="H1397" s="256"/>
      <c r="I1397" s="256"/>
      <c r="J1397" s="256"/>
      <c r="K1397" s="256"/>
    </row>
    <row r="1398" spans="1:11" ht="12.75" x14ac:dyDescent="0.35">
      <c r="A1398" s="256"/>
      <c r="B1398" s="256"/>
      <c r="C1398" s="256"/>
      <c r="D1398" s="256"/>
      <c r="E1398" s="256"/>
      <c r="F1398" s="256"/>
      <c r="G1398" s="256"/>
      <c r="H1398" s="256"/>
      <c r="I1398" s="256"/>
      <c r="J1398" s="256"/>
      <c r="K1398" s="256"/>
    </row>
    <row r="1399" spans="1:11" ht="12.75" x14ac:dyDescent="0.35">
      <c r="A1399" s="256"/>
      <c r="B1399" s="256"/>
      <c r="C1399" s="256"/>
      <c r="D1399" s="256"/>
      <c r="E1399" s="256"/>
      <c r="F1399" s="256"/>
      <c r="G1399" s="256"/>
      <c r="H1399" s="256"/>
      <c r="I1399" s="256"/>
      <c r="J1399" s="256"/>
      <c r="K1399" s="256"/>
    </row>
    <row r="1400" spans="1:11" ht="12.75" x14ac:dyDescent="0.35">
      <c r="A1400" s="256"/>
      <c r="B1400" s="256"/>
      <c r="C1400" s="256"/>
      <c r="D1400" s="256"/>
      <c r="E1400" s="256"/>
      <c r="F1400" s="256"/>
      <c r="G1400" s="256"/>
      <c r="H1400" s="256"/>
      <c r="I1400" s="256"/>
      <c r="J1400" s="256"/>
      <c r="K1400" s="256"/>
    </row>
    <row r="1401" spans="1:11" ht="12.75" x14ac:dyDescent="0.35">
      <c r="A1401" s="256"/>
      <c r="B1401" s="256"/>
      <c r="C1401" s="256"/>
      <c r="D1401" s="256"/>
      <c r="E1401" s="256"/>
      <c r="F1401" s="256"/>
      <c r="G1401" s="256"/>
      <c r="H1401" s="256"/>
      <c r="I1401" s="256"/>
      <c r="J1401" s="256"/>
      <c r="K1401" s="256"/>
    </row>
    <row r="1402" spans="1:11" ht="12.75" x14ac:dyDescent="0.35">
      <c r="A1402" s="256"/>
      <c r="B1402" s="256"/>
      <c r="C1402" s="256"/>
      <c r="D1402" s="256"/>
      <c r="E1402" s="256"/>
      <c r="F1402" s="256"/>
      <c r="G1402" s="256"/>
      <c r="H1402" s="256"/>
      <c r="I1402" s="256"/>
      <c r="J1402" s="256"/>
      <c r="K1402" s="256"/>
    </row>
    <row r="1403" spans="1:11" ht="12.75" x14ac:dyDescent="0.35">
      <c r="A1403" s="256"/>
      <c r="B1403" s="256"/>
      <c r="C1403" s="256"/>
      <c r="D1403" s="256"/>
      <c r="E1403" s="256"/>
      <c r="F1403" s="256"/>
      <c r="G1403" s="256"/>
      <c r="H1403" s="256"/>
      <c r="I1403" s="256"/>
      <c r="J1403" s="256"/>
      <c r="K1403" s="256"/>
    </row>
    <row r="1404" spans="1:11" ht="12.75" x14ac:dyDescent="0.35">
      <c r="A1404" s="256"/>
      <c r="B1404" s="256"/>
      <c r="C1404" s="256"/>
      <c r="D1404" s="256"/>
      <c r="E1404" s="256"/>
      <c r="F1404" s="256"/>
      <c r="G1404" s="256"/>
      <c r="H1404" s="256"/>
      <c r="I1404" s="256"/>
      <c r="J1404" s="256"/>
      <c r="K1404" s="256"/>
    </row>
    <row r="1405" spans="1:11" ht="12.75" x14ac:dyDescent="0.35">
      <c r="A1405" s="256"/>
      <c r="B1405" s="256"/>
      <c r="C1405" s="256"/>
      <c r="D1405" s="256"/>
      <c r="E1405" s="256"/>
      <c r="F1405" s="256"/>
      <c r="G1405" s="256"/>
      <c r="H1405" s="256"/>
      <c r="I1405" s="256"/>
      <c r="J1405" s="256"/>
      <c r="K1405" s="256"/>
    </row>
    <row r="1406" spans="1:11" ht="12.75" x14ac:dyDescent="0.35">
      <c r="A1406" s="256"/>
      <c r="B1406" s="256"/>
      <c r="C1406" s="256"/>
      <c r="D1406" s="256"/>
      <c r="E1406" s="256"/>
      <c r="F1406" s="256"/>
      <c r="G1406" s="256"/>
      <c r="H1406" s="256"/>
      <c r="I1406" s="256"/>
      <c r="J1406" s="256"/>
      <c r="K1406" s="256"/>
    </row>
    <row r="1407" spans="1:11" ht="12.75" x14ac:dyDescent="0.35">
      <c r="A1407" s="256"/>
      <c r="B1407" s="256"/>
      <c r="C1407" s="256"/>
      <c r="D1407" s="256"/>
      <c r="E1407" s="256"/>
      <c r="F1407" s="256"/>
      <c r="G1407" s="256"/>
      <c r="H1407" s="256"/>
      <c r="I1407" s="256"/>
      <c r="J1407" s="256"/>
      <c r="K1407" s="256"/>
    </row>
    <row r="1408" spans="1:11" ht="12.75" x14ac:dyDescent="0.35">
      <c r="A1408" s="256"/>
      <c r="B1408" s="256"/>
      <c r="C1408" s="256"/>
      <c r="D1408" s="256"/>
      <c r="E1408" s="256"/>
      <c r="F1408" s="256"/>
      <c r="G1408" s="256"/>
      <c r="H1408" s="256"/>
      <c r="I1408" s="256"/>
      <c r="J1408" s="256"/>
      <c r="K1408" s="256"/>
    </row>
    <row r="1409" spans="1:11" ht="12.75" x14ac:dyDescent="0.35">
      <c r="A1409" s="256"/>
      <c r="B1409" s="256"/>
      <c r="C1409" s="256"/>
      <c r="D1409" s="256"/>
      <c r="E1409" s="256"/>
      <c r="F1409" s="256"/>
      <c r="G1409" s="256"/>
      <c r="H1409" s="256"/>
      <c r="I1409" s="256"/>
      <c r="J1409" s="256"/>
      <c r="K1409" s="256"/>
    </row>
    <row r="1410" spans="1:11" ht="12.75" x14ac:dyDescent="0.35">
      <c r="A1410" s="256"/>
      <c r="B1410" s="256"/>
      <c r="C1410" s="256"/>
      <c r="D1410" s="256"/>
      <c r="E1410" s="256"/>
      <c r="F1410" s="256"/>
      <c r="G1410" s="256"/>
      <c r="H1410" s="256"/>
      <c r="I1410" s="256"/>
      <c r="J1410" s="256"/>
      <c r="K1410" s="256"/>
    </row>
    <row r="1411" spans="1:11" ht="12.75" x14ac:dyDescent="0.35">
      <c r="A1411" s="256"/>
      <c r="B1411" s="256"/>
      <c r="C1411" s="256"/>
      <c r="D1411" s="256"/>
      <c r="E1411" s="256"/>
      <c r="F1411" s="256"/>
      <c r="G1411" s="256"/>
      <c r="H1411" s="256"/>
      <c r="I1411" s="256"/>
      <c r="J1411" s="256"/>
      <c r="K1411" s="256"/>
    </row>
    <row r="1412" spans="1:11" ht="12.75" x14ac:dyDescent="0.35">
      <c r="A1412" s="256"/>
      <c r="B1412" s="256"/>
      <c r="C1412" s="256"/>
      <c r="D1412" s="256"/>
      <c r="E1412" s="256"/>
      <c r="F1412" s="256"/>
      <c r="G1412" s="256"/>
      <c r="H1412" s="256"/>
      <c r="I1412" s="256"/>
      <c r="J1412" s="256"/>
      <c r="K1412" s="256"/>
    </row>
    <row r="1413" spans="1:11" ht="12.75" x14ac:dyDescent="0.35">
      <c r="A1413" s="256"/>
      <c r="B1413" s="256"/>
      <c r="C1413" s="256"/>
      <c r="D1413" s="256"/>
      <c r="E1413" s="256"/>
      <c r="F1413" s="256"/>
      <c r="G1413" s="256"/>
      <c r="H1413" s="256"/>
      <c r="I1413" s="256"/>
      <c r="J1413" s="256"/>
      <c r="K1413" s="256"/>
    </row>
    <row r="1414" spans="1:11" ht="12.75" x14ac:dyDescent="0.35">
      <c r="A1414" s="256"/>
      <c r="B1414" s="256"/>
      <c r="C1414" s="256"/>
      <c r="D1414" s="256"/>
      <c r="E1414" s="256"/>
      <c r="F1414" s="256"/>
      <c r="G1414" s="256"/>
      <c r="H1414" s="256"/>
      <c r="I1414" s="256"/>
      <c r="J1414" s="256"/>
      <c r="K1414" s="256"/>
    </row>
    <row r="1415" spans="1:11" ht="12.75" x14ac:dyDescent="0.35">
      <c r="A1415" s="256"/>
      <c r="B1415" s="256"/>
      <c r="C1415" s="256"/>
      <c r="D1415" s="256"/>
      <c r="E1415" s="256"/>
      <c r="F1415" s="256"/>
      <c r="G1415" s="256"/>
      <c r="H1415" s="256"/>
      <c r="I1415" s="256"/>
      <c r="J1415" s="256"/>
      <c r="K1415" s="256"/>
    </row>
    <row r="1416" spans="1:11" ht="12.75" x14ac:dyDescent="0.35">
      <c r="A1416" s="256"/>
      <c r="B1416" s="256"/>
      <c r="C1416" s="256"/>
      <c r="D1416" s="256"/>
      <c r="E1416" s="256"/>
      <c r="F1416" s="256"/>
      <c r="G1416" s="256"/>
      <c r="H1416" s="256"/>
      <c r="I1416" s="256"/>
      <c r="J1416" s="256"/>
      <c r="K1416" s="256"/>
    </row>
    <row r="1417" spans="1:11" ht="12.75" x14ac:dyDescent="0.35">
      <c r="A1417" s="256"/>
      <c r="B1417" s="256"/>
      <c r="C1417" s="256"/>
      <c r="D1417" s="256"/>
      <c r="E1417" s="256"/>
      <c r="F1417" s="256"/>
      <c r="G1417" s="256"/>
      <c r="H1417" s="256"/>
      <c r="I1417" s="256"/>
      <c r="J1417" s="256"/>
      <c r="K1417" s="256"/>
    </row>
    <row r="1418" spans="1:11" ht="12.75" x14ac:dyDescent="0.35">
      <c r="A1418" s="256"/>
      <c r="B1418" s="256"/>
      <c r="C1418" s="256"/>
      <c r="D1418" s="256"/>
      <c r="E1418" s="256"/>
      <c r="F1418" s="256"/>
      <c r="G1418" s="256"/>
      <c r="H1418" s="256"/>
      <c r="I1418" s="256"/>
      <c r="J1418" s="256"/>
      <c r="K1418" s="256"/>
    </row>
    <row r="1419" spans="1:11" ht="12.75" x14ac:dyDescent="0.35">
      <c r="A1419" s="256"/>
      <c r="B1419" s="256"/>
      <c r="C1419" s="256"/>
      <c r="D1419" s="256"/>
      <c r="E1419" s="256"/>
      <c r="F1419" s="256"/>
      <c r="G1419" s="256"/>
      <c r="H1419" s="256"/>
      <c r="I1419" s="256"/>
      <c r="J1419" s="256"/>
      <c r="K1419" s="256"/>
    </row>
    <row r="1420" spans="1:11" ht="12.75" x14ac:dyDescent="0.35">
      <c r="A1420" s="256"/>
      <c r="B1420" s="256"/>
      <c r="C1420" s="256"/>
      <c r="D1420" s="256"/>
      <c r="E1420" s="256"/>
      <c r="F1420" s="256"/>
      <c r="G1420" s="256"/>
      <c r="H1420" s="256"/>
      <c r="I1420" s="256"/>
      <c r="J1420" s="256"/>
      <c r="K1420" s="256"/>
    </row>
    <row r="1421" spans="1:11" ht="12.75" x14ac:dyDescent="0.35">
      <c r="A1421" s="256"/>
      <c r="B1421" s="256"/>
      <c r="C1421" s="256"/>
      <c r="D1421" s="256"/>
      <c r="E1421" s="256"/>
      <c r="F1421" s="256"/>
      <c r="G1421" s="256"/>
      <c r="H1421" s="256"/>
      <c r="I1421" s="256"/>
      <c r="J1421" s="256"/>
      <c r="K1421" s="256"/>
    </row>
    <row r="1422" spans="1:11" ht="12.75" x14ac:dyDescent="0.35">
      <c r="A1422" s="256"/>
      <c r="B1422" s="256"/>
      <c r="C1422" s="256"/>
      <c r="D1422" s="256"/>
      <c r="E1422" s="256"/>
      <c r="F1422" s="256"/>
      <c r="G1422" s="256"/>
      <c r="H1422" s="256"/>
      <c r="I1422" s="256"/>
      <c r="J1422" s="256"/>
      <c r="K1422" s="256"/>
    </row>
    <row r="1423" spans="1:11" ht="12.75" x14ac:dyDescent="0.35">
      <c r="A1423" s="256"/>
      <c r="B1423" s="256"/>
      <c r="C1423" s="256"/>
      <c r="D1423" s="256"/>
      <c r="E1423" s="256"/>
      <c r="F1423" s="256"/>
      <c r="G1423" s="256"/>
      <c r="H1423" s="256"/>
      <c r="I1423" s="256"/>
      <c r="J1423" s="256"/>
      <c r="K1423" s="256"/>
    </row>
    <row r="1424" spans="1:11" ht="12.75" x14ac:dyDescent="0.35">
      <c r="A1424" s="256"/>
      <c r="B1424" s="256"/>
      <c r="C1424" s="256"/>
      <c r="D1424" s="256"/>
      <c r="E1424" s="256"/>
      <c r="F1424" s="256"/>
      <c r="G1424" s="256"/>
      <c r="H1424" s="256"/>
      <c r="I1424" s="256"/>
      <c r="J1424" s="256"/>
      <c r="K1424" s="256"/>
    </row>
    <row r="1425" spans="1:11" ht="12.75" x14ac:dyDescent="0.35">
      <c r="A1425" s="256"/>
      <c r="B1425" s="256"/>
      <c r="C1425" s="256"/>
      <c r="D1425" s="256"/>
      <c r="E1425" s="256"/>
      <c r="F1425" s="256"/>
      <c r="G1425" s="256"/>
      <c r="H1425" s="256"/>
      <c r="I1425" s="256"/>
      <c r="J1425" s="256"/>
      <c r="K1425" s="256"/>
    </row>
    <row r="1426" spans="1:11" ht="12.75" x14ac:dyDescent="0.35">
      <c r="A1426" s="256"/>
      <c r="B1426" s="256"/>
      <c r="C1426" s="256"/>
      <c r="D1426" s="256"/>
      <c r="E1426" s="256"/>
      <c r="F1426" s="256"/>
      <c r="G1426" s="256"/>
      <c r="H1426" s="256"/>
      <c r="I1426" s="256"/>
      <c r="J1426" s="256"/>
      <c r="K1426" s="256"/>
    </row>
    <row r="1427" spans="1:11" ht="12.75" x14ac:dyDescent="0.35">
      <c r="A1427" s="256"/>
      <c r="B1427" s="256"/>
      <c r="C1427" s="256"/>
      <c r="D1427" s="256"/>
      <c r="E1427" s="256"/>
      <c r="F1427" s="256"/>
      <c r="G1427" s="256"/>
      <c r="H1427" s="256"/>
      <c r="I1427" s="256"/>
      <c r="J1427" s="256"/>
      <c r="K1427" s="256"/>
    </row>
    <row r="1428" spans="1:11" ht="12.75" x14ac:dyDescent="0.35">
      <c r="A1428" s="256"/>
      <c r="B1428" s="256"/>
      <c r="C1428" s="256"/>
      <c r="D1428" s="256"/>
      <c r="E1428" s="256"/>
      <c r="F1428" s="256"/>
      <c r="G1428" s="256"/>
      <c r="H1428" s="256"/>
      <c r="I1428" s="256"/>
      <c r="J1428" s="256"/>
      <c r="K1428" s="256"/>
    </row>
    <row r="1429" spans="1:11" ht="12.75" x14ac:dyDescent="0.35">
      <c r="A1429" s="256"/>
      <c r="B1429" s="256"/>
      <c r="C1429" s="256"/>
      <c r="D1429" s="256"/>
      <c r="E1429" s="256"/>
      <c r="F1429" s="256"/>
      <c r="G1429" s="256"/>
      <c r="H1429" s="256"/>
      <c r="I1429" s="256"/>
      <c r="J1429" s="256"/>
      <c r="K1429" s="256"/>
    </row>
    <row r="1430" spans="1:11" ht="12.75" x14ac:dyDescent="0.35">
      <c r="A1430" s="256"/>
      <c r="B1430" s="256"/>
      <c r="C1430" s="256"/>
      <c r="D1430" s="256"/>
      <c r="E1430" s="256"/>
      <c r="F1430" s="256"/>
      <c r="G1430" s="256"/>
      <c r="H1430" s="256"/>
      <c r="I1430" s="256"/>
      <c r="J1430" s="256"/>
      <c r="K1430" s="256"/>
    </row>
    <row r="1431" spans="1:11" ht="12.75" x14ac:dyDescent="0.35">
      <c r="A1431" s="256"/>
      <c r="B1431" s="256"/>
      <c r="C1431" s="256"/>
      <c r="D1431" s="256"/>
      <c r="E1431" s="256"/>
      <c r="F1431" s="256"/>
      <c r="G1431" s="256"/>
      <c r="H1431" s="256"/>
      <c r="I1431" s="256"/>
      <c r="J1431" s="256"/>
      <c r="K1431" s="256"/>
    </row>
    <row r="1432" spans="1:11" ht="12.75" x14ac:dyDescent="0.35">
      <c r="A1432" s="256"/>
      <c r="B1432" s="256"/>
      <c r="C1432" s="256"/>
      <c r="D1432" s="256"/>
      <c r="E1432" s="256"/>
      <c r="F1432" s="256"/>
      <c r="G1432" s="256"/>
      <c r="H1432" s="256"/>
      <c r="I1432" s="256"/>
      <c r="J1432" s="256"/>
      <c r="K1432" s="256"/>
    </row>
    <row r="1433" spans="1:11" ht="12.75" x14ac:dyDescent="0.35">
      <c r="A1433" s="256"/>
      <c r="B1433" s="256"/>
      <c r="C1433" s="256"/>
      <c r="D1433" s="256"/>
      <c r="E1433" s="256"/>
      <c r="F1433" s="256"/>
      <c r="G1433" s="256"/>
      <c r="H1433" s="256"/>
      <c r="I1433" s="256"/>
      <c r="J1433" s="256"/>
      <c r="K1433" s="256"/>
    </row>
    <row r="1434" spans="1:11" ht="12.75" x14ac:dyDescent="0.35">
      <c r="A1434" s="256"/>
      <c r="B1434" s="256"/>
      <c r="C1434" s="256"/>
      <c r="D1434" s="256"/>
      <c r="E1434" s="256"/>
      <c r="F1434" s="256"/>
      <c r="G1434" s="256"/>
      <c r="H1434" s="256"/>
      <c r="I1434" s="256"/>
      <c r="J1434" s="256"/>
      <c r="K1434" s="256"/>
    </row>
    <row r="1435" spans="1:11" ht="12.75" x14ac:dyDescent="0.35">
      <c r="A1435" s="256"/>
      <c r="B1435" s="256"/>
      <c r="C1435" s="256"/>
      <c r="D1435" s="256"/>
      <c r="E1435" s="256"/>
      <c r="F1435" s="256"/>
      <c r="G1435" s="256"/>
      <c r="H1435" s="256"/>
      <c r="I1435" s="256"/>
      <c r="J1435" s="256"/>
      <c r="K1435" s="256"/>
    </row>
    <row r="1436" spans="1:11" ht="12.75" x14ac:dyDescent="0.35">
      <c r="A1436" s="256"/>
      <c r="B1436" s="256"/>
      <c r="C1436" s="256"/>
      <c r="D1436" s="256"/>
      <c r="E1436" s="256"/>
      <c r="F1436" s="256"/>
      <c r="G1436" s="256"/>
      <c r="H1436" s="256"/>
      <c r="I1436" s="256"/>
      <c r="J1436" s="256"/>
      <c r="K1436" s="256"/>
    </row>
    <row r="1437" spans="1:11" ht="12.75" x14ac:dyDescent="0.35">
      <c r="A1437" s="256"/>
      <c r="B1437" s="256"/>
      <c r="C1437" s="256"/>
      <c r="D1437" s="256"/>
      <c r="E1437" s="256"/>
      <c r="F1437" s="256"/>
      <c r="G1437" s="256"/>
      <c r="H1437" s="256"/>
      <c r="I1437" s="256"/>
      <c r="J1437" s="256"/>
      <c r="K1437" s="256"/>
    </row>
    <row r="1438" spans="1:11" ht="12.75" x14ac:dyDescent="0.35">
      <c r="A1438" s="256"/>
      <c r="B1438" s="256"/>
      <c r="C1438" s="256"/>
      <c r="D1438" s="256"/>
      <c r="E1438" s="256"/>
      <c r="F1438" s="256"/>
      <c r="G1438" s="256"/>
      <c r="H1438" s="256"/>
      <c r="I1438" s="256"/>
      <c r="J1438" s="256"/>
      <c r="K1438" s="256"/>
    </row>
    <row r="1439" spans="1:11" ht="12.75" x14ac:dyDescent="0.35">
      <c r="A1439" s="256"/>
      <c r="B1439" s="256"/>
      <c r="C1439" s="256"/>
      <c r="D1439" s="256"/>
      <c r="E1439" s="256"/>
      <c r="F1439" s="256"/>
      <c r="G1439" s="256"/>
      <c r="H1439" s="256"/>
      <c r="I1439" s="256"/>
      <c r="J1439" s="256"/>
      <c r="K1439" s="256"/>
    </row>
    <row r="1440" spans="1:11" ht="12.75" x14ac:dyDescent="0.35">
      <c r="A1440" s="256"/>
      <c r="B1440" s="256"/>
      <c r="C1440" s="256"/>
      <c r="D1440" s="256"/>
      <c r="E1440" s="256"/>
      <c r="F1440" s="256"/>
      <c r="G1440" s="256"/>
      <c r="H1440" s="256"/>
      <c r="I1440" s="256"/>
      <c r="J1440" s="256"/>
      <c r="K1440" s="256"/>
    </row>
    <row r="1441" spans="1:11" ht="12.75" x14ac:dyDescent="0.35">
      <c r="A1441" s="256"/>
      <c r="B1441" s="256"/>
      <c r="C1441" s="256"/>
      <c r="D1441" s="256"/>
      <c r="E1441" s="256"/>
      <c r="F1441" s="256"/>
      <c r="G1441" s="256"/>
      <c r="H1441" s="256"/>
      <c r="I1441" s="256"/>
      <c r="J1441" s="256"/>
      <c r="K1441" s="256"/>
    </row>
    <row r="1442" spans="1:11" ht="12.75" x14ac:dyDescent="0.35">
      <c r="A1442" s="256"/>
      <c r="B1442" s="256"/>
      <c r="C1442" s="256"/>
      <c r="D1442" s="256"/>
      <c r="E1442" s="256"/>
      <c r="F1442" s="256"/>
      <c r="G1442" s="256"/>
      <c r="H1442" s="256"/>
      <c r="I1442" s="256"/>
      <c r="J1442" s="256"/>
      <c r="K1442" s="256"/>
    </row>
    <row r="1443" spans="1:11" ht="12.75" x14ac:dyDescent="0.35">
      <c r="A1443" s="256"/>
      <c r="B1443" s="256"/>
      <c r="C1443" s="256"/>
      <c r="D1443" s="256"/>
      <c r="E1443" s="256"/>
      <c r="F1443" s="256"/>
      <c r="G1443" s="256"/>
      <c r="H1443" s="256"/>
      <c r="I1443" s="256"/>
      <c r="J1443" s="256"/>
      <c r="K1443" s="256"/>
    </row>
    <row r="1444" spans="1:11" ht="12.75" x14ac:dyDescent="0.35">
      <c r="A1444" s="256"/>
      <c r="B1444" s="256"/>
      <c r="C1444" s="256"/>
      <c r="D1444" s="256"/>
      <c r="E1444" s="256"/>
      <c r="F1444" s="256"/>
      <c r="G1444" s="256"/>
      <c r="H1444" s="256"/>
      <c r="I1444" s="256"/>
      <c r="J1444" s="256"/>
      <c r="K1444" s="256"/>
    </row>
    <row r="1445" spans="1:11" ht="12.75" x14ac:dyDescent="0.35">
      <c r="A1445" s="256"/>
      <c r="B1445" s="256"/>
      <c r="C1445" s="256"/>
      <c r="D1445" s="256"/>
      <c r="E1445" s="256"/>
      <c r="F1445" s="256"/>
      <c r="G1445" s="256"/>
      <c r="H1445" s="256"/>
      <c r="I1445" s="256"/>
      <c r="J1445" s="256"/>
      <c r="K1445" s="256"/>
    </row>
    <row r="1446" spans="1:11" ht="12.75" x14ac:dyDescent="0.35">
      <c r="A1446" s="256"/>
      <c r="B1446" s="256"/>
      <c r="C1446" s="256"/>
      <c r="D1446" s="256"/>
      <c r="E1446" s="256"/>
      <c r="F1446" s="256"/>
      <c r="G1446" s="256"/>
      <c r="H1446" s="256"/>
      <c r="I1446" s="256"/>
      <c r="J1446" s="256"/>
      <c r="K1446" s="256"/>
    </row>
    <row r="1447" spans="1:11" ht="12.75" x14ac:dyDescent="0.35">
      <c r="A1447" s="256"/>
      <c r="B1447" s="256"/>
      <c r="C1447" s="256"/>
      <c r="D1447" s="256"/>
      <c r="E1447" s="256"/>
      <c r="F1447" s="256"/>
      <c r="G1447" s="256"/>
      <c r="H1447" s="256"/>
      <c r="I1447" s="256"/>
      <c r="J1447" s="256"/>
      <c r="K1447" s="256"/>
    </row>
    <row r="1448" spans="1:11" ht="12.75" x14ac:dyDescent="0.35">
      <c r="A1448" s="256"/>
      <c r="B1448" s="256"/>
      <c r="C1448" s="256"/>
      <c r="D1448" s="256"/>
      <c r="E1448" s="256"/>
      <c r="F1448" s="256"/>
      <c r="G1448" s="256"/>
      <c r="H1448" s="256"/>
      <c r="I1448" s="256"/>
      <c r="J1448" s="256"/>
      <c r="K1448" s="256"/>
    </row>
    <row r="1449" spans="1:11" ht="12.75" x14ac:dyDescent="0.35">
      <c r="A1449" s="256"/>
      <c r="B1449" s="256"/>
      <c r="C1449" s="256"/>
      <c r="D1449" s="256"/>
      <c r="E1449" s="256"/>
      <c r="F1449" s="256"/>
      <c r="G1449" s="256"/>
      <c r="H1449" s="256"/>
      <c r="I1449" s="256"/>
      <c r="J1449" s="256"/>
      <c r="K1449" s="256"/>
    </row>
    <row r="1450" spans="1:11" ht="12.75" x14ac:dyDescent="0.35">
      <c r="A1450" s="256"/>
      <c r="B1450" s="256"/>
      <c r="C1450" s="256"/>
      <c r="D1450" s="256"/>
      <c r="E1450" s="256"/>
      <c r="F1450" s="256"/>
      <c r="G1450" s="256"/>
      <c r="H1450" s="256"/>
      <c r="I1450" s="256"/>
      <c r="J1450" s="256"/>
      <c r="K1450" s="256"/>
    </row>
    <row r="1451" spans="1:11" ht="12.75" x14ac:dyDescent="0.35">
      <c r="A1451" s="256"/>
      <c r="B1451" s="256"/>
      <c r="C1451" s="256"/>
      <c r="D1451" s="256"/>
      <c r="E1451" s="256"/>
      <c r="F1451" s="256"/>
      <c r="G1451" s="256"/>
      <c r="H1451" s="256"/>
      <c r="I1451" s="256"/>
      <c r="J1451" s="256"/>
      <c r="K1451" s="256"/>
    </row>
    <row r="1452" spans="1:11" ht="12.75" x14ac:dyDescent="0.35">
      <c r="A1452" s="256"/>
      <c r="B1452" s="256"/>
      <c r="C1452" s="256"/>
      <c r="D1452" s="256"/>
      <c r="E1452" s="256"/>
      <c r="F1452" s="256"/>
      <c r="G1452" s="256"/>
      <c r="H1452" s="256"/>
      <c r="I1452" s="256"/>
      <c r="J1452" s="256"/>
      <c r="K1452" s="256"/>
    </row>
    <row r="1453" spans="1:11" ht="12.75" x14ac:dyDescent="0.35">
      <c r="A1453" s="256"/>
      <c r="B1453" s="256"/>
      <c r="C1453" s="256"/>
      <c r="D1453" s="256"/>
      <c r="E1453" s="256"/>
      <c r="F1453" s="256"/>
      <c r="G1453" s="256"/>
      <c r="H1453" s="256"/>
      <c r="I1453" s="256"/>
      <c r="J1453" s="256"/>
      <c r="K1453" s="256"/>
    </row>
    <row r="1454" spans="1:11" ht="12.75" x14ac:dyDescent="0.35">
      <c r="A1454" s="256"/>
      <c r="B1454" s="256"/>
      <c r="C1454" s="256"/>
      <c r="D1454" s="256"/>
      <c r="E1454" s="256"/>
      <c r="F1454" s="256"/>
      <c r="G1454" s="256"/>
      <c r="H1454" s="256"/>
      <c r="I1454" s="256"/>
      <c r="J1454" s="256"/>
      <c r="K1454" s="256"/>
    </row>
    <row r="1455" spans="1:11" ht="12.75" x14ac:dyDescent="0.35">
      <c r="A1455" s="256"/>
      <c r="B1455" s="256"/>
      <c r="C1455" s="256"/>
      <c r="D1455" s="256"/>
      <c r="E1455" s="256"/>
      <c r="F1455" s="256"/>
      <c r="G1455" s="256"/>
      <c r="H1455" s="256"/>
      <c r="I1455" s="256"/>
      <c r="J1455" s="256"/>
      <c r="K1455" s="256"/>
    </row>
    <row r="1456" spans="1:11" ht="12.75" x14ac:dyDescent="0.35">
      <c r="A1456" s="256"/>
      <c r="B1456" s="256"/>
      <c r="C1456" s="256"/>
      <c r="D1456" s="256"/>
      <c r="E1456" s="256"/>
      <c r="F1456" s="256"/>
      <c r="G1456" s="256"/>
      <c r="H1456" s="256"/>
      <c r="I1456" s="256"/>
      <c r="J1456" s="256"/>
      <c r="K1456" s="256"/>
    </row>
    <row r="1457" spans="1:11" ht="12.75" x14ac:dyDescent="0.35">
      <c r="A1457" s="256"/>
      <c r="B1457" s="256"/>
      <c r="C1457" s="256"/>
      <c r="D1457" s="256"/>
      <c r="E1457" s="256"/>
      <c r="F1457" s="256"/>
      <c r="G1457" s="256"/>
      <c r="H1457" s="256"/>
      <c r="I1457" s="256"/>
      <c r="J1457" s="256"/>
      <c r="K1457" s="256"/>
    </row>
    <row r="1458" spans="1:11" ht="12.75" x14ac:dyDescent="0.35">
      <c r="A1458" s="256"/>
      <c r="B1458" s="256"/>
      <c r="C1458" s="256"/>
      <c r="D1458" s="256"/>
      <c r="E1458" s="256"/>
      <c r="F1458" s="256"/>
      <c r="G1458" s="256"/>
      <c r="H1458" s="256"/>
      <c r="I1458" s="256"/>
      <c r="J1458" s="256"/>
      <c r="K1458" s="256"/>
    </row>
    <row r="1459" spans="1:11" ht="12.75" x14ac:dyDescent="0.35">
      <c r="A1459" s="256"/>
      <c r="B1459" s="256"/>
      <c r="C1459" s="256"/>
      <c r="D1459" s="256"/>
      <c r="E1459" s="256"/>
      <c r="F1459" s="256"/>
      <c r="G1459" s="256"/>
      <c r="H1459" s="256"/>
      <c r="I1459" s="256"/>
      <c r="J1459" s="256"/>
      <c r="K1459" s="256"/>
    </row>
    <row r="1460" spans="1:11" ht="12.75" x14ac:dyDescent="0.35">
      <c r="A1460" s="256"/>
      <c r="B1460" s="256"/>
      <c r="C1460" s="256"/>
      <c r="D1460" s="256"/>
      <c r="E1460" s="256"/>
      <c r="F1460" s="256"/>
      <c r="G1460" s="256"/>
      <c r="H1460" s="256"/>
      <c r="I1460" s="256"/>
      <c r="J1460" s="256"/>
      <c r="K1460" s="256"/>
    </row>
    <row r="1461" spans="1:11" ht="12.75" x14ac:dyDescent="0.35">
      <c r="A1461" s="256"/>
      <c r="B1461" s="256"/>
      <c r="C1461" s="256"/>
      <c r="D1461" s="256"/>
      <c r="E1461" s="256"/>
      <c r="F1461" s="256"/>
      <c r="G1461" s="256"/>
      <c r="H1461" s="256"/>
      <c r="I1461" s="256"/>
      <c r="J1461" s="256"/>
      <c r="K1461" s="256"/>
    </row>
    <row r="1462" spans="1:11" ht="12.75" x14ac:dyDescent="0.35">
      <c r="A1462" s="256"/>
      <c r="B1462" s="256"/>
      <c r="C1462" s="256"/>
      <c r="D1462" s="256"/>
      <c r="E1462" s="256"/>
      <c r="F1462" s="256"/>
      <c r="G1462" s="256"/>
      <c r="H1462" s="256"/>
      <c r="I1462" s="256"/>
      <c r="J1462" s="256"/>
      <c r="K1462" s="256"/>
    </row>
    <row r="1463" spans="1:11" ht="12.75" x14ac:dyDescent="0.35">
      <c r="A1463" s="256"/>
      <c r="B1463" s="256"/>
      <c r="C1463" s="256"/>
      <c r="D1463" s="256"/>
      <c r="E1463" s="256"/>
      <c r="F1463" s="256"/>
      <c r="G1463" s="256"/>
      <c r="H1463" s="256"/>
      <c r="I1463" s="256"/>
      <c r="J1463" s="256"/>
      <c r="K1463" s="256"/>
    </row>
    <row r="1464" spans="1:11" ht="12.75" x14ac:dyDescent="0.35">
      <c r="A1464" s="256"/>
      <c r="B1464" s="256"/>
      <c r="C1464" s="256"/>
      <c r="D1464" s="256"/>
      <c r="E1464" s="256"/>
      <c r="F1464" s="256"/>
      <c r="G1464" s="256"/>
      <c r="H1464" s="256"/>
      <c r="I1464" s="256"/>
      <c r="J1464" s="256"/>
      <c r="K1464" s="256"/>
    </row>
    <row r="1465" spans="1:11" ht="12.75" x14ac:dyDescent="0.35">
      <c r="A1465" s="256"/>
      <c r="B1465" s="256"/>
      <c r="C1465" s="256"/>
      <c r="D1465" s="256"/>
      <c r="E1465" s="256"/>
      <c r="F1465" s="256"/>
      <c r="G1465" s="256"/>
      <c r="H1465" s="256"/>
      <c r="I1465" s="256"/>
      <c r="J1465" s="256"/>
      <c r="K1465" s="256"/>
    </row>
    <row r="1466" spans="1:11" ht="12.75" x14ac:dyDescent="0.35">
      <c r="A1466" s="256"/>
      <c r="B1466" s="256"/>
      <c r="C1466" s="256"/>
      <c r="D1466" s="256"/>
      <c r="E1466" s="256"/>
      <c r="F1466" s="256"/>
      <c r="G1466" s="256"/>
      <c r="H1466" s="256"/>
      <c r="I1466" s="256"/>
      <c r="J1466" s="256"/>
      <c r="K1466" s="256"/>
    </row>
    <row r="1467" spans="1:11" ht="12.75" x14ac:dyDescent="0.35">
      <c r="A1467" s="256"/>
      <c r="B1467" s="256"/>
      <c r="C1467" s="256"/>
      <c r="D1467" s="256"/>
      <c r="E1467" s="256"/>
      <c r="F1467" s="256"/>
      <c r="G1467" s="256"/>
      <c r="H1467" s="256"/>
      <c r="I1467" s="256"/>
      <c r="J1467" s="256"/>
      <c r="K1467" s="256"/>
    </row>
    <row r="1468" spans="1:11" ht="12.75" x14ac:dyDescent="0.35">
      <c r="A1468" s="256"/>
      <c r="B1468" s="256"/>
      <c r="C1468" s="256"/>
      <c r="D1468" s="256"/>
      <c r="E1468" s="256"/>
      <c r="F1468" s="256"/>
      <c r="G1468" s="256"/>
      <c r="H1468" s="256"/>
      <c r="I1468" s="256"/>
      <c r="J1468" s="256"/>
      <c r="K1468" s="256"/>
    </row>
    <row r="1469" spans="1:11" ht="12.75" x14ac:dyDescent="0.35">
      <c r="A1469" s="256"/>
      <c r="B1469" s="256"/>
      <c r="C1469" s="256"/>
      <c r="D1469" s="256"/>
      <c r="E1469" s="256"/>
      <c r="F1469" s="256"/>
      <c r="G1469" s="256"/>
      <c r="H1469" s="256"/>
      <c r="I1469" s="256"/>
      <c r="J1469" s="256"/>
      <c r="K1469" s="256"/>
    </row>
    <row r="1470" spans="1:11" ht="12.75" x14ac:dyDescent="0.35">
      <c r="A1470" s="256"/>
      <c r="B1470" s="256"/>
      <c r="C1470" s="256"/>
      <c r="D1470" s="256"/>
      <c r="E1470" s="256"/>
      <c r="F1470" s="256"/>
      <c r="G1470" s="256"/>
      <c r="H1470" s="256"/>
      <c r="I1470" s="256"/>
      <c r="J1470" s="256"/>
      <c r="K1470" s="256"/>
    </row>
    <row r="1471" spans="1:11" ht="12.75" x14ac:dyDescent="0.35">
      <c r="A1471" s="256"/>
      <c r="B1471" s="256"/>
      <c r="C1471" s="256"/>
      <c r="D1471" s="256"/>
      <c r="E1471" s="256"/>
      <c r="F1471" s="256"/>
      <c r="G1471" s="256"/>
      <c r="H1471" s="256"/>
      <c r="I1471" s="256"/>
      <c r="J1471" s="256"/>
      <c r="K1471" s="256"/>
    </row>
    <row r="1472" spans="1:11" ht="12.75" x14ac:dyDescent="0.35">
      <c r="A1472" s="256"/>
      <c r="B1472" s="256"/>
      <c r="C1472" s="256"/>
      <c r="D1472" s="256"/>
      <c r="E1472" s="256"/>
      <c r="F1472" s="256"/>
      <c r="G1472" s="256"/>
      <c r="H1472" s="256"/>
      <c r="I1472" s="256"/>
      <c r="J1472" s="256"/>
      <c r="K1472" s="256"/>
    </row>
    <row r="1473" spans="1:11" ht="12.75" x14ac:dyDescent="0.35">
      <c r="A1473" s="256"/>
      <c r="B1473" s="256"/>
      <c r="C1473" s="256"/>
      <c r="D1473" s="256"/>
      <c r="E1473" s="256"/>
      <c r="F1473" s="256"/>
      <c r="G1473" s="256"/>
      <c r="H1473" s="256"/>
      <c r="I1473" s="256"/>
      <c r="J1473" s="256"/>
      <c r="K1473" s="256"/>
    </row>
    <row r="1474" spans="1:11" ht="12.75" x14ac:dyDescent="0.35">
      <c r="A1474" s="256"/>
      <c r="B1474" s="256"/>
      <c r="C1474" s="256"/>
      <c r="D1474" s="256"/>
      <c r="E1474" s="256"/>
      <c r="F1474" s="256"/>
      <c r="G1474" s="256"/>
      <c r="H1474" s="256"/>
      <c r="I1474" s="256"/>
      <c r="J1474" s="256"/>
      <c r="K1474" s="256"/>
    </row>
    <row r="1475" spans="1:11" ht="12.75" x14ac:dyDescent="0.35">
      <c r="A1475" s="256"/>
      <c r="B1475" s="256"/>
      <c r="C1475" s="256"/>
      <c r="D1475" s="256"/>
      <c r="E1475" s="256"/>
      <c r="F1475" s="256"/>
      <c r="G1475" s="256"/>
      <c r="H1475" s="256"/>
      <c r="I1475" s="256"/>
      <c r="J1475" s="256"/>
      <c r="K1475" s="256"/>
    </row>
    <row r="1476" spans="1:11" ht="12.75" x14ac:dyDescent="0.35">
      <c r="A1476" s="256"/>
      <c r="B1476" s="256"/>
      <c r="C1476" s="256"/>
      <c r="D1476" s="256"/>
      <c r="E1476" s="256"/>
      <c r="F1476" s="256"/>
      <c r="G1476" s="256"/>
      <c r="H1476" s="256"/>
      <c r="I1476" s="256"/>
      <c r="J1476" s="256"/>
      <c r="K1476" s="256"/>
    </row>
    <row r="1477" spans="1:11" ht="12.75" x14ac:dyDescent="0.35">
      <c r="A1477" s="256"/>
      <c r="B1477" s="256"/>
      <c r="C1477" s="256"/>
      <c r="D1477" s="256"/>
      <c r="E1477" s="256"/>
      <c r="F1477" s="256"/>
      <c r="G1477" s="256"/>
      <c r="H1477" s="256"/>
      <c r="I1477" s="256"/>
      <c r="J1477" s="256"/>
      <c r="K1477" s="256"/>
    </row>
    <row r="1478" spans="1:11" ht="12.75" x14ac:dyDescent="0.35">
      <c r="A1478" s="256"/>
      <c r="B1478" s="256"/>
      <c r="C1478" s="256"/>
      <c r="D1478" s="256"/>
      <c r="E1478" s="256"/>
      <c r="F1478" s="256"/>
      <c r="G1478" s="256"/>
      <c r="H1478" s="256"/>
      <c r="I1478" s="256"/>
      <c r="J1478" s="256"/>
      <c r="K1478" s="256"/>
    </row>
    <row r="1479" spans="1:11" ht="12.75" x14ac:dyDescent="0.35">
      <c r="A1479" s="256"/>
      <c r="B1479" s="256"/>
      <c r="C1479" s="256"/>
      <c r="D1479" s="256"/>
      <c r="E1479" s="256"/>
      <c r="F1479" s="256"/>
      <c r="G1479" s="256"/>
      <c r="H1479" s="256"/>
      <c r="I1479" s="256"/>
      <c r="J1479" s="256"/>
      <c r="K1479" s="256"/>
    </row>
    <row r="1480" spans="1:11" ht="12.75" x14ac:dyDescent="0.35">
      <c r="A1480" s="256"/>
      <c r="B1480" s="256"/>
      <c r="C1480" s="256"/>
      <c r="D1480" s="256"/>
      <c r="E1480" s="256"/>
      <c r="F1480" s="256"/>
      <c r="G1480" s="256"/>
      <c r="H1480" s="256"/>
      <c r="I1480" s="256"/>
      <c r="J1480" s="256"/>
      <c r="K1480" s="256"/>
    </row>
    <row r="1481" spans="1:11" ht="12.75" x14ac:dyDescent="0.35">
      <c r="A1481" s="256"/>
      <c r="B1481" s="256"/>
      <c r="C1481" s="256"/>
      <c r="D1481" s="256"/>
      <c r="E1481" s="256"/>
      <c r="F1481" s="256"/>
      <c r="G1481" s="256"/>
      <c r="H1481" s="256"/>
      <c r="I1481" s="256"/>
      <c r="J1481" s="256"/>
      <c r="K1481" s="256"/>
    </row>
    <row r="1482" spans="1:11" ht="12.75" x14ac:dyDescent="0.35">
      <c r="A1482" s="256"/>
      <c r="B1482" s="256"/>
      <c r="C1482" s="256"/>
      <c r="D1482" s="256"/>
      <c r="E1482" s="256"/>
      <c r="F1482" s="256"/>
      <c r="G1482" s="256"/>
      <c r="H1482" s="256"/>
      <c r="I1482" s="256"/>
      <c r="J1482" s="256"/>
      <c r="K1482" s="256"/>
    </row>
    <row r="1483" spans="1:11" ht="12.75" x14ac:dyDescent="0.35">
      <c r="A1483" s="256"/>
      <c r="B1483" s="256"/>
      <c r="C1483" s="256"/>
      <c r="D1483" s="256"/>
      <c r="E1483" s="256"/>
      <c r="F1483" s="256"/>
      <c r="G1483" s="256"/>
      <c r="H1483" s="256"/>
      <c r="I1483" s="256"/>
      <c r="J1483" s="256"/>
      <c r="K1483" s="256"/>
    </row>
    <row r="1484" spans="1:11" ht="12.75" x14ac:dyDescent="0.35">
      <c r="A1484" s="256"/>
      <c r="B1484" s="256"/>
      <c r="C1484" s="256"/>
      <c r="D1484" s="256"/>
      <c r="E1484" s="256"/>
      <c r="F1484" s="256"/>
      <c r="G1484" s="256"/>
      <c r="H1484" s="256"/>
      <c r="I1484" s="256"/>
      <c r="J1484" s="256"/>
      <c r="K1484" s="256"/>
    </row>
    <row r="1485" spans="1:11" ht="12.75" x14ac:dyDescent="0.35">
      <c r="A1485" s="256"/>
      <c r="B1485" s="256"/>
      <c r="C1485" s="256"/>
      <c r="D1485" s="256"/>
      <c r="E1485" s="256"/>
      <c r="F1485" s="256"/>
      <c r="G1485" s="256"/>
      <c r="H1485" s="256"/>
      <c r="I1485" s="256"/>
      <c r="J1485" s="256"/>
      <c r="K1485" s="256"/>
    </row>
    <row r="1486" spans="1:11" ht="12.75" x14ac:dyDescent="0.35">
      <c r="A1486" s="256"/>
      <c r="B1486" s="256"/>
      <c r="C1486" s="256"/>
      <c r="D1486" s="256"/>
      <c r="E1486" s="256"/>
      <c r="F1486" s="256"/>
      <c r="G1486" s="256"/>
      <c r="H1486" s="256"/>
      <c r="I1486" s="256"/>
      <c r="J1486" s="256"/>
      <c r="K1486" s="256"/>
    </row>
    <row r="1487" spans="1:11" ht="12.75" x14ac:dyDescent="0.35">
      <c r="A1487" s="256"/>
      <c r="B1487" s="256"/>
      <c r="C1487" s="256"/>
      <c r="D1487" s="256"/>
      <c r="E1487" s="256"/>
      <c r="F1487" s="256"/>
      <c r="G1487" s="256"/>
      <c r="H1487" s="256"/>
      <c r="I1487" s="256"/>
      <c r="J1487" s="256"/>
      <c r="K1487" s="256"/>
    </row>
    <row r="1488" spans="1:11" ht="12.75" x14ac:dyDescent="0.35">
      <c r="A1488" s="256"/>
      <c r="B1488" s="256"/>
      <c r="C1488" s="256"/>
      <c r="D1488" s="256"/>
      <c r="E1488" s="256"/>
      <c r="F1488" s="256"/>
      <c r="G1488" s="256"/>
      <c r="H1488" s="256"/>
      <c r="I1488" s="256"/>
      <c r="J1488" s="256"/>
      <c r="K1488" s="256"/>
    </row>
    <row r="1489" spans="1:11" ht="12.75" x14ac:dyDescent="0.35">
      <c r="A1489" s="256"/>
      <c r="B1489" s="256"/>
      <c r="C1489" s="256"/>
      <c r="D1489" s="256"/>
      <c r="E1489" s="256"/>
      <c r="F1489" s="256"/>
      <c r="G1489" s="256"/>
      <c r="H1489" s="256"/>
      <c r="I1489" s="256"/>
      <c r="J1489" s="256"/>
      <c r="K1489" s="256"/>
    </row>
    <row r="1490" spans="1:11" ht="12.75" x14ac:dyDescent="0.35">
      <c r="A1490" s="256"/>
      <c r="B1490" s="256"/>
      <c r="C1490" s="256"/>
      <c r="D1490" s="256"/>
      <c r="E1490" s="256"/>
      <c r="F1490" s="256"/>
      <c r="G1490" s="256"/>
      <c r="H1490" s="256"/>
      <c r="I1490" s="256"/>
      <c r="J1490" s="256"/>
      <c r="K1490" s="256"/>
    </row>
    <row r="1491" spans="1:11" ht="12.75" x14ac:dyDescent="0.35">
      <c r="A1491" s="256"/>
      <c r="B1491" s="256"/>
      <c r="C1491" s="256"/>
      <c r="D1491" s="256"/>
      <c r="E1491" s="256"/>
      <c r="F1491" s="256"/>
      <c r="G1491" s="256"/>
      <c r="H1491" s="256"/>
      <c r="I1491" s="256"/>
      <c r="J1491" s="256"/>
      <c r="K1491" s="256"/>
    </row>
    <row r="1492" spans="1:11" ht="12.75" x14ac:dyDescent="0.35">
      <c r="A1492" s="256"/>
      <c r="B1492" s="256"/>
      <c r="C1492" s="256"/>
      <c r="D1492" s="256"/>
      <c r="E1492" s="256"/>
      <c r="F1492" s="256"/>
      <c r="G1492" s="256"/>
      <c r="H1492" s="256"/>
      <c r="I1492" s="256"/>
      <c r="J1492" s="256"/>
      <c r="K1492" s="256"/>
    </row>
    <row r="1493" spans="1:11" ht="12.75" x14ac:dyDescent="0.35">
      <c r="A1493" s="256"/>
      <c r="B1493" s="256"/>
      <c r="C1493" s="256"/>
      <c r="D1493" s="256"/>
      <c r="E1493" s="256"/>
      <c r="F1493" s="256"/>
      <c r="G1493" s="256"/>
      <c r="H1493" s="256"/>
      <c r="I1493" s="256"/>
      <c r="J1493" s="256"/>
      <c r="K1493" s="256"/>
    </row>
    <row r="1494" spans="1:11" ht="12.75" x14ac:dyDescent="0.35">
      <c r="A1494" s="256"/>
      <c r="B1494" s="256"/>
      <c r="C1494" s="256"/>
      <c r="D1494" s="256"/>
      <c r="E1494" s="256"/>
      <c r="F1494" s="256"/>
      <c r="G1494" s="256"/>
      <c r="H1494" s="256"/>
      <c r="I1494" s="256"/>
      <c r="J1494" s="256"/>
      <c r="K1494" s="256"/>
    </row>
    <row r="1495" spans="1:11" ht="12.75" x14ac:dyDescent="0.35">
      <c r="A1495" s="256"/>
      <c r="B1495" s="256"/>
      <c r="C1495" s="256"/>
      <c r="D1495" s="256"/>
      <c r="E1495" s="256"/>
      <c r="F1495" s="256"/>
      <c r="G1495" s="256"/>
      <c r="H1495" s="256"/>
      <c r="I1495" s="256"/>
      <c r="J1495" s="256"/>
      <c r="K1495" s="256"/>
    </row>
    <row r="1496" spans="1:11" ht="12.75" x14ac:dyDescent="0.35">
      <c r="A1496" s="256"/>
      <c r="B1496" s="256"/>
      <c r="C1496" s="256"/>
      <c r="D1496" s="256"/>
      <c r="E1496" s="256"/>
      <c r="F1496" s="256"/>
      <c r="G1496" s="256"/>
      <c r="H1496" s="256"/>
      <c r="I1496" s="256"/>
      <c r="J1496" s="256"/>
      <c r="K1496" s="256"/>
    </row>
    <row r="1497" spans="1:11" ht="12.75" x14ac:dyDescent="0.35">
      <c r="A1497" s="256"/>
      <c r="B1497" s="256"/>
      <c r="C1497" s="256"/>
      <c r="D1497" s="256"/>
      <c r="E1497" s="256"/>
      <c r="F1497" s="256"/>
      <c r="G1497" s="256"/>
      <c r="H1497" s="256"/>
      <c r="I1497" s="256"/>
      <c r="J1497" s="256"/>
      <c r="K1497" s="256"/>
    </row>
    <row r="1498" spans="1:11" ht="12.75" x14ac:dyDescent="0.35">
      <c r="A1498" s="256"/>
      <c r="B1498" s="256"/>
      <c r="C1498" s="256"/>
      <c r="D1498" s="256"/>
      <c r="E1498" s="256"/>
      <c r="F1498" s="256"/>
      <c r="G1498" s="256"/>
      <c r="H1498" s="256"/>
      <c r="I1498" s="256"/>
      <c r="J1498" s="256"/>
      <c r="K1498" s="256"/>
    </row>
    <row r="1499" spans="1:11" ht="12.75" x14ac:dyDescent="0.35">
      <c r="A1499" s="256"/>
      <c r="B1499" s="256"/>
      <c r="C1499" s="256"/>
      <c r="D1499" s="256"/>
      <c r="E1499" s="256"/>
      <c r="F1499" s="256"/>
      <c r="G1499" s="256"/>
      <c r="H1499" s="256"/>
      <c r="I1499" s="256"/>
      <c r="J1499" s="256"/>
      <c r="K1499" s="256"/>
    </row>
    <row r="1500" spans="1:11" ht="12.75" x14ac:dyDescent="0.35">
      <c r="A1500" s="256"/>
      <c r="B1500" s="256"/>
      <c r="C1500" s="256"/>
      <c r="D1500" s="256"/>
      <c r="E1500" s="256"/>
      <c r="F1500" s="256"/>
      <c r="G1500" s="256"/>
      <c r="H1500" s="256"/>
      <c r="I1500" s="256"/>
      <c r="J1500" s="256"/>
      <c r="K1500" s="256"/>
    </row>
    <row r="1501" spans="1:11" ht="12.75" x14ac:dyDescent="0.35">
      <c r="A1501" s="256"/>
      <c r="B1501" s="256"/>
      <c r="C1501" s="256"/>
      <c r="D1501" s="256"/>
      <c r="E1501" s="256"/>
      <c r="F1501" s="256"/>
      <c r="G1501" s="256"/>
      <c r="H1501" s="256"/>
      <c r="I1501" s="256"/>
      <c r="J1501" s="256"/>
      <c r="K1501" s="256"/>
    </row>
    <row r="1502" spans="1:11" ht="12.75" x14ac:dyDescent="0.35">
      <c r="A1502" s="256"/>
      <c r="B1502" s="256"/>
      <c r="C1502" s="256"/>
      <c r="D1502" s="256"/>
      <c r="E1502" s="256"/>
      <c r="F1502" s="256"/>
      <c r="G1502" s="256"/>
      <c r="H1502" s="256"/>
      <c r="I1502" s="256"/>
      <c r="J1502" s="256"/>
      <c r="K1502" s="256"/>
    </row>
    <row r="1503" spans="1:11" ht="12.75" x14ac:dyDescent="0.35">
      <c r="A1503" s="256"/>
      <c r="B1503" s="256"/>
      <c r="C1503" s="256"/>
      <c r="D1503" s="256"/>
      <c r="E1503" s="256"/>
      <c r="F1503" s="256"/>
      <c r="G1503" s="256"/>
      <c r="H1503" s="256"/>
      <c r="I1503" s="256"/>
      <c r="J1503" s="256"/>
      <c r="K1503" s="256"/>
    </row>
    <row r="1504" spans="1:11" ht="12.75" x14ac:dyDescent="0.35">
      <c r="A1504" s="256"/>
      <c r="B1504" s="256"/>
      <c r="C1504" s="256"/>
      <c r="D1504" s="256"/>
      <c r="E1504" s="256"/>
      <c r="F1504" s="256"/>
      <c r="G1504" s="256"/>
      <c r="H1504" s="256"/>
      <c r="I1504" s="256"/>
      <c r="J1504" s="256"/>
      <c r="K1504" s="256"/>
    </row>
    <row r="1505" spans="1:11" ht="12.75" x14ac:dyDescent="0.35">
      <c r="A1505" s="256"/>
      <c r="B1505" s="256"/>
      <c r="C1505" s="256"/>
      <c r="D1505" s="256"/>
      <c r="E1505" s="256"/>
      <c r="F1505" s="256"/>
      <c r="G1505" s="256"/>
      <c r="H1505" s="256"/>
      <c r="I1505" s="256"/>
      <c r="J1505" s="256"/>
      <c r="K1505" s="256"/>
    </row>
    <row r="1506" spans="1:11" ht="12.75" x14ac:dyDescent="0.35">
      <c r="A1506" s="256"/>
      <c r="B1506" s="256"/>
      <c r="C1506" s="256"/>
      <c r="D1506" s="256"/>
      <c r="E1506" s="256"/>
      <c r="F1506" s="256"/>
      <c r="G1506" s="256"/>
      <c r="H1506" s="256"/>
      <c r="I1506" s="256"/>
      <c r="J1506" s="256"/>
      <c r="K1506" s="256"/>
    </row>
    <row r="1507" spans="1:11" ht="12.75" x14ac:dyDescent="0.35">
      <c r="A1507" s="256"/>
      <c r="B1507" s="256"/>
      <c r="C1507" s="256"/>
      <c r="D1507" s="256"/>
      <c r="E1507" s="256"/>
      <c r="F1507" s="256"/>
      <c r="G1507" s="256"/>
      <c r="H1507" s="256"/>
      <c r="I1507" s="256"/>
      <c r="J1507" s="256"/>
      <c r="K1507" s="256"/>
    </row>
    <row r="1508" spans="1:11" ht="12.75" x14ac:dyDescent="0.35">
      <c r="A1508" s="256"/>
      <c r="B1508" s="256"/>
      <c r="C1508" s="256"/>
      <c r="D1508" s="256"/>
      <c r="E1508" s="256"/>
      <c r="F1508" s="256"/>
      <c r="G1508" s="256"/>
      <c r="H1508" s="256"/>
      <c r="I1508" s="256"/>
      <c r="J1508" s="256"/>
      <c r="K1508" s="256"/>
    </row>
    <row r="1509" spans="1:11" ht="12.75" x14ac:dyDescent="0.35">
      <c r="A1509" s="256"/>
      <c r="B1509" s="256"/>
      <c r="C1509" s="256"/>
      <c r="D1509" s="256"/>
      <c r="E1509" s="256"/>
      <c r="F1509" s="256"/>
      <c r="G1509" s="256"/>
      <c r="H1509" s="256"/>
      <c r="I1509" s="256"/>
      <c r="J1509" s="256"/>
      <c r="K1509" s="256"/>
    </row>
    <row r="1510" spans="1:11" ht="12.75" x14ac:dyDescent="0.35">
      <c r="A1510" s="256"/>
      <c r="B1510" s="256"/>
      <c r="C1510" s="256"/>
      <c r="D1510" s="256"/>
      <c r="E1510" s="256"/>
      <c r="F1510" s="256"/>
      <c r="G1510" s="256"/>
      <c r="H1510" s="256"/>
      <c r="I1510" s="256"/>
      <c r="J1510" s="256"/>
      <c r="K1510" s="256"/>
    </row>
    <row r="1511" spans="1:11" ht="12.75" x14ac:dyDescent="0.35">
      <c r="A1511" s="256"/>
      <c r="B1511" s="256"/>
      <c r="C1511" s="256"/>
      <c r="D1511" s="256"/>
      <c r="E1511" s="256"/>
      <c r="F1511" s="256"/>
      <c r="G1511" s="256"/>
      <c r="H1511" s="256"/>
      <c r="I1511" s="256"/>
      <c r="J1511" s="256"/>
      <c r="K1511" s="256"/>
    </row>
    <row r="1512" spans="1:11" ht="12.75" x14ac:dyDescent="0.35">
      <c r="A1512" s="256"/>
      <c r="B1512" s="256"/>
      <c r="C1512" s="256"/>
      <c r="D1512" s="256"/>
      <c r="E1512" s="256"/>
      <c r="F1512" s="256"/>
      <c r="G1512" s="256"/>
      <c r="H1512" s="256"/>
      <c r="I1512" s="256"/>
      <c r="J1512" s="256"/>
      <c r="K1512" s="256"/>
    </row>
    <row r="1513" spans="1:11" ht="12.75" x14ac:dyDescent="0.35">
      <c r="A1513" s="256"/>
      <c r="B1513" s="256"/>
      <c r="C1513" s="256"/>
      <c r="D1513" s="256"/>
      <c r="E1513" s="256"/>
      <c r="F1513" s="256"/>
      <c r="G1513" s="256"/>
      <c r="H1513" s="256"/>
      <c r="I1513" s="256"/>
      <c r="J1513" s="256"/>
      <c r="K1513" s="256"/>
    </row>
    <row r="1514" spans="1:11" ht="12.75" x14ac:dyDescent="0.35">
      <c r="A1514" s="256"/>
      <c r="B1514" s="256"/>
      <c r="C1514" s="256"/>
      <c r="D1514" s="256"/>
      <c r="E1514" s="256"/>
      <c r="F1514" s="256"/>
      <c r="G1514" s="256"/>
      <c r="H1514" s="256"/>
      <c r="I1514" s="256"/>
      <c r="J1514" s="256"/>
      <c r="K1514" s="256"/>
    </row>
    <row r="1515" spans="1:11" ht="12.75" x14ac:dyDescent="0.35">
      <c r="A1515" s="256"/>
      <c r="B1515" s="256"/>
      <c r="C1515" s="256"/>
      <c r="D1515" s="256"/>
      <c r="E1515" s="256"/>
      <c r="F1515" s="256"/>
      <c r="G1515" s="256"/>
      <c r="H1515" s="256"/>
      <c r="I1515" s="256"/>
      <c r="J1515" s="256"/>
      <c r="K1515" s="256"/>
    </row>
    <row r="1516" spans="1:11" ht="12.75" x14ac:dyDescent="0.35">
      <c r="A1516" s="256"/>
      <c r="B1516" s="256"/>
      <c r="C1516" s="256"/>
      <c r="D1516" s="256"/>
      <c r="E1516" s="256"/>
      <c r="F1516" s="256"/>
      <c r="G1516" s="256"/>
      <c r="H1516" s="256"/>
      <c r="I1516" s="256"/>
      <c r="J1516" s="256"/>
      <c r="K1516" s="256"/>
    </row>
    <row r="1517" spans="1:11" ht="12.75" x14ac:dyDescent="0.35">
      <c r="A1517" s="256"/>
      <c r="B1517" s="256"/>
      <c r="C1517" s="256"/>
      <c r="D1517" s="256"/>
      <c r="E1517" s="256"/>
      <c r="F1517" s="256"/>
      <c r="G1517" s="256"/>
      <c r="H1517" s="256"/>
      <c r="I1517" s="256"/>
      <c r="J1517" s="256"/>
      <c r="K1517" s="256"/>
    </row>
    <row r="1518" spans="1:11" ht="12.75" x14ac:dyDescent="0.35">
      <c r="A1518" s="256"/>
      <c r="B1518" s="256"/>
      <c r="C1518" s="256"/>
      <c r="D1518" s="256"/>
      <c r="E1518" s="256"/>
      <c r="F1518" s="256"/>
      <c r="G1518" s="256"/>
      <c r="H1518" s="256"/>
      <c r="I1518" s="256"/>
      <c r="J1518" s="256"/>
      <c r="K1518" s="256"/>
    </row>
    <row r="1519" spans="1:11" ht="12.75" x14ac:dyDescent="0.35">
      <c r="A1519" s="256"/>
      <c r="B1519" s="256"/>
      <c r="C1519" s="256"/>
      <c r="D1519" s="256"/>
      <c r="E1519" s="256"/>
      <c r="F1519" s="256"/>
      <c r="G1519" s="256"/>
      <c r="H1519" s="256"/>
      <c r="I1519" s="256"/>
      <c r="J1519" s="256"/>
      <c r="K1519" s="256"/>
    </row>
    <row r="1520" spans="1:11" ht="12.75" x14ac:dyDescent="0.35">
      <c r="A1520" s="256"/>
      <c r="B1520" s="256"/>
      <c r="C1520" s="256"/>
      <c r="D1520" s="256"/>
      <c r="E1520" s="256"/>
      <c r="F1520" s="256"/>
      <c r="G1520" s="256"/>
      <c r="H1520" s="256"/>
      <c r="I1520" s="256"/>
      <c r="J1520" s="256"/>
      <c r="K1520" s="256"/>
    </row>
    <row r="1521" spans="1:11" ht="12.75" x14ac:dyDescent="0.35">
      <c r="A1521" s="256"/>
      <c r="B1521" s="256"/>
      <c r="C1521" s="256"/>
      <c r="D1521" s="256"/>
      <c r="E1521" s="256"/>
      <c r="F1521" s="256"/>
      <c r="G1521" s="256"/>
      <c r="H1521" s="256"/>
      <c r="I1521" s="256"/>
      <c r="J1521" s="256"/>
      <c r="K1521" s="256"/>
    </row>
    <row r="1522" spans="1:11" ht="12.75" x14ac:dyDescent="0.35">
      <c r="A1522" s="256"/>
      <c r="B1522" s="256"/>
      <c r="C1522" s="256"/>
      <c r="D1522" s="256"/>
      <c r="E1522" s="256"/>
      <c r="F1522" s="256"/>
      <c r="G1522" s="256"/>
      <c r="H1522" s="256"/>
      <c r="I1522" s="256"/>
      <c r="J1522" s="256"/>
      <c r="K1522" s="256"/>
    </row>
    <row r="1523" spans="1:11" ht="12.75" x14ac:dyDescent="0.35">
      <c r="A1523" s="256"/>
      <c r="B1523" s="256"/>
      <c r="C1523" s="256"/>
      <c r="D1523" s="256"/>
      <c r="E1523" s="256"/>
      <c r="F1523" s="256"/>
      <c r="G1523" s="256"/>
      <c r="H1523" s="256"/>
      <c r="I1523" s="256"/>
      <c r="J1523" s="256"/>
      <c r="K1523" s="256"/>
    </row>
    <row r="1524" spans="1:11" ht="12.75" x14ac:dyDescent="0.35">
      <c r="A1524" s="256"/>
      <c r="B1524" s="256"/>
      <c r="C1524" s="256"/>
      <c r="D1524" s="256"/>
      <c r="E1524" s="256"/>
      <c r="F1524" s="256"/>
      <c r="G1524" s="256"/>
      <c r="H1524" s="256"/>
      <c r="I1524" s="256"/>
      <c r="J1524" s="256"/>
      <c r="K1524" s="256"/>
    </row>
    <row r="1525" spans="1:11" ht="12.75" x14ac:dyDescent="0.35">
      <c r="A1525" s="256"/>
      <c r="B1525" s="256"/>
      <c r="C1525" s="256"/>
      <c r="D1525" s="256"/>
      <c r="E1525" s="256"/>
      <c r="F1525" s="256"/>
      <c r="G1525" s="256"/>
      <c r="H1525" s="256"/>
      <c r="I1525" s="256"/>
      <c r="J1525" s="256"/>
      <c r="K1525" s="256"/>
    </row>
    <row r="1526" spans="1:11" ht="12.75" x14ac:dyDescent="0.35">
      <c r="A1526" s="256"/>
      <c r="B1526" s="256"/>
      <c r="C1526" s="256"/>
      <c r="D1526" s="256"/>
      <c r="E1526" s="256"/>
      <c r="F1526" s="256"/>
      <c r="G1526" s="256"/>
      <c r="H1526" s="256"/>
      <c r="I1526" s="256"/>
      <c r="J1526" s="256"/>
      <c r="K1526" s="256"/>
    </row>
    <row r="1527" spans="1:11" ht="12.75" x14ac:dyDescent="0.35">
      <c r="A1527" s="256"/>
      <c r="B1527" s="256"/>
      <c r="C1527" s="256"/>
      <c r="D1527" s="256"/>
      <c r="E1527" s="256"/>
      <c r="F1527" s="256"/>
      <c r="G1527" s="256"/>
      <c r="H1527" s="256"/>
      <c r="I1527" s="256"/>
      <c r="J1527" s="256"/>
      <c r="K1527" s="256"/>
    </row>
    <row r="1528" spans="1:11" ht="12.75" x14ac:dyDescent="0.35">
      <c r="A1528" s="256"/>
      <c r="B1528" s="256"/>
      <c r="C1528" s="256"/>
      <c r="D1528" s="256"/>
      <c r="E1528" s="256"/>
      <c r="F1528" s="256"/>
      <c r="G1528" s="256"/>
      <c r="H1528" s="256"/>
      <c r="I1528" s="256"/>
      <c r="J1528" s="256"/>
      <c r="K1528" s="256"/>
    </row>
    <row r="1529" spans="1:11" ht="12.75" x14ac:dyDescent="0.35">
      <c r="A1529" s="256"/>
      <c r="B1529" s="256"/>
      <c r="C1529" s="256"/>
      <c r="D1529" s="256"/>
      <c r="E1529" s="256"/>
      <c r="F1529" s="256"/>
      <c r="G1529" s="256"/>
      <c r="H1529" s="256"/>
      <c r="I1529" s="256"/>
      <c r="J1529" s="256"/>
      <c r="K1529" s="256"/>
    </row>
    <row r="1530" spans="1:11" ht="12.75" x14ac:dyDescent="0.35">
      <c r="A1530" s="256"/>
      <c r="B1530" s="256"/>
      <c r="C1530" s="256"/>
      <c r="D1530" s="256"/>
      <c r="E1530" s="256"/>
      <c r="F1530" s="256"/>
      <c r="G1530" s="256"/>
      <c r="H1530" s="256"/>
      <c r="I1530" s="256"/>
      <c r="J1530" s="256"/>
      <c r="K1530" s="256"/>
    </row>
    <row r="1531" spans="1:11" ht="12.75" x14ac:dyDescent="0.35">
      <c r="A1531" s="256"/>
      <c r="B1531" s="256"/>
      <c r="C1531" s="256"/>
      <c r="D1531" s="256"/>
      <c r="E1531" s="256"/>
      <c r="F1531" s="256"/>
      <c r="G1531" s="256"/>
      <c r="H1531" s="256"/>
      <c r="I1531" s="256"/>
      <c r="J1531" s="256"/>
      <c r="K1531" s="256"/>
    </row>
    <row r="1532" spans="1:11" ht="12.75" x14ac:dyDescent="0.35">
      <c r="A1532" s="256"/>
      <c r="B1532" s="256"/>
      <c r="C1532" s="256"/>
      <c r="D1532" s="256"/>
      <c r="E1532" s="256"/>
      <c r="F1532" s="256"/>
      <c r="G1532" s="256"/>
      <c r="H1532" s="256"/>
      <c r="I1532" s="256"/>
      <c r="J1532" s="256"/>
      <c r="K1532" s="256"/>
    </row>
    <row r="1533" spans="1:11" ht="12.75" x14ac:dyDescent="0.35">
      <c r="A1533" s="256"/>
      <c r="B1533" s="256"/>
      <c r="C1533" s="256"/>
      <c r="D1533" s="256"/>
      <c r="E1533" s="256"/>
      <c r="F1533" s="256"/>
      <c r="G1533" s="256"/>
      <c r="H1533" s="256"/>
      <c r="I1533" s="256"/>
      <c r="J1533" s="256"/>
      <c r="K1533" s="256"/>
    </row>
    <row r="1534" spans="1:11" ht="12.75" x14ac:dyDescent="0.35">
      <c r="A1534" s="256"/>
      <c r="B1534" s="256"/>
      <c r="C1534" s="256"/>
      <c r="D1534" s="256"/>
      <c r="E1534" s="256"/>
      <c r="F1534" s="256"/>
      <c r="G1534" s="256"/>
      <c r="H1534" s="256"/>
      <c r="I1534" s="256"/>
      <c r="J1534" s="256"/>
      <c r="K1534" s="256"/>
    </row>
    <row r="1535" spans="1:11" ht="12.75" x14ac:dyDescent="0.35">
      <c r="A1535" s="256"/>
      <c r="B1535" s="256"/>
      <c r="C1535" s="256"/>
      <c r="D1535" s="256"/>
      <c r="E1535" s="256"/>
      <c r="F1535" s="256"/>
      <c r="G1535" s="256"/>
      <c r="H1535" s="256"/>
      <c r="I1535" s="256"/>
      <c r="J1535" s="256"/>
      <c r="K1535" s="256"/>
    </row>
    <row r="1536" spans="1:11" ht="12.75" x14ac:dyDescent="0.35">
      <c r="A1536" s="256"/>
      <c r="B1536" s="256"/>
      <c r="C1536" s="256"/>
      <c r="D1536" s="256"/>
      <c r="E1536" s="256"/>
      <c r="F1536" s="256"/>
      <c r="G1536" s="256"/>
      <c r="H1536" s="256"/>
      <c r="I1536" s="256"/>
      <c r="J1536" s="256"/>
      <c r="K1536" s="256"/>
    </row>
    <row r="1537" spans="1:11" ht="12.75" x14ac:dyDescent="0.35">
      <c r="A1537" s="256"/>
      <c r="B1537" s="256"/>
      <c r="C1537" s="256"/>
      <c r="D1537" s="256"/>
      <c r="E1537" s="256"/>
      <c r="F1537" s="256"/>
      <c r="G1537" s="256"/>
      <c r="H1537" s="256"/>
      <c r="I1537" s="256"/>
      <c r="J1537" s="256"/>
      <c r="K1537" s="256"/>
    </row>
    <row r="1538" spans="1:11" ht="12.75" x14ac:dyDescent="0.35">
      <c r="A1538" s="256"/>
      <c r="B1538" s="256"/>
      <c r="C1538" s="256"/>
      <c r="D1538" s="256"/>
      <c r="E1538" s="256"/>
      <c r="F1538" s="256"/>
      <c r="G1538" s="256"/>
      <c r="H1538" s="256"/>
      <c r="I1538" s="256"/>
      <c r="J1538" s="256"/>
      <c r="K1538" s="256"/>
    </row>
    <row r="1539" spans="1:11" ht="12.75" x14ac:dyDescent="0.35">
      <c r="A1539" s="256"/>
      <c r="B1539" s="256"/>
      <c r="C1539" s="256"/>
      <c r="D1539" s="256"/>
      <c r="E1539" s="256"/>
      <c r="F1539" s="256"/>
      <c r="G1539" s="256"/>
      <c r="H1539" s="256"/>
      <c r="I1539" s="256"/>
      <c r="J1539" s="256"/>
      <c r="K1539" s="256"/>
    </row>
    <row r="1540" spans="1:11" ht="12.75" x14ac:dyDescent="0.35">
      <c r="A1540" s="256"/>
      <c r="B1540" s="256"/>
      <c r="C1540" s="256"/>
      <c r="D1540" s="256"/>
      <c r="E1540" s="256"/>
      <c r="F1540" s="256"/>
      <c r="G1540" s="256"/>
      <c r="H1540" s="256"/>
      <c r="I1540" s="256"/>
      <c r="J1540" s="256"/>
      <c r="K1540" s="256"/>
    </row>
    <row r="1541" spans="1:11" ht="12.75" x14ac:dyDescent="0.35">
      <c r="A1541" s="256"/>
      <c r="B1541" s="256"/>
      <c r="C1541" s="256"/>
      <c r="D1541" s="256"/>
      <c r="E1541" s="256"/>
      <c r="F1541" s="256"/>
      <c r="G1541" s="256"/>
      <c r="H1541" s="256"/>
      <c r="I1541" s="256"/>
      <c r="J1541" s="256"/>
      <c r="K1541" s="256"/>
    </row>
    <row r="1542" spans="1:11" ht="12.75" x14ac:dyDescent="0.35">
      <c r="A1542" s="256"/>
      <c r="B1542" s="256"/>
      <c r="C1542" s="256"/>
      <c r="D1542" s="256"/>
      <c r="E1542" s="256"/>
      <c r="F1542" s="256"/>
      <c r="G1542" s="256"/>
      <c r="H1542" s="256"/>
      <c r="I1542" s="256"/>
      <c r="J1542" s="256"/>
      <c r="K1542" s="256"/>
    </row>
    <row r="1543" spans="1:11" ht="12.75" x14ac:dyDescent="0.35">
      <c r="A1543" s="256"/>
      <c r="B1543" s="256"/>
      <c r="C1543" s="256"/>
      <c r="D1543" s="256"/>
      <c r="E1543" s="256"/>
      <c r="F1543" s="256"/>
      <c r="G1543" s="256"/>
      <c r="H1543" s="256"/>
      <c r="I1543" s="256"/>
      <c r="J1543" s="256"/>
      <c r="K1543" s="256"/>
    </row>
    <row r="1544" spans="1:11" ht="12.75" x14ac:dyDescent="0.35">
      <c r="A1544" s="256"/>
      <c r="B1544" s="256"/>
      <c r="C1544" s="256"/>
      <c r="D1544" s="256"/>
      <c r="E1544" s="256"/>
      <c r="F1544" s="256"/>
      <c r="G1544" s="256"/>
      <c r="H1544" s="256"/>
      <c r="I1544" s="256"/>
      <c r="J1544" s="256"/>
      <c r="K1544" s="256"/>
    </row>
    <row r="1545" spans="1:11" ht="12.75" x14ac:dyDescent="0.35">
      <c r="A1545" s="256"/>
      <c r="B1545" s="256"/>
      <c r="C1545" s="256"/>
      <c r="D1545" s="256"/>
      <c r="E1545" s="256"/>
      <c r="F1545" s="256"/>
      <c r="G1545" s="256"/>
      <c r="H1545" s="256"/>
      <c r="I1545" s="256"/>
      <c r="J1545" s="256"/>
      <c r="K1545" s="256"/>
    </row>
    <row r="1546" spans="1:11" ht="12.75" x14ac:dyDescent="0.35">
      <c r="A1546" s="256"/>
      <c r="B1546" s="256"/>
      <c r="C1546" s="256"/>
      <c r="D1546" s="256"/>
      <c r="E1546" s="256"/>
      <c r="F1546" s="256"/>
      <c r="G1546" s="256"/>
      <c r="H1546" s="256"/>
      <c r="I1546" s="256"/>
      <c r="J1546" s="256"/>
      <c r="K1546" s="256"/>
    </row>
    <row r="1547" spans="1:11" ht="12.75" x14ac:dyDescent="0.35">
      <c r="A1547" s="256"/>
      <c r="B1547" s="256"/>
      <c r="C1547" s="256"/>
      <c r="D1547" s="256"/>
      <c r="E1547" s="256"/>
      <c r="F1547" s="256"/>
      <c r="G1547" s="256"/>
      <c r="H1547" s="256"/>
      <c r="I1547" s="256"/>
      <c r="J1547" s="256"/>
      <c r="K1547" s="256"/>
    </row>
    <row r="1548" spans="1:11" ht="12.75" x14ac:dyDescent="0.35">
      <c r="A1548" s="256"/>
      <c r="B1548" s="256"/>
      <c r="C1548" s="256"/>
      <c r="D1548" s="256"/>
      <c r="E1548" s="256"/>
      <c r="F1548" s="256"/>
      <c r="G1548" s="256"/>
      <c r="H1548" s="256"/>
      <c r="I1548" s="256"/>
      <c r="J1548" s="256"/>
      <c r="K1548" s="256"/>
    </row>
    <row r="1549" spans="1:11" ht="12.75" x14ac:dyDescent="0.35">
      <c r="A1549" s="256"/>
      <c r="B1549" s="256"/>
      <c r="C1549" s="256"/>
      <c r="D1549" s="256"/>
      <c r="E1549" s="256"/>
      <c r="F1549" s="256"/>
      <c r="G1549" s="256"/>
      <c r="H1549" s="256"/>
      <c r="I1549" s="256"/>
      <c r="J1549" s="256"/>
      <c r="K1549" s="256"/>
    </row>
    <row r="1550" spans="1:11" ht="12.75" x14ac:dyDescent="0.35">
      <c r="A1550" s="256"/>
      <c r="B1550" s="256"/>
      <c r="C1550" s="256"/>
      <c r="D1550" s="256"/>
      <c r="E1550" s="256"/>
      <c r="F1550" s="256"/>
      <c r="G1550" s="256"/>
      <c r="H1550" s="256"/>
      <c r="I1550" s="256"/>
      <c r="J1550" s="256"/>
      <c r="K1550" s="256"/>
    </row>
    <row r="1551" spans="1:11" ht="12.75" x14ac:dyDescent="0.35">
      <c r="A1551" s="256"/>
      <c r="B1551" s="256"/>
      <c r="C1551" s="256"/>
      <c r="D1551" s="256"/>
      <c r="E1551" s="256"/>
      <c r="F1551" s="256"/>
      <c r="G1551" s="256"/>
      <c r="H1551" s="256"/>
      <c r="I1551" s="256"/>
      <c r="J1551" s="256"/>
      <c r="K1551" s="256"/>
    </row>
    <row r="1552" spans="1:11" ht="12.75" x14ac:dyDescent="0.35">
      <c r="A1552" s="256"/>
      <c r="B1552" s="256"/>
      <c r="C1552" s="256"/>
      <c r="D1552" s="256"/>
      <c r="E1552" s="256"/>
      <c r="F1552" s="256"/>
      <c r="G1552" s="256"/>
      <c r="H1552" s="256"/>
      <c r="I1552" s="256"/>
      <c r="J1552" s="256"/>
      <c r="K1552" s="256"/>
    </row>
    <row r="1553" spans="1:11" ht="12.75" x14ac:dyDescent="0.35">
      <c r="A1553" s="256"/>
      <c r="B1553" s="256"/>
      <c r="C1553" s="256"/>
      <c r="D1553" s="256"/>
      <c r="E1553" s="256"/>
      <c r="F1553" s="256"/>
      <c r="G1553" s="256"/>
      <c r="H1553" s="256"/>
      <c r="I1553" s="256"/>
      <c r="J1553" s="256"/>
      <c r="K1553" s="256"/>
    </row>
    <row r="1554" spans="1:11" ht="12.75" x14ac:dyDescent="0.35">
      <c r="A1554" s="256"/>
      <c r="B1554" s="256"/>
      <c r="C1554" s="256"/>
      <c r="D1554" s="256"/>
      <c r="E1554" s="256"/>
      <c r="F1554" s="256"/>
      <c r="G1554" s="256"/>
      <c r="H1554" s="256"/>
      <c r="I1554" s="256"/>
      <c r="J1554" s="256"/>
      <c r="K1554" s="256"/>
    </row>
    <row r="1555" spans="1:11" ht="12.75" x14ac:dyDescent="0.35">
      <c r="A1555" s="256"/>
      <c r="B1555" s="256"/>
      <c r="C1555" s="256"/>
      <c r="D1555" s="256"/>
      <c r="E1555" s="256"/>
      <c r="F1555" s="256"/>
      <c r="G1555" s="256"/>
      <c r="H1555" s="256"/>
      <c r="I1555" s="256"/>
      <c r="J1555" s="256"/>
      <c r="K1555" s="256"/>
    </row>
    <row r="1556" spans="1:11" ht="12.75" x14ac:dyDescent="0.35">
      <c r="A1556" s="256"/>
      <c r="B1556" s="256"/>
      <c r="C1556" s="256"/>
      <c r="D1556" s="256"/>
      <c r="E1556" s="256"/>
      <c r="F1556" s="256"/>
      <c r="G1556" s="256"/>
      <c r="H1556" s="256"/>
      <c r="I1556" s="256"/>
      <c r="J1556" s="256"/>
      <c r="K1556" s="256"/>
    </row>
    <row r="1557" spans="1:11" ht="12.75" x14ac:dyDescent="0.35">
      <c r="A1557" s="256"/>
      <c r="B1557" s="256"/>
      <c r="C1557" s="256"/>
      <c r="D1557" s="256"/>
      <c r="E1557" s="256"/>
      <c r="F1557" s="256"/>
      <c r="G1557" s="256"/>
      <c r="H1557" s="256"/>
      <c r="I1557" s="256"/>
      <c r="J1557" s="256"/>
      <c r="K1557" s="256"/>
    </row>
    <row r="1558" spans="1:11" ht="12.75" x14ac:dyDescent="0.35">
      <c r="A1558" s="256"/>
      <c r="B1558" s="256"/>
      <c r="C1558" s="256"/>
      <c r="D1558" s="256"/>
      <c r="E1558" s="256"/>
      <c r="F1558" s="256"/>
      <c r="G1558" s="256"/>
      <c r="H1558" s="256"/>
      <c r="I1558" s="256"/>
      <c r="J1558" s="256"/>
      <c r="K1558" s="256"/>
    </row>
    <row r="1559" spans="1:11" ht="12.75" x14ac:dyDescent="0.35">
      <c r="A1559" s="256"/>
      <c r="B1559" s="256"/>
      <c r="C1559" s="256"/>
      <c r="D1559" s="256"/>
      <c r="E1559" s="256"/>
      <c r="F1559" s="256"/>
      <c r="G1559" s="256"/>
      <c r="H1559" s="256"/>
      <c r="I1559" s="256"/>
      <c r="J1559" s="256"/>
      <c r="K1559" s="256"/>
    </row>
    <row r="1560" spans="1:11" ht="12.75" x14ac:dyDescent="0.35">
      <c r="A1560" s="256"/>
      <c r="B1560" s="256"/>
      <c r="C1560" s="256"/>
      <c r="D1560" s="256"/>
      <c r="E1560" s="256"/>
      <c r="F1560" s="256"/>
      <c r="G1560" s="256"/>
      <c r="H1560" s="256"/>
      <c r="I1560" s="256"/>
      <c r="J1560" s="256"/>
      <c r="K1560" s="256"/>
    </row>
    <row r="1561" spans="1:11" ht="12.75" x14ac:dyDescent="0.35">
      <c r="A1561" s="256"/>
      <c r="B1561" s="256"/>
      <c r="C1561" s="256"/>
      <c r="D1561" s="256"/>
      <c r="E1561" s="256"/>
      <c r="F1561" s="256"/>
      <c r="G1561" s="256"/>
      <c r="H1561" s="256"/>
      <c r="I1561" s="256"/>
      <c r="J1561" s="256"/>
      <c r="K1561" s="256"/>
    </row>
    <row r="1562" spans="1:11" ht="12.75" x14ac:dyDescent="0.35">
      <c r="A1562" s="256"/>
      <c r="B1562" s="256"/>
      <c r="C1562" s="256"/>
      <c r="D1562" s="256"/>
      <c r="E1562" s="256"/>
      <c r="F1562" s="256"/>
      <c r="G1562" s="256"/>
      <c r="H1562" s="256"/>
      <c r="I1562" s="256"/>
      <c r="J1562" s="256"/>
      <c r="K1562" s="256"/>
    </row>
    <row r="1563" spans="1:11" ht="12.75" x14ac:dyDescent="0.35">
      <c r="A1563" s="256"/>
      <c r="B1563" s="256"/>
      <c r="C1563" s="256"/>
      <c r="D1563" s="256"/>
      <c r="E1563" s="256"/>
      <c r="F1563" s="256"/>
      <c r="G1563" s="256"/>
      <c r="H1563" s="256"/>
      <c r="I1563" s="256"/>
      <c r="J1563" s="256"/>
      <c r="K1563" s="256"/>
    </row>
    <row r="1564" spans="1:11" ht="12.75" x14ac:dyDescent="0.35">
      <c r="A1564" s="256"/>
      <c r="B1564" s="256"/>
      <c r="C1564" s="256"/>
      <c r="D1564" s="256"/>
      <c r="E1564" s="256"/>
      <c r="F1564" s="256"/>
      <c r="G1564" s="256"/>
      <c r="H1564" s="256"/>
      <c r="I1564" s="256"/>
      <c r="J1564" s="256"/>
      <c r="K1564" s="256"/>
    </row>
    <row r="1565" spans="1:11" ht="12.75" x14ac:dyDescent="0.35">
      <c r="A1565" s="256"/>
      <c r="B1565" s="256"/>
      <c r="C1565" s="256"/>
      <c r="D1565" s="256"/>
      <c r="E1565" s="256"/>
      <c r="F1565" s="256"/>
      <c r="G1565" s="256"/>
      <c r="H1565" s="256"/>
      <c r="I1565" s="256"/>
      <c r="J1565" s="256"/>
      <c r="K1565" s="256"/>
    </row>
    <row r="1566" spans="1:11" ht="12.75" x14ac:dyDescent="0.35">
      <c r="A1566" s="256"/>
      <c r="B1566" s="256"/>
      <c r="C1566" s="256"/>
      <c r="D1566" s="256"/>
      <c r="E1566" s="256"/>
      <c r="F1566" s="256"/>
      <c r="G1566" s="256"/>
      <c r="H1566" s="256"/>
      <c r="I1566" s="256"/>
      <c r="J1566" s="256"/>
      <c r="K1566" s="256"/>
    </row>
    <row r="1567" spans="1:11" ht="12.75" x14ac:dyDescent="0.35">
      <c r="A1567" s="256"/>
      <c r="B1567" s="256"/>
      <c r="C1567" s="256"/>
      <c r="D1567" s="256"/>
      <c r="E1567" s="256"/>
      <c r="F1567" s="256"/>
      <c r="G1567" s="256"/>
      <c r="H1567" s="256"/>
      <c r="I1567" s="256"/>
      <c r="J1567" s="256"/>
      <c r="K1567" s="256"/>
    </row>
    <row r="1568" spans="1:11" ht="12.75" x14ac:dyDescent="0.35">
      <c r="A1568" s="256"/>
      <c r="B1568" s="256"/>
      <c r="C1568" s="256"/>
      <c r="D1568" s="256"/>
      <c r="E1568" s="256"/>
      <c r="F1568" s="256"/>
      <c r="G1568" s="256"/>
      <c r="H1568" s="256"/>
      <c r="I1568" s="256"/>
      <c r="J1568" s="256"/>
      <c r="K1568" s="256"/>
    </row>
    <row r="1569" spans="1:11" ht="12.75" x14ac:dyDescent="0.35">
      <c r="A1569" s="256"/>
      <c r="B1569" s="256"/>
      <c r="C1569" s="256"/>
      <c r="D1569" s="256"/>
      <c r="E1569" s="256"/>
      <c r="F1569" s="256"/>
      <c r="G1569" s="256"/>
      <c r="H1569" s="256"/>
      <c r="I1569" s="256"/>
      <c r="J1569" s="256"/>
      <c r="K1569" s="256"/>
    </row>
    <row r="1570" spans="1:11" ht="12.75" x14ac:dyDescent="0.35">
      <c r="A1570" s="256"/>
      <c r="B1570" s="256"/>
      <c r="C1570" s="256"/>
      <c r="D1570" s="256"/>
      <c r="E1570" s="256"/>
      <c r="F1570" s="256"/>
      <c r="G1570" s="256"/>
      <c r="H1570" s="256"/>
      <c r="I1570" s="256"/>
      <c r="J1570" s="256"/>
      <c r="K1570" s="256"/>
    </row>
    <row r="1571" spans="1:11" ht="12.75" x14ac:dyDescent="0.35">
      <c r="A1571" s="256"/>
      <c r="B1571" s="256"/>
      <c r="C1571" s="256"/>
      <c r="D1571" s="256"/>
      <c r="E1571" s="256"/>
      <c r="F1571" s="256"/>
      <c r="G1571" s="256"/>
      <c r="H1571" s="256"/>
      <c r="I1571" s="256"/>
      <c r="J1571" s="256"/>
      <c r="K1571" s="256"/>
    </row>
    <row r="1572" spans="1:11" ht="12.75" x14ac:dyDescent="0.35">
      <c r="A1572" s="256"/>
      <c r="B1572" s="256"/>
      <c r="C1572" s="256"/>
      <c r="D1572" s="256"/>
      <c r="E1572" s="256"/>
      <c r="F1572" s="256"/>
      <c r="G1572" s="256"/>
      <c r="H1572" s="256"/>
      <c r="I1572" s="256"/>
      <c r="J1572" s="256"/>
      <c r="K1572" s="256"/>
    </row>
    <row r="1573" spans="1:11" ht="12.75" x14ac:dyDescent="0.35">
      <c r="A1573" s="256"/>
      <c r="B1573" s="256"/>
      <c r="C1573" s="256"/>
      <c r="D1573" s="256"/>
      <c r="E1573" s="256"/>
      <c r="F1573" s="256"/>
      <c r="G1573" s="256"/>
      <c r="H1573" s="256"/>
      <c r="I1573" s="256"/>
      <c r="J1573" s="256"/>
      <c r="K1573" s="256"/>
    </row>
    <row r="1574" spans="1:11" ht="12.75" x14ac:dyDescent="0.35">
      <c r="A1574" s="256"/>
      <c r="B1574" s="256"/>
      <c r="C1574" s="256"/>
      <c r="D1574" s="256"/>
      <c r="E1574" s="256"/>
      <c r="F1574" s="256"/>
      <c r="G1574" s="256"/>
      <c r="H1574" s="256"/>
      <c r="I1574" s="256"/>
      <c r="J1574" s="256"/>
      <c r="K1574" s="256"/>
    </row>
    <row r="1575" spans="1:11" ht="12.75" x14ac:dyDescent="0.35">
      <c r="A1575" s="256"/>
      <c r="B1575" s="256"/>
      <c r="C1575" s="256"/>
      <c r="D1575" s="256"/>
      <c r="E1575" s="256"/>
      <c r="F1575" s="256"/>
      <c r="G1575" s="256"/>
      <c r="H1575" s="256"/>
      <c r="I1575" s="256"/>
      <c r="J1575" s="256"/>
      <c r="K1575" s="256"/>
    </row>
    <row r="1576" spans="1:11" ht="12.75" x14ac:dyDescent="0.35">
      <c r="A1576" s="256"/>
      <c r="B1576" s="256"/>
      <c r="C1576" s="256"/>
      <c r="D1576" s="256"/>
      <c r="E1576" s="256"/>
      <c r="F1576" s="256"/>
      <c r="G1576" s="256"/>
      <c r="H1576" s="256"/>
      <c r="I1576" s="256"/>
      <c r="J1576" s="256"/>
      <c r="K1576" s="256"/>
    </row>
    <row r="1577" spans="1:11" ht="12.75" x14ac:dyDescent="0.35">
      <c r="A1577" s="256"/>
      <c r="B1577" s="256"/>
      <c r="C1577" s="256"/>
      <c r="D1577" s="256"/>
      <c r="E1577" s="256"/>
      <c r="F1577" s="256"/>
      <c r="G1577" s="256"/>
      <c r="H1577" s="256"/>
      <c r="I1577" s="256"/>
      <c r="J1577" s="256"/>
      <c r="K1577" s="256"/>
    </row>
    <row r="1578" spans="1:11" ht="12.75" x14ac:dyDescent="0.35">
      <c r="A1578" s="256"/>
      <c r="B1578" s="256"/>
      <c r="C1578" s="256"/>
      <c r="D1578" s="256"/>
      <c r="E1578" s="256"/>
      <c r="F1578" s="256"/>
      <c r="G1578" s="256"/>
      <c r="H1578" s="256"/>
      <c r="I1578" s="256"/>
      <c r="J1578" s="256"/>
      <c r="K1578" s="256"/>
    </row>
    <row r="1579" spans="1:11" ht="12.75" x14ac:dyDescent="0.35">
      <c r="A1579" s="256"/>
      <c r="B1579" s="256"/>
      <c r="C1579" s="256"/>
      <c r="D1579" s="256"/>
      <c r="E1579" s="256"/>
      <c r="F1579" s="256"/>
      <c r="G1579" s="256"/>
      <c r="H1579" s="256"/>
      <c r="I1579" s="256"/>
      <c r="J1579" s="256"/>
      <c r="K1579" s="256"/>
    </row>
    <row r="1580" spans="1:11" ht="12.75" x14ac:dyDescent="0.35">
      <c r="A1580" s="256"/>
      <c r="B1580" s="256"/>
      <c r="C1580" s="256"/>
      <c r="D1580" s="256"/>
      <c r="E1580" s="256"/>
      <c r="F1580" s="256"/>
      <c r="G1580" s="256"/>
      <c r="H1580" s="256"/>
      <c r="I1580" s="256"/>
      <c r="J1580" s="256"/>
      <c r="K1580" s="256"/>
    </row>
    <row r="1581" spans="1:11" ht="12.75" x14ac:dyDescent="0.35">
      <c r="A1581" s="256"/>
      <c r="B1581" s="256"/>
      <c r="C1581" s="256"/>
      <c r="D1581" s="256"/>
      <c r="E1581" s="256"/>
      <c r="F1581" s="256"/>
      <c r="G1581" s="256"/>
      <c r="H1581" s="256"/>
      <c r="I1581" s="256"/>
      <c r="J1581" s="256"/>
      <c r="K1581" s="256"/>
    </row>
    <row r="1582" spans="1:11" ht="12.75" x14ac:dyDescent="0.35">
      <c r="A1582" s="256"/>
      <c r="B1582" s="256"/>
      <c r="C1582" s="256"/>
      <c r="D1582" s="256"/>
      <c r="E1582" s="256"/>
      <c r="F1582" s="256"/>
      <c r="G1582" s="256"/>
      <c r="H1582" s="256"/>
      <c r="I1582" s="256"/>
      <c r="J1582" s="256"/>
      <c r="K1582" s="256"/>
    </row>
    <row r="1583" spans="1:11" ht="12.75" x14ac:dyDescent="0.35">
      <c r="A1583" s="256"/>
      <c r="B1583" s="256"/>
      <c r="C1583" s="256"/>
      <c r="D1583" s="256"/>
      <c r="E1583" s="256"/>
      <c r="F1583" s="256"/>
      <c r="G1583" s="256"/>
      <c r="H1583" s="256"/>
      <c r="I1583" s="256"/>
      <c r="J1583" s="256"/>
      <c r="K1583" s="256"/>
    </row>
    <row r="1584" spans="1:11" ht="12.75" x14ac:dyDescent="0.35">
      <c r="A1584" s="256"/>
      <c r="B1584" s="256"/>
      <c r="C1584" s="256"/>
      <c r="D1584" s="256"/>
      <c r="E1584" s="256"/>
      <c r="F1584" s="256"/>
      <c r="G1584" s="256"/>
      <c r="H1584" s="256"/>
      <c r="I1584" s="256"/>
      <c r="J1584" s="256"/>
      <c r="K1584" s="256"/>
    </row>
    <row r="1585" spans="1:11" ht="12.75" x14ac:dyDescent="0.35">
      <c r="A1585" s="256"/>
      <c r="B1585" s="256"/>
      <c r="C1585" s="256"/>
      <c r="D1585" s="256"/>
      <c r="E1585" s="256"/>
      <c r="F1585" s="256"/>
      <c r="G1585" s="256"/>
      <c r="H1585" s="256"/>
      <c r="I1585" s="256"/>
      <c r="J1585" s="256"/>
      <c r="K1585" s="256"/>
    </row>
    <row r="1586" spans="1:11" ht="12.75" x14ac:dyDescent="0.35">
      <c r="A1586" s="256"/>
      <c r="B1586" s="256"/>
      <c r="C1586" s="256"/>
      <c r="D1586" s="256"/>
      <c r="E1586" s="256"/>
      <c r="F1586" s="256"/>
      <c r="G1586" s="256"/>
      <c r="H1586" s="256"/>
      <c r="I1586" s="256"/>
      <c r="J1586" s="256"/>
      <c r="K1586" s="256"/>
    </row>
    <row r="1587" spans="1:11" ht="12.75" x14ac:dyDescent="0.35">
      <c r="A1587" s="256"/>
      <c r="B1587" s="256"/>
      <c r="C1587" s="256"/>
      <c r="D1587" s="256"/>
      <c r="E1587" s="256"/>
      <c r="F1587" s="256"/>
      <c r="G1587" s="256"/>
      <c r="H1587" s="256"/>
      <c r="I1587" s="256"/>
      <c r="J1587" s="256"/>
      <c r="K1587" s="256"/>
    </row>
    <row r="1588" spans="1:11" ht="12.75" x14ac:dyDescent="0.35">
      <c r="A1588" s="256"/>
      <c r="B1588" s="256"/>
      <c r="C1588" s="256"/>
      <c r="D1588" s="256"/>
      <c r="E1588" s="256"/>
      <c r="F1588" s="256"/>
      <c r="G1588" s="256"/>
      <c r="H1588" s="256"/>
      <c r="I1588" s="256"/>
      <c r="J1588" s="256"/>
      <c r="K1588" s="256"/>
    </row>
    <row r="1589" spans="1:11" ht="12.75" x14ac:dyDescent="0.35">
      <c r="A1589" s="256"/>
      <c r="B1589" s="256"/>
      <c r="C1589" s="256"/>
      <c r="D1589" s="256"/>
      <c r="E1589" s="256"/>
      <c r="F1589" s="256"/>
      <c r="G1589" s="256"/>
      <c r="H1589" s="256"/>
      <c r="I1589" s="256"/>
      <c r="J1589" s="256"/>
      <c r="K1589" s="256"/>
    </row>
    <row r="1590" spans="1:11" ht="12.75" x14ac:dyDescent="0.35">
      <c r="A1590" s="256"/>
      <c r="B1590" s="256"/>
      <c r="C1590" s="256"/>
      <c r="D1590" s="256"/>
      <c r="E1590" s="256"/>
      <c r="F1590" s="256"/>
      <c r="G1590" s="256"/>
      <c r="H1590" s="256"/>
      <c r="I1590" s="256"/>
      <c r="J1590" s="256"/>
      <c r="K1590" s="256"/>
    </row>
    <row r="1591" spans="1:11" ht="12.75" x14ac:dyDescent="0.35">
      <c r="A1591" s="256"/>
      <c r="B1591" s="256"/>
      <c r="C1591" s="256"/>
      <c r="D1591" s="256"/>
      <c r="E1591" s="256"/>
      <c r="F1591" s="256"/>
      <c r="G1591" s="256"/>
      <c r="H1591" s="256"/>
      <c r="I1591" s="256"/>
      <c r="J1591" s="256"/>
      <c r="K1591" s="256"/>
    </row>
    <row r="1592" spans="1:11" ht="12.75" x14ac:dyDescent="0.35">
      <c r="A1592" s="256"/>
      <c r="B1592" s="256"/>
      <c r="C1592" s="256"/>
      <c r="D1592" s="256"/>
      <c r="E1592" s="256"/>
      <c r="F1592" s="256"/>
      <c r="G1592" s="256"/>
      <c r="H1592" s="256"/>
      <c r="I1592" s="256"/>
      <c r="J1592" s="256"/>
      <c r="K1592" s="256"/>
    </row>
    <row r="1593" spans="1:11" ht="12.75" x14ac:dyDescent="0.35">
      <c r="A1593" s="256"/>
      <c r="B1593" s="256"/>
      <c r="C1593" s="256"/>
      <c r="D1593" s="256"/>
      <c r="E1593" s="256"/>
      <c r="F1593" s="256"/>
      <c r="G1593" s="256"/>
      <c r="H1593" s="256"/>
      <c r="I1593" s="256"/>
      <c r="J1593" s="256"/>
      <c r="K1593" s="256"/>
    </row>
    <row r="1594" spans="1:11" ht="12.75" x14ac:dyDescent="0.35">
      <c r="A1594" s="256"/>
      <c r="B1594" s="256"/>
      <c r="C1594" s="256"/>
      <c r="D1594" s="256"/>
      <c r="E1594" s="256"/>
      <c r="F1594" s="256"/>
      <c r="G1594" s="256"/>
      <c r="H1594" s="256"/>
      <c r="I1594" s="256"/>
      <c r="J1594" s="256"/>
      <c r="K1594" s="256"/>
    </row>
    <row r="1595" spans="1:11" ht="12.75" x14ac:dyDescent="0.35">
      <c r="A1595" s="256"/>
      <c r="B1595" s="256"/>
      <c r="C1595" s="256"/>
      <c r="D1595" s="256"/>
      <c r="E1595" s="256"/>
      <c r="F1595" s="256"/>
      <c r="G1595" s="256"/>
      <c r="H1595" s="256"/>
      <c r="I1595" s="256"/>
      <c r="J1595" s="256"/>
      <c r="K1595" s="256"/>
    </row>
    <row r="1596" spans="1:11" ht="12.75" x14ac:dyDescent="0.35">
      <c r="A1596" s="256"/>
      <c r="B1596" s="256"/>
      <c r="C1596" s="256"/>
      <c r="D1596" s="256"/>
      <c r="E1596" s="256"/>
      <c r="F1596" s="256"/>
      <c r="G1596" s="256"/>
      <c r="H1596" s="256"/>
      <c r="I1596" s="256"/>
      <c r="J1596" s="256"/>
      <c r="K1596" s="256"/>
    </row>
    <row r="1597" spans="1:11" ht="12.75" x14ac:dyDescent="0.35">
      <c r="A1597" s="256"/>
      <c r="B1597" s="256"/>
      <c r="C1597" s="256"/>
      <c r="D1597" s="256"/>
      <c r="E1597" s="256"/>
      <c r="F1597" s="256"/>
      <c r="G1597" s="256"/>
      <c r="H1597" s="256"/>
      <c r="I1597" s="256"/>
      <c r="J1597" s="256"/>
      <c r="K1597" s="256"/>
    </row>
    <row r="1598" spans="1:11" ht="12.75" x14ac:dyDescent="0.35">
      <c r="A1598" s="256"/>
      <c r="B1598" s="256"/>
      <c r="C1598" s="256"/>
      <c r="D1598" s="256"/>
      <c r="E1598" s="256"/>
      <c r="F1598" s="256"/>
      <c r="G1598" s="256"/>
      <c r="H1598" s="256"/>
      <c r="I1598" s="256"/>
      <c r="J1598" s="256"/>
      <c r="K1598" s="256"/>
    </row>
    <row r="1599" spans="1:11" ht="12.75" x14ac:dyDescent="0.35">
      <c r="A1599" s="256"/>
      <c r="B1599" s="256"/>
      <c r="C1599" s="256"/>
      <c r="D1599" s="256"/>
      <c r="E1599" s="256"/>
      <c r="F1599" s="256"/>
      <c r="G1599" s="256"/>
      <c r="H1599" s="256"/>
      <c r="I1599" s="256"/>
      <c r="J1599" s="256"/>
      <c r="K1599" s="256"/>
    </row>
    <row r="1600" spans="1:11" ht="12.75" x14ac:dyDescent="0.35">
      <c r="A1600" s="256"/>
      <c r="B1600" s="256"/>
      <c r="C1600" s="256"/>
      <c r="D1600" s="256"/>
      <c r="E1600" s="256"/>
      <c r="F1600" s="256"/>
      <c r="G1600" s="256"/>
      <c r="H1600" s="256"/>
      <c r="I1600" s="256"/>
      <c r="J1600" s="256"/>
      <c r="K1600" s="256"/>
    </row>
    <row r="1601" spans="1:11" ht="12.75" x14ac:dyDescent="0.35">
      <c r="A1601" s="256"/>
      <c r="B1601" s="256"/>
      <c r="C1601" s="256"/>
      <c r="D1601" s="256"/>
      <c r="E1601" s="256"/>
      <c r="F1601" s="256"/>
      <c r="G1601" s="256"/>
      <c r="H1601" s="256"/>
      <c r="I1601" s="256"/>
      <c r="J1601" s="256"/>
      <c r="K1601" s="256"/>
    </row>
    <row r="1602" spans="1:11" ht="12.75" x14ac:dyDescent="0.35">
      <c r="A1602" s="256"/>
      <c r="B1602" s="256"/>
      <c r="C1602" s="256"/>
      <c r="D1602" s="256"/>
      <c r="E1602" s="256"/>
      <c r="F1602" s="256"/>
      <c r="G1602" s="256"/>
      <c r="H1602" s="256"/>
      <c r="I1602" s="256"/>
      <c r="J1602" s="256"/>
      <c r="K1602" s="256"/>
    </row>
    <row r="1603" spans="1:11" ht="12.75" x14ac:dyDescent="0.35">
      <c r="A1603" s="256"/>
      <c r="B1603" s="256"/>
      <c r="C1603" s="256"/>
      <c r="D1603" s="256"/>
      <c r="E1603" s="256"/>
      <c r="F1603" s="256"/>
      <c r="G1603" s="256"/>
      <c r="H1603" s="256"/>
      <c r="I1603" s="256"/>
      <c r="J1603" s="256"/>
      <c r="K1603" s="256"/>
    </row>
    <row r="1604" spans="1:11" ht="12.75" x14ac:dyDescent="0.35">
      <c r="A1604" s="256"/>
      <c r="B1604" s="256"/>
      <c r="C1604" s="256"/>
      <c r="D1604" s="256"/>
      <c r="E1604" s="256"/>
      <c r="F1604" s="256"/>
      <c r="G1604" s="256"/>
      <c r="H1604" s="256"/>
      <c r="I1604" s="256"/>
      <c r="J1604" s="256"/>
      <c r="K1604" s="256"/>
    </row>
    <row r="1605" spans="1:11" ht="12.75" x14ac:dyDescent="0.35">
      <c r="A1605" s="256"/>
      <c r="B1605" s="256"/>
      <c r="C1605" s="256"/>
      <c r="D1605" s="256"/>
      <c r="E1605" s="256"/>
      <c r="F1605" s="256"/>
      <c r="G1605" s="256"/>
      <c r="H1605" s="256"/>
      <c r="I1605" s="256"/>
      <c r="J1605" s="256"/>
      <c r="K1605" s="256"/>
    </row>
    <row r="1606" spans="1:11" ht="12.75" x14ac:dyDescent="0.35">
      <c r="A1606" s="256"/>
      <c r="B1606" s="256"/>
      <c r="C1606" s="256"/>
      <c r="D1606" s="256"/>
      <c r="E1606" s="256"/>
      <c r="F1606" s="256"/>
      <c r="G1606" s="256"/>
      <c r="H1606" s="256"/>
      <c r="I1606" s="256"/>
      <c r="J1606" s="256"/>
      <c r="K1606" s="256"/>
    </row>
    <row r="1607" spans="1:11" ht="12.75" x14ac:dyDescent="0.35">
      <c r="A1607" s="256"/>
      <c r="B1607" s="256"/>
      <c r="C1607" s="256"/>
      <c r="D1607" s="256"/>
      <c r="E1607" s="256"/>
      <c r="F1607" s="256"/>
      <c r="G1607" s="256"/>
      <c r="H1607" s="256"/>
      <c r="I1607" s="256"/>
      <c r="J1607" s="256"/>
      <c r="K1607" s="256"/>
    </row>
    <row r="1608" spans="1:11" ht="12.75" x14ac:dyDescent="0.35">
      <c r="A1608" s="256"/>
      <c r="B1608" s="256"/>
      <c r="C1608" s="256"/>
      <c r="D1608" s="256"/>
      <c r="E1608" s="256"/>
      <c r="F1608" s="256"/>
      <c r="G1608" s="256"/>
      <c r="H1608" s="256"/>
      <c r="I1608" s="256"/>
      <c r="J1608" s="256"/>
      <c r="K1608" s="256"/>
    </row>
    <row r="1609" spans="1:11" ht="12.75" x14ac:dyDescent="0.35">
      <c r="A1609" s="256"/>
      <c r="B1609" s="256"/>
      <c r="C1609" s="256"/>
      <c r="D1609" s="256"/>
      <c r="E1609" s="256"/>
      <c r="F1609" s="256"/>
      <c r="G1609" s="256"/>
      <c r="H1609" s="256"/>
      <c r="I1609" s="256"/>
      <c r="J1609" s="256"/>
      <c r="K1609" s="256"/>
    </row>
    <row r="1610" spans="1:11" ht="12.75" x14ac:dyDescent="0.35">
      <c r="A1610" s="256"/>
      <c r="B1610" s="256"/>
      <c r="C1610" s="256"/>
      <c r="D1610" s="256"/>
      <c r="E1610" s="256"/>
      <c r="F1610" s="256"/>
      <c r="G1610" s="256"/>
      <c r="H1610" s="256"/>
      <c r="I1610" s="256"/>
      <c r="J1610" s="256"/>
      <c r="K1610" s="256"/>
    </row>
    <row r="1611" spans="1:11" ht="12.75" x14ac:dyDescent="0.35">
      <c r="A1611" s="256"/>
      <c r="B1611" s="256"/>
      <c r="C1611" s="256"/>
      <c r="D1611" s="256"/>
      <c r="E1611" s="256"/>
      <c r="F1611" s="256"/>
      <c r="G1611" s="256"/>
      <c r="H1611" s="256"/>
      <c r="I1611" s="256"/>
      <c r="J1611" s="256"/>
      <c r="K1611" s="256"/>
    </row>
    <row r="1612" spans="1:11" ht="12.75" x14ac:dyDescent="0.35">
      <c r="A1612" s="256"/>
      <c r="B1612" s="256"/>
      <c r="C1612" s="256"/>
      <c r="D1612" s="256"/>
      <c r="E1612" s="256"/>
      <c r="F1612" s="256"/>
      <c r="G1612" s="256"/>
      <c r="H1612" s="256"/>
      <c r="I1612" s="256"/>
      <c r="J1612" s="256"/>
      <c r="K1612" s="256"/>
    </row>
    <row r="1613" spans="1:11" ht="12.75" x14ac:dyDescent="0.35">
      <c r="A1613" s="256"/>
      <c r="B1613" s="256"/>
      <c r="C1613" s="256"/>
      <c r="D1613" s="256"/>
      <c r="E1613" s="256"/>
      <c r="F1613" s="256"/>
      <c r="G1613" s="256"/>
      <c r="H1613" s="256"/>
      <c r="I1613" s="256"/>
      <c r="J1613" s="256"/>
      <c r="K1613" s="256"/>
    </row>
    <row r="1614" spans="1:11" ht="12.75" x14ac:dyDescent="0.35">
      <c r="A1614" s="256"/>
      <c r="B1614" s="256"/>
      <c r="C1614" s="256"/>
      <c r="D1614" s="256"/>
      <c r="E1614" s="256"/>
      <c r="F1614" s="256"/>
      <c r="G1614" s="256"/>
      <c r="H1614" s="256"/>
      <c r="I1614" s="256"/>
      <c r="J1614" s="256"/>
      <c r="K1614" s="256"/>
    </row>
    <row r="1615" spans="1:11" ht="12.75" x14ac:dyDescent="0.35">
      <c r="A1615" s="256"/>
      <c r="B1615" s="256"/>
      <c r="C1615" s="256"/>
      <c r="D1615" s="256"/>
      <c r="E1615" s="256"/>
      <c r="F1615" s="256"/>
      <c r="G1615" s="256"/>
      <c r="H1615" s="256"/>
      <c r="I1615" s="256"/>
      <c r="J1615" s="256"/>
      <c r="K1615" s="256"/>
    </row>
    <row r="1616" spans="1:11" ht="12.75" x14ac:dyDescent="0.35">
      <c r="A1616" s="256"/>
      <c r="B1616" s="256"/>
      <c r="C1616" s="256"/>
      <c r="D1616" s="256"/>
      <c r="E1616" s="256"/>
      <c r="F1616" s="256"/>
      <c r="G1616" s="256"/>
      <c r="H1616" s="256"/>
      <c r="I1616" s="256"/>
      <c r="J1616" s="256"/>
      <c r="K1616" s="256"/>
    </row>
    <row r="1617" spans="1:11" ht="12.75" x14ac:dyDescent="0.35">
      <c r="A1617" s="256"/>
      <c r="B1617" s="256"/>
      <c r="C1617" s="256"/>
      <c r="D1617" s="256"/>
      <c r="E1617" s="256"/>
      <c r="F1617" s="256"/>
      <c r="G1617" s="256"/>
      <c r="H1617" s="256"/>
      <c r="I1617" s="256"/>
      <c r="J1617" s="256"/>
      <c r="K1617" s="256"/>
    </row>
    <row r="1618" spans="1:11" ht="12.75" x14ac:dyDescent="0.35">
      <c r="A1618" s="256"/>
      <c r="B1618" s="256"/>
      <c r="C1618" s="256"/>
      <c r="D1618" s="256"/>
      <c r="E1618" s="256"/>
      <c r="F1618" s="256"/>
      <c r="G1618" s="256"/>
      <c r="H1618" s="256"/>
      <c r="I1618" s="256"/>
      <c r="J1618" s="256"/>
      <c r="K1618" s="256"/>
    </row>
    <row r="1619" spans="1:11" ht="12.75" x14ac:dyDescent="0.35">
      <c r="A1619" s="256"/>
      <c r="B1619" s="256"/>
      <c r="C1619" s="256"/>
      <c r="D1619" s="256"/>
      <c r="E1619" s="256"/>
      <c r="F1619" s="256"/>
      <c r="G1619" s="256"/>
      <c r="H1619" s="256"/>
      <c r="I1619" s="256"/>
      <c r="J1619" s="256"/>
      <c r="K1619" s="256"/>
    </row>
    <row r="1620" spans="1:11" ht="12.75" x14ac:dyDescent="0.35">
      <c r="A1620" s="256"/>
      <c r="B1620" s="256"/>
      <c r="C1620" s="256"/>
      <c r="D1620" s="256"/>
      <c r="E1620" s="256"/>
      <c r="F1620" s="256"/>
      <c r="G1620" s="256"/>
      <c r="H1620" s="256"/>
      <c r="I1620" s="256"/>
      <c r="J1620" s="256"/>
      <c r="K1620" s="256"/>
    </row>
    <row r="1621" spans="1:11" ht="12.75" x14ac:dyDescent="0.35">
      <c r="A1621" s="256"/>
      <c r="B1621" s="256"/>
      <c r="C1621" s="256"/>
      <c r="D1621" s="256"/>
      <c r="E1621" s="256"/>
      <c r="F1621" s="256"/>
      <c r="G1621" s="256"/>
      <c r="H1621" s="256"/>
      <c r="I1621" s="256"/>
      <c r="J1621" s="256"/>
      <c r="K1621" s="256"/>
    </row>
    <row r="1622" spans="1:11" ht="12.75" x14ac:dyDescent="0.35">
      <c r="A1622" s="256"/>
      <c r="B1622" s="256"/>
      <c r="C1622" s="256"/>
      <c r="D1622" s="256"/>
      <c r="E1622" s="256"/>
      <c r="F1622" s="256"/>
      <c r="G1622" s="256"/>
      <c r="H1622" s="256"/>
      <c r="I1622" s="256"/>
      <c r="J1622" s="256"/>
      <c r="K1622" s="256"/>
    </row>
    <row r="1623" spans="1:11" ht="12.75" x14ac:dyDescent="0.35">
      <c r="A1623" s="256"/>
      <c r="B1623" s="256"/>
      <c r="C1623" s="256"/>
      <c r="D1623" s="256"/>
      <c r="E1623" s="256"/>
      <c r="F1623" s="256"/>
      <c r="G1623" s="256"/>
      <c r="H1623" s="256"/>
      <c r="I1623" s="256"/>
      <c r="J1623" s="256"/>
      <c r="K1623" s="256"/>
    </row>
    <row r="1624" spans="1:11" ht="12.75" x14ac:dyDescent="0.35">
      <c r="A1624" s="256"/>
      <c r="B1624" s="256"/>
      <c r="C1624" s="256"/>
      <c r="D1624" s="256"/>
      <c r="E1624" s="256"/>
      <c r="F1624" s="256"/>
      <c r="G1624" s="256"/>
      <c r="H1624" s="256"/>
      <c r="I1624" s="256"/>
      <c r="J1624" s="256"/>
      <c r="K1624" s="256"/>
    </row>
    <row r="1625" spans="1:11" ht="12.75" x14ac:dyDescent="0.35">
      <c r="A1625" s="256"/>
      <c r="B1625" s="256"/>
      <c r="C1625" s="256"/>
      <c r="D1625" s="256"/>
      <c r="E1625" s="256"/>
      <c r="F1625" s="256"/>
      <c r="G1625" s="256"/>
      <c r="H1625" s="256"/>
      <c r="I1625" s="256"/>
      <c r="J1625" s="256"/>
      <c r="K1625" s="256"/>
    </row>
    <row r="1626" spans="1:11" ht="12.75" x14ac:dyDescent="0.35">
      <c r="A1626" s="256"/>
      <c r="B1626" s="256"/>
      <c r="C1626" s="256"/>
      <c r="D1626" s="256"/>
      <c r="E1626" s="256"/>
      <c r="F1626" s="256"/>
      <c r="G1626" s="256"/>
      <c r="H1626" s="256"/>
      <c r="I1626" s="256"/>
      <c r="J1626" s="256"/>
      <c r="K1626" s="256"/>
    </row>
    <row r="1627" spans="1:11" ht="12.75" x14ac:dyDescent="0.35">
      <c r="A1627" s="256"/>
      <c r="B1627" s="256"/>
      <c r="C1627" s="256"/>
      <c r="D1627" s="256"/>
      <c r="E1627" s="256"/>
      <c r="F1627" s="256"/>
      <c r="G1627" s="256"/>
      <c r="H1627" s="256"/>
      <c r="I1627" s="256"/>
      <c r="J1627" s="256"/>
      <c r="K1627" s="256"/>
    </row>
    <row r="1628" spans="1:11" ht="12.75" x14ac:dyDescent="0.35">
      <c r="A1628" s="256"/>
      <c r="B1628" s="256"/>
      <c r="C1628" s="256"/>
      <c r="D1628" s="256"/>
      <c r="E1628" s="256"/>
      <c r="F1628" s="256"/>
      <c r="G1628" s="256"/>
      <c r="H1628" s="256"/>
      <c r="I1628" s="256"/>
      <c r="J1628" s="256"/>
      <c r="K1628" s="256"/>
    </row>
    <row r="1629" spans="1:11" ht="12.75" x14ac:dyDescent="0.35">
      <c r="A1629" s="256"/>
      <c r="B1629" s="256"/>
      <c r="C1629" s="256"/>
      <c r="D1629" s="256"/>
      <c r="E1629" s="256"/>
      <c r="F1629" s="256"/>
      <c r="G1629" s="256"/>
      <c r="H1629" s="256"/>
      <c r="I1629" s="256"/>
      <c r="J1629" s="256"/>
      <c r="K1629" s="256"/>
    </row>
    <row r="1630" spans="1:11" ht="12.75" x14ac:dyDescent="0.35">
      <c r="A1630" s="256"/>
      <c r="B1630" s="256"/>
      <c r="C1630" s="256"/>
      <c r="D1630" s="256"/>
      <c r="E1630" s="256"/>
      <c r="F1630" s="256"/>
      <c r="G1630" s="256"/>
      <c r="H1630" s="256"/>
      <c r="I1630" s="256"/>
      <c r="J1630" s="256"/>
      <c r="K1630" s="256"/>
    </row>
    <row r="1631" spans="1:11" ht="12.75" x14ac:dyDescent="0.35">
      <c r="A1631" s="256"/>
      <c r="B1631" s="256"/>
      <c r="C1631" s="256"/>
      <c r="D1631" s="256"/>
      <c r="E1631" s="256"/>
      <c r="F1631" s="256"/>
      <c r="G1631" s="256"/>
      <c r="H1631" s="256"/>
      <c r="I1631" s="256"/>
      <c r="J1631" s="256"/>
      <c r="K1631" s="256"/>
    </row>
    <row r="1632" spans="1:11" ht="12.75" x14ac:dyDescent="0.35">
      <c r="A1632" s="256"/>
      <c r="B1632" s="256"/>
      <c r="C1632" s="256"/>
      <c r="D1632" s="256"/>
      <c r="E1632" s="256"/>
      <c r="F1632" s="256"/>
      <c r="G1632" s="256"/>
      <c r="H1632" s="256"/>
      <c r="I1632" s="256"/>
      <c r="J1632" s="256"/>
      <c r="K1632" s="256"/>
    </row>
    <row r="1633" spans="1:11" ht="12.75" x14ac:dyDescent="0.35">
      <c r="A1633" s="256"/>
      <c r="B1633" s="256"/>
      <c r="C1633" s="256"/>
      <c r="D1633" s="256"/>
      <c r="E1633" s="256"/>
      <c r="F1633" s="256"/>
      <c r="G1633" s="256"/>
      <c r="H1633" s="256"/>
      <c r="I1633" s="256"/>
      <c r="J1633" s="256"/>
      <c r="K1633" s="256"/>
    </row>
    <row r="1634" spans="1:11" ht="12.75" x14ac:dyDescent="0.35">
      <c r="A1634" s="256"/>
      <c r="B1634" s="256"/>
      <c r="C1634" s="256"/>
      <c r="D1634" s="256"/>
      <c r="E1634" s="256"/>
      <c r="F1634" s="256"/>
      <c r="G1634" s="256"/>
      <c r="H1634" s="256"/>
      <c r="I1634" s="256"/>
      <c r="J1634" s="256"/>
      <c r="K1634" s="256"/>
    </row>
    <row r="1635" spans="1:11" ht="12.75" x14ac:dyDescent="0.35">
      <c r="A1635" s="256"/>
      <c r="B1635" s="256"/>
      <c r="C1635" s="256"/>
      <c r="D1635" s="256"/>
      <c r="E1635" s="256"/>
      <c r="F1635" s="256"/>
      <c r="G1635" s="256"/>
      <c r="H1635" s="256"/>
      <c r="I1635" s="256"/>
      <c r="J1635" s="256"/>
      <c r="K1635" s="256"/>
    </row>
    <row r="1636" spans="1:11" ht="12.75" x14ac:dyDescent="0.35">
      <c r="A1636" s="256"/>
      <c r="B1636" s="256"/>
      <c r="C1636" s="256"/>
      <c r="D1636" s="256"/>
      <c r="E1636" s="256"/>
      <c r="F1636" s="256"/>
      <c r="G1636" s="256"/>
      <c r="H1636" s="256"/>
      <c r="I1636" s="256"/>
      <c r="J1636" s="256"/>
      <c r="K1636" s="256"/>
    </row>
    <row r="1637" spans="1:11" ht="12.75" x14ac:dyDescent="0.35">
      <c r="A1637" s="256"/>
      <c r="B1637" s="256"/>
      <c r="C1637" s="256"/>
      <c r="D1637" s="256"/>
      <c r="E1637" s="256"/>
      <c r="F1637" s="256"/>
      <c r="G1637" s="256"/>
      <c r="H1637" s="256"/>
      <c r="I1637" s="256"/>
      <c r="J1637" s="256"/>
      <c r="K1637" s="256"/>
    </row>
    <row r="1638" spans="1:11" ht="12.75" x14ac:dyDescent="0.35">
      <c r="A1638" s="256"/>
      <c r="B1638" s="256"/>
      <c r="C1638" s="256"/>
      <c r="D1638" s="256"/>
      <c r="E1638" s="256"/>
      <c r="F1638" s="256"/>
      <c r="G1638" s="256"/>
      <c r="H1638" s="256"/>
      <c r="I1638" s="256"/>
      <c r="J1638" s="256"/>
      <c r="K1638" s="256"/>
    </row>
    <row r="1639" spans="1:11" ht="12.75" x14ac:dyDescent="0.35">
      <c r="A1639" s="256"/>
      <c r="B1639" s="256"/>
      <c r="C1639" s="256"/>
      <c r="D1639" s="256"/>
      <c r="E1639" s="256"/>
      <c r="F1639" s="256"/>
      <c r="G1639" s="256"/>
      <c r="H1639" s="256"/>
      <c r="I1639" s="256"/>
      <c r="J1639" s="256"/>
      <c r="K1639" s="256"/>
    </row>
    <row r="1640" spans="1:11" ht="12.75" x14ac:dyDescent="0.35">
      <c r="A1640" s="256"/>
      <c r="B1640" s="256"/>
      <c r="C1640" s="256"/>
      <c r="D1640" s="256"/>
      <c r="E1640" s="256"/>
      <c r="F1640" s="256"/>
      <c r="G1640" s="256"/>
      <c r="H1640" s="256"/>
      <c r="I1640" s="256"/>
      <c r="J1640" s="256"/>
      <c r="K1640" s="256"/>
    </row>
    <row r="1641" spans="1:11" ht="12.75" x14ac:dyDescent="0.35">
      <c r="A1641" s="256"/>
      <c r="B1641" s="256"/>
      <c r="C1641" s="256"/>
      <c r="D1641" s="256"/>
      <c r="E1641" s="256"/>
      <c r="F1641" s="256"/>
      <c r="G1641" s="256"/>
      <c r="H1641" s="256"/>
      <c r="I1641" s="256"/>
      <c r="J1641" s="256"/>
      <c r="K1641" s="256"/>
    </row>
    <row r="1642" spans="1:11" ht="12.75" x14ac:dyDescent="0.35">
      <c r="A1642" s="256"/>
      <c r="B1642" s="256"/>
      <c r="C1642" s="256"/>
      <c r="D1642" s="256"/>
      <c r="E1642" s="256"/>
      <c r="F1642" s="256"/>
      <c r="G1642" s="256"/>
      <c r="H1642" s="256"/>
      <c r="I1642" s="256"/>
      <c r="J1642" s="256"/>
      <c r="K1642" s="256"/>
    </row>
    <row r="1643" spans="1:11" ht="12.75" x14ac:dyDescent="0.35">
      <c r="A1643" s="256"/>
      <c r="B1643" s="256"/>
      <c r="C1643" s="256"/>
      <c r="D1643" s="256"/>
      <c r="E1643" s="256"/>
      <c r="F1643" s="256"/>
      <c r="G1643" s="256"/>
      <c r="H1643" s="256"/>
      <c r="I1643" s="256"/>
      <c r="J1643" s="256"/>
      <c r="K1643" s="256"/>
    </row>
    <row r="1644" spans="1:11" ht="12.75" x14ac:dyDescent="0.35">
      <c r="A1644" s="256"/>
      <c r="B1644" s="256"/>
      <c r="C1644" s="256"/>
      <c r="D1644" s="256"/>
      <c r="E1644" s="256"/>
      <c r="F1644" s="256"/>
      <c r="G1644" s="256"/>
      <c r="H1644" s="256"/>
      <c r="I1644" s="256"/>
      <c r="J1644" s="256"/>
      <c r="K1644" s="256"/>
    </row>
    <row r="1645" spans="1:11" ht="12.75" x14ac:dyDescent="0.35">
      <c r="A1645" s="256"/>
      <c r="B1645" s="256"/>
      <c r="C1645" s="256"/>
      <c r="D1645" s="256"/>
      <c r="E1645" s="256"/>
      <c r="F1645" s="256"/>
      <c r="G1645" s="256"/>
      <c r="H1645" s="256"/>
      <c r="I1645" s="256"/>
      <c r="J1645" s="256"/>
      <c r="K1645" s="256"/>
    </row>
    <row r="1646" spans="1:11" ht="12.75" x14ac:dyDescent="0.35">
      <c r="A1646" s="256"/>
      <c r="B1646" s="256"/>
      <c r="C1646" s="256"/>
      <c r="D1646" s="256"/>
      <c r="E1646" s="256"/>
      <c r="F1646" s="256"/>
      <c r="G1646" s="256"/>
      <c r="H1646" s="256"/>
      <c r="I1646" s="256"/>
      <c r="J1646" s="256"/>
      <c r="K1646" s="256"/>
    </row>
    <row r="1647" spans="1:11" ht="12.75" x14ac:dyDescent="0.35">
      <c r="A1647" s="256"/>
      <c r="B1647" s="256"/>
      <c r="C1647" s="256"/>
      <c r="D1647" s="256"/>
      <c r="E1647" s="256"/>
      <c r="F1647" s="256"/>
      <c r="G1647" s="256"/>
      <c r="H1647" s="256"/>
      <c r="I1647" s="256"/>
      <c r="J1647" s="256"/>
      <c r="K1647" s="256"/>
    </row>
    <row r="1648" spans="1:11" ht="12.75" x14ac:dyDescent="0.35">
      <c r="A1648" s="256"/>
      <c r="B1648" s="256"/>
      <c r="C1648" s="256"/>
      <c r="D1648" s="256"/>
      <c r="E1648" s="256"/>
      <c r="F1648" s="256"/>
      <c r="G1648" s="256"/>
      <c r="H1648" s="256"/>
      <c r="I1648" s="256"/>
      <c r="J1648" s="256"/>
      <c r="K1648" s="256"/>
    </row>
    <row r="1649" spans="1:11" ht="12.75" x14ac:dyDescent="0.35">
      <c r="A1649" s="256"/>
      <c r="B1649" s="256"/>
      <c r="C1649" s="256"/>
      <c r="D1649" s="256"/>
      <c r="E1649" s="256"/>
      <c r="F1649" s="256"/>
      <c r="G1649" s="256"/>
      <c r="H1649" s="256"/>
      <c r="I1649" s="256"/>
      <c r="J1649" s="256"/>
      <c r="K1649" s="256"/>
    </row>
    <row r="1650" spans="1:11" ht="12.75" x14ac:dyDescent="0.35">
      <c r="A1650" s="256"/>
      <c r="B1650" s="256"/>
      <c r="C1650" s="256"/>
      <c r="D1650" s="256"/>
      <c r="E1650" s="256"/>
      <c r="F1650" s="256"/>
      <c r="G1650" s="256"/>
      <c r="H1650" s="256"/>
      <c r="I1650" s="256"/>
      <c r="J1650" s="256"/>
      <c r="K1650" s="256"/>
    </row>
    <row r="1651" spans="1:11" ht="12.75" x14ac:dyDescent="0.35">
      <c r="A1651" s="256"/>
      <c r="B1651" s="256"/>
      <c r="C1651" s="256"/>
      <c r="D1651" s="256"/>
      <c r="E1651" s="256"/>
      <c r="F1651" s="256"/>
      <c r="G1651" s="256"/>
      <c r="H1651" s="256"/>
      <c r="I1651" s="256"/>
      <c r="J1651" s="256"/>
      <c r="K1651" s="256"/>
    </row>
    <row r="1652" spans="1:11" ht="12.75" x14ac:dyDescent="0.35">
      <c r="A1652" s="256"/>
      <c r="B1652" s="256"/>
      <c r="C1652" s="256"/>
      <c r="D1652" s="256"/>
      <c r="E1652" s="256"/>
      <c r="F1652" s="256"/>
      <c r="G1652" s="256"/>
      <c r="H1652" s="256"/>
      <c r="I1652" s="256"/>
      <c r="J1652" s="256"/>
      <c r="K1652" s="256"/>
    </row>
    <row r="1653" spans="1:11" ht="12.75" x14ac:dyDescent="0.35">
      <c r="A1653" s="256"/>
      <c r="B1653" s="256"/>
      <c r="C1653" s="256"/>
      <c r="D1653" s="256"/>
      <c r="E1653" s="256"/>
      <c r="F1653" s="256"/>
      <c r="G1653" s="256"/>
      <c r="H1653" s="256"/>
      <c r="I1653" s="256"/>
      <c r="J1653" s="256"/>
      <c r="K1653" s="256"/>
    </row>
    <row r="1654" spans="1:11" ht="12.75" x14ac:dyDescent="0.35">
      <c r="A1654" s="256"/>
      <c r="B1654" s="256"/>
      <c r="C1654" s="256"/>
      <c r="D1654" s="256"/>
      <c r="E1654" s="256"/>
      <c r="F1654" s="256"/>
      <c r="G1654" s="256"/>
      <c r="H1654" s="256"/>
      <c r="I1654" s="256"/>
      <c r="J1654" s="256"/>
      <c r="K1654" s="256"/>
    </row>
    <row r="1655" spans="1:11" ht="12.75" x14ac:dyDescent="0.35">
      <c r="A1655" s="256"/>
      <c r="B1655" s="256"/>
      <c r="C1655" s="256"/>
      <c r="D1655" s="256"/>
      <c r="E1655" s="256"/>
      <c r="F1655" s="256"/>
      <c r="G1655" s="256"/>
      <c r="H1655" s="256"/>
      <c r="I1655" s="256"/>
      <c r="J1655" s="256"/>
      <c r="K1655" s="256"/>
    </row>
    <row r="1656" spans="1:11" ht="12.75" x14ac:dyDescent="0.35">
      <c r="A1656" s="256"/>
      <c r="B1656" s="256"/>
      <c r="C1656" s="256"/>
      <c r="D1656" s="256"/>
      <c r="E1656" s="256"/>
      <c r="F1656" s="256"/>
      <c r="G1656" s="256"/>
      <c r="H1656" s="256"/>
      <c r="I1656" s="256"/>
      <c r="J1656" s="256"/>
      <c r="K1656" s="256"/>
    </row>
    <row r="1657" spans="1:11" ht="12.75" x14ac:dyDescent="0.35">
      <c r="A1657" s="256"/>
      <c r="B1657" s="256"/>
      <c r="C1657" s="256"/>
      <c r="D1657" s="256"/>
      <c r="E1657" s="256"/>
      <c r="F1657" s="256"/>
      <c r="G1657" s="256"/>
      <c r="H1657" s="256"/>
      <c r="I1657" s="256"/>
      <c r="J1657" s="256"/>
      <c r="K1657" s="256"/>
    </row>
    <row r="1658" spans="1:11" ht="12.75" x14ac:dyDescent="0.35">
      <c r="A1658" s="256"/>
      <c r="B1658" s="256"/>
      <c r="C1658" s="256"/>
      <c r="D1658" s="256"/>
      <c r="E1658" s="256"/>
      <c r="F1658" s="256"/>
      <c r="G1658" s="256"/>
      <c r="H1658" s="256"/>
      <c r="I1658" s="256"/>
      <c r="J1658" s="256"/>
      <c r="K1658" s="256"/>
    </row>
    <row r="1659" spans="1:11" ht="12.75" x14ac:dyDescent="0.35">
      <c r="A1659" s="256"/>
      <c r="B1659" s="256"/>
      <c r="C1659" s="256"/>
      <c r="D1659" s="256"/>
      <c r="E1659" s="256"/>
      <c r="F1659" s="256"/>
      <c r="G1659" s="256"/>
      <c r="H1659" s="256"/>
      <c r="I1659" s="256"/>
      <c r="J1659" s="256"/>
      <c r="K1659" s="256"/>
    </row>
    <row r="1660" spans="1:11" ht="12.75" x14ac:dyDescent="0.35">
      <c r="A1660" s="256"/>
      <c r="B1660" s="256"/>
      <c r="C1660" s="256"/>
      <c r="D1660" s="256"/>
      <c r="E1660" s="256"/>
      <c r="F1660" s="256"/>
      <c r="G1660" s="256"/>
      <c r="H1660" s="256"/>
      <c r="I1660" s="256"/>
      <c r="J1660" s="256"/>
      <c r="K1660" s="256"/>
    </row>
    <row r="1661" spans="1:11" ht="12.75" x14ac:dyDescent="0.35">
      <c r="A1661" s="256"/>
      <c r="B1661" s="256"/>
      <c r="C1661" s="256"/>
      <c r="D1661" s="256"/>
      <c r="E1661" s="256"/>
      <c r="F1661" s="256"/>
      <c r="G1661" s="256"/>
      <c r="H1661" s="256"/>
      <c r="I1661" s="256"/>
      <c r="J1661" s="256"/>
      <c r="K1661" s="256"/>
    </row>
    <row r="1662" spans="1:11" ht="12.75" x14ac:dyDescent="0.35">
      <c r="A1662" s="256"/>
      <c r="B1662" s="256"/>
      <c r="C1662" s="256"/>
      <c r="D1662" s="256"/>
      <c r="E1662" s="256"/>
      <c r="F1662" s="256"/>
      <c r="G1662" s="256"/>
      <c r="H1662" s="256"/>
      <c r="I1662" s="256"/>
      <c r="J1662" s="256"/>
      <c r="K1662" s="256"/>
    </row>
    <row r="1663" spans="1:11" ht="12.75" x14ac:dyDescent="0.35">
      <c r="A1663" s="256"/>
      <c r="B1663" s="256"/>
      <c r="C1663" s="256"/>
      <c r="D1663" s="256"/>
      <c r="E1663" s="256"/>
      <c r="F1663" s="256"/>
      <c r="G1663" s="256"/>
      <c r="H1663" s="256"/>
      <c r="I1663" s="256"/>
      <c r="J1663" s="256"/>
      <c r="K1663" s="256"/>
    </row>
    <row r="1664" spans="1:11" ht="12.75" x14ac:dyDescent="0.35">
      <c r="A1664" s="256"/>
      <c r="B1664" s="256"/>
      <c r="C1664" s="256"/>
      <c r="D1664" s="256"/>
      <c r="E1664" s="256"/>
      <c r="F1664" s="256"/>
      <c r="G1664" s="256"/>
      <c r="H1664" s="256"/>
      <c r="I1664" s="256"/>
      <c r="J1664" s="256"/>
      <c r="K1664" s="256"/>
    </row>
    <row r="1665" spans="1:11" ht="12.75" x14ac:dyDescent="0.35">
      <c r="A1665" s="256"/>
      <c r="B1665" s="256"/>
      <c r="C1665" s="256"/>
      <c r="D1665" s="256"/>
      <c r="E1665" s="256"/>
      <c r="F1665" s="256"/>
      <c r="G1665" s="256"/>
      <c r="H1665" s="256"/>
      <c r="I1665" s="256"/>
      <c r="J1665" s="256"/>
      <c r="K1665" s="256"/>
    </row>
    <row r="1666" spans="1:11" ht="12.75" x14ac:dyDescent="0.35">
      <c r="A1666" s="256"/>
      <c r="B1666" s="256"/>
      <c r="C1666" s="256"/>
      <c r="D1666" s="256"/>
      <c r="E1666" s="256"/>
      <c r="F1666" s="256"/>
      <c r="G1666" s="256"/>
      <c r="H1666" s="256"/>
      <c r="I1666" s="256"/>
      <c r="J1666" s="256"/>
      <c r="K1666" s="256"/>
    </row>
    <row r="1667" spans="1:11" ht="12.75" x14ac:dyDescent="0.35">
      <c r="A1667" s="256"/>
      <c r="B1667" s="256"/>
      <c r="C1667" s="256"/>
      <c r="D1667" s="256"/>
      <c r="E1667" s="256"/>
      <c r="F1667" s="256"/>
      <c r="G1667" s="256"/>
      <c r="H1667" s="256"/>
      <c r="I1667" s="256"/>
      <c r="J1667" s="256"/>
      <c r="K1667" s="256"/>
    </row>
    <row r="1668" spans="1:11" ht="12.75" x14ac:dyDescent="0.35">
      <c r="A1668" s="256"/>
      <c r="B1668" s="256"/>
      <c r="C1668" s="256"/>
      <c r="D1668" s="256"/>
      <c r="E1668" s="256"/>
      <c r="F1668" s="256"/>
      <c r="G1668" s="256"/>
      <c r="H1668" s="256"/>
      <c r="I1668" s="256"/>
      <c r="J1668" s="256"/>
      <c r="K1668" s="256"/>
    </row>
    <row r="1669" spans="1:11" ht="12.75" x14ac:dyDescent="0.35">
      <c r="A1669" s="256"/>
      <c r="B1669" s="256"/>
      <c r="C1669" s="256"/>
      <c r="D1669" s="256"/>
      <c r="E1669" s="256"/>
      <c r="F1669" s="256"/>
      <c r="G1669" s="256"/>
      <c r="H1669" s="256"/>
      <c r="I1669" s="256"/>
      <c r="J1669" s="256"/>
      <c r="K1669" s="256"/>
    </row>
    <row r="1670" spans="1:11" ht="12.75" x14ac:dyDescent="0.35">
      <c r="A1670" s="256"/>
      <c r="B1670" s="256"/>
      <c r="C1670" s="256"/>
      <c r="D1670" s="256"/>
      <c r="E1670" s="256"/>
      <c r="F1670" s="256"/>
      <c r="G1670" s="256"/>
      <c r="H1670" s="256"/>
      <c r="I1670" s="256"/>
      <c r="J1670" s="256"/>
      <c r="K1670" s="256"/>
    </row>
    <row r="1671" spans="1:11" ht="12.75" x14ac:dyDescent="0.35">
      <c r="A1671" s="256"/>
      <c r="B1671" s="256"/>
      <c r="C1671" s="256"/>
      <c r="D1671" s="256"/>
      <c r="E1671" s="256"/>
      <c r="F1671" s="256"/>
      <c r="G1671" s="256"/>
      <c r="H1671" s="256"/>
      <c r="I1671" s="256"/>
      <c r="J1671" s="256"/>
      <c r="K1671" s="256"/>
    </row>
    <row r="1672" spans="1:11" ht="12.75" x14ac:dyDescent="0.35">
      <c r="A1672" s="256"/>
      <c r="B1672" s="256"/>
      <c r="C1672" s="256"/>
      <c r="D1672" s="256"/>
      <c r="E1672" s="256"/>
      <c r="F1672" s="256"/>
      <c r="G1672" s="256"/>
      <c r="H1672" s="256"/>
      <c r="I1672" s="256"/>
      <c r="J1672" s="256"/>
      <c r="K1672" s="256"/>
    </row>
    <row r="1673" spans="1:11" ht="12.75" x14ac:dyDescent="0.35">
      <c r="A1673" s="256"/>
      <c r="B1673" s="256"/>
      <c r="C1673" s="256"/>
      <c r="D1673" s="256"/>
      <c r="E1673" s="256"/>
      <c r="F1673" s="256"/>
      <c r="G1673" s="256"/>
      <c r="H1673" s="256"/>
      <c r="I1673" s="256"/>
      <c r="J1673" s="256"/>
      <c r="K1673" s="256"/>
    </row>
    <row r="1674" spans="1:11" ht="12.75" x14ac:dyDescent="0.35">
      <c r="A1674" s="256"/>
      <c r="B1674" s="256"/>
      <c r="C1674" s="256"/>
      <c r="D1674" s="256"/>
      <c r="E1674" s="256"/>
      <c r="F1674" s="256"/>
      <c r="G1674" s="256"/>
      <c r="H1674" s="256"/>
      <c r="I1674" s="256"/>
      <c r="J1674" s="256"/>
      <c r="K1674" s="256"/>
    </row>
    <row r="1675" spans="1:11" ht="12.75" x14ac:dyDescent="0.35">
      <c r="A1675" s="256"/>
      <c r="B1675" s="256"/>
      <c r="C1675" s="256"/>
      <c r="D1675" s="256"/>
      <c r="E1675" s="256"/>
      <c r="F1675" s="256"/>
      <c r="G1675" s="256"/>
      <c r="H1675" s="256"/>
      <c r="I1675" s="256"/>
      <c r="J1675" s="256"/>
      <c r="K1675" s="256"/>
    </row>
    <row r="1676" spans="1:11" ht="12.75" x14ac:dyDescent="0.35">
      <c r="A1676" s="256"/>
      <c r="B1676" s="256"/>
      <c r="C1676" s="256"/>
      <c r="D1676" s="256"/>
      <c r="E1676" s="256"/>
      <c r="F1676" s="256"/>
      <c r="G1676" s="256"/>
      <c r="H1676" s="256"/>
      <c r="I1676" s="256"/>
      <c r="J1676" s="256"/>
      <c r="K1676" s="256"/>
    </row>
    <row r="1677" spans="1:11" ht="12.75" x14ac:dyDescent="0.35">
      <c r="A1677" s="256"/>
      <c r="B1677" s="256"/>
      <c r="C1677" s="256"/>
      <c r="D1677" s="256"/>
      <c r="E1677" s="256"/>
      <c r="F1677" s="256"/>
      <c r="G1677" s="256"/>
      <c r="H1677" s="256"/>
      <c r="I1677" s="256"/>
      <c r="J1677" s="256"/>
      <c r="K1677" s="256"/>
    </row>
    <row r="1678" spans="1:11" ht="12.75" x14ac:dyDescent="0.35">
      <c r="A1678" s="256"/>
      <c r="B1678" s="256"/>
      <c r="C1678" s="256"/>
      <c r="D1678" s="256"/>
      <c r="E1678" s="256"/>
      <c r="F1678" s="256"/>
      <c r="G1678" s="256"/>
      <c r="H1678" s="256"/>
      <c r="I1678" s="256"/>
      <c r="J1678" s="256"/>
      <c r="K1678" s="256"/>
    </row>
    <row r="1679" spans="1:11" ht="12.75" x14ac:dyDescent="0.35">
      <c r="A1679" s="256"/>
      <c r="B1679" s="256"/>
      <c r="C1679" s="256"/>
      <c r="D1679" s="256"/>
      <c r="E1679" s="256"/>
      <c r="F1679" s="256"/>
      <c r="G1679" s="256"/>
      <c r="H1679" s="256"/>
      <c r="I1679" s="256"/>
      <c r="J1679" s="256"/>
      <c r="K1679" s="256"/>
    </row>
    <row r="1680" spans="1:11" ht="12.75" x14ac:dyDescent="0.35">
      <c r="A1680" s="256"/>
      <c r="B1680" s="256"/>
      <c r="C1680" s="256"/>
      <c r="D1680" s="256"/>
      <c r="E1680" s="256"/>
      <c r="F1680" s="256"/>
      <c r="G1680" s="256"/>
      <c r="H1680" s="256"/>
      <c r="I1680" s="256"/>
      <c r="J1680" s="256"/>
      <c r="K1680" s="256"/>
    </row>
    <row r="1681" spans="1:11" ht="12.75" x14ac:dyDescent="0.35">
      <c r="A1681" s="256"/>
      <c r="B1681" s="256"/>
      <c r="C1681" s="256"/>
      <c r="D1681" s="256"/>
      <c r="E1681" s="256"/>
      <c r="F1681" s="256"/>
      <c r="G1681" s="256"/>
      <c r="H1681" s="256"/>
      <c r="I1681" s="256"/>
      <c r="J1681" s="256"/>
      <c r="K1681" s="256"/>
    </row>
    <row r="1682" spans="1:11" ht="12.75" x14ac:dyDescent="0.35">
      <c r="A1682" s="256"/>
      <c r="B1682" s="256"/>
      <c r="C1682" s="256"/>
      <c r="D1682" s="256"/>
      <c r="E1682" s="256"/>
      <c r="F1682" s="256"/>
      <c r="G1682" s="256"/>
      <c r="H1682" s="256"/>
      <c r="I1682" s="256"/>
      <c r="J1682" s="256"/>
      <c r="K1682" s="256"/>
    </row>
    <row r="1683" spans="1:11" ht="12.75" x14ac:dyDescent="0.35">
      <c r="A1683" s="256"/>
      <c r="B1683" s="256"/>
      <c r="C1683" s="256"/>
      <c r="D1683" s="256"/>
      <c r="E1683" s="256"/>
      <c r="F1683" s="256"/>
      <c r="G1683" s="256"/>
      <c r="H1683" s="256"/>
      <c r="I1683" s="256"/>
      <c r="J1683" s="256"/>
      <c r="K1683" s="256"/>
    </row>
    <row r="1684" spans="1:11" ht="12.75" x14ac:dyDescent="0.35">
      <c r="A1684" s="256"/>
      <c r="B1684" s="256"/>
      <c r="C1684" s="256"/>
      <c r="D1684" s="256"/>
      <c r="E1684" s="256"/>
      <c r="F1684" s="256"/>
      <c r="G1684" s="256"/>
      <c r="H1684" s="256"/>
      <c r="I1684" s="256"/>
      <c r="J1684" s="256"/>
      <c r="K1684" s="256"/>
    </row>
    <row r="1685" spans="1:11" ht="12.75" x14ac:dyDescent="0.35">
      <c r="A1685" s="256"/>
      <c r="B1685" s="256"/>
      <c r="C1685" s="256"/>
      <c r="D1685" s="256"/>
      <c r="E1685" s="256"/>
      <c r="F1685" s="256"/>
      <c r="G1685" s="256"/>
      <c r="H1685" s="256"/>
      <c r="I1685" s="256"/>
      <c r="J1685" s="256"/>
      <c r="K1685" s="256"/>
    </row>
    <row r="1686" spans="1:11" ht="12.75" x14ac:dyDescent="0.35">
      <c r="A1686" s="256"/>
      <c r="B1686" s="256"/>
      <c r="C1686" s="256"/>
      <c r="D1686" s="256"/>
      <c r="E1686" s="256"/>
      <c r="F1686" s="256"/>
      <c r="G1686" s="256"/>
      <c r="H1686" s="256"/>
      <c r="I1686" s="256"/>
      <c r="J1686" s="256"/>
      <c r="K1686" s="256"/>
    </row>
    <row r="1687" spans="1:11" ht="12.75" x14ac:dyDescent="0.35">
      <c r="A1687" s="256"/>
      <c r="B1687" s="256"/>
      <c r="C1687" s="256"/>
      <c r="D1687" s="256"/>
      <c r="E1687" s="256"/>
      <c r="F1687" s="256"/>
      <c r="G1687" s="256"/>
      <c r="H1687" s="256"/>
      <c r="I1687" s="256"/>
      <c r="J1687" s="256"/>
      <c r="K1687" s="256"/>
    </row>
    <row r="1688" spans="1:11" ht="12.75" x14ac:dyDescent="0.35">
      <c r="A1688" s="256"/>
      <c r="B1688" s="256"/>
      <c r="C1688" s="256"/>
      <c r="D1688" s="256"/>
      <c r="E1688" s="256"/>
      <c r="F1688" s="256"/>
      <c r="G1688" s="256"/>
      <c r="H1688" s="256"/>
      <c r="I1688" s="256"/>
      <c r="J1688" s="256"/>
      <c r="K1688" s="256"/>
    </row>
    <row r="1689" spans="1:11" ht="12.75" x14ac:dyDescent="0.35">
      <c r="A1689" s="256"/>
      <c r="B1689" s="256"/>
      <c r="C1689" s="256"/>
      <c r="D1689" s="256"/>
      <c r="E1689" s="256"/>
      <c r="F1689" s="256"/>
      <c r="G1689" s="256"/>
      <c r="H1689" s="256"/>
      <c r="I1689" s="256"/>
      <c r="J1689" s="256"/>
      <c r="K1689" s="256"/>
    </row>
    <row r="1690" spans="1:11" ht="12.75" x14ac:dyDescent="0.35">
      <c r="A1690" s="256"/>
      <c r="B1690" s="256"/>
      <c r="C1690" s="256"/>
      <c r="D1690" s="256"/>
      <c r="E1690" s="256"/>
      <c r="F1690" s="256"/>
      <c r="G1690" s="256"/>
      <c r="H1690" s="256"/>
      <c r="I1690" s="256"/>
      <c r="J1690" s="256"/>
      <c r="K1690" s="256"/>
    </row>
    <row r="1691" spans="1:11" ht="12.75" x14ac:dyDescent="0.35">
      <c r="A1691" s="256"/>
      <c r="B1691" s="256"/>
      <c r="C1691" s="256"/>
      <c r="D1691" s="256"/>
      <c r="E1691" s="256"/>
      <c r="F1691" s="256"/>
      <c r="G1691" s="256"/>
      <c r="H1691" s="256"/>
      <c r="I1691" s="256"/>
      <c r="J1691" s="256"/>
      <c r="K1691" s="256"/>
    </row>
    <row r="1692" spans="1:11" ht="12.75" x14ac:dyDescent="0.35">
      <c r="A1692" s="256"/>
      <c r="B1692" s="256"/>
      <c r="C1692" s="256"/>
      <c r="D1692" s="256"/>
      <c r="E1692" s="256"/>
      <c r="F1692" s="256"/>
      <c r="G1692" s="256"/>
      <c r="H1692" s="256"/>
      <c r="I1692" s="256"/>
      <c r="J1692" s="256"/>
      <c r="K1692" s="256"/>
    </row>
    <row r="1693" spans="1:11" ht="12.75" x14ac:dyDescent="0.35">
      <c r="A1693" s="256"/>
      <c r="B1693" s="256"/>
      <c r="C1693" s="256"/>
      <c r="D1693" s="256"/>
      <c r="E1693" s="256"/>
      <c r="F1693" s="256"/>
      <c r="G1693" s="256"/>
      <c r="H1693" s="256"/>
      <c r="I1693" s="256"/>
      <c r="J1693" s="256"/>
      <c r="K1693" s="256"/>
    </row>
    <row r="1694" spans="1:11" ht="12.75" x14ac:dyDescent="0.35">
      <c r="A1694" s="256"/>
      <c r="B1694" s="256"/>
      <c r="C1694" s="256"/>
      <c r="D1694" s="256"/>
      <c r="E1694" s="256"/>
      <c r="F1694" s="256"/>
      <c r="G1694" s="256"/>
      <c r="H1694" s="256"/>
      <c r="I1694" s="256"/>
      <c r="J1694" s="256"/>
      <c r="K1694" s="256"/>
    </row>
    <row r="1695" spans="1:11" ht="12.75" x14ac:dyDescent="0.35">
      <c r="A1695" s="256"/>
      <c r="B1695" s="256"/>
      <c r="C1695" s="256"/>
      <c r="D1695" s="256"/>
      <c r="E1695" s="256"/>
      <c r="F1695" s="256"/>
      <c r="G1695" s="256"/>
      <c r="H1695" s="256"/>
      <c r="I1695" s="256"/>
      <c r="J1695" s="256"/>
      <c r="K1695" s="256"/>
    </row>
    <row r="1696" spans="1:11" ht="12.75" x14ac:dyDescent="0.35">
      <c r="A1696" s="256"/>
      <c r="B1696" s="256"/>
      <c r="C1696" s="256"/>
      <c r="D1696" s="256"/>
      <c r="E1696" s="256"/>
      <c r="F1696" s="256"/>
      <c r="G1696" s="256"/>
      <c r="H1696" s="256"/>
      <c r="I1696" s="256"/>
      <c r="J1696" s="256"/>
      <c r="K1696" s="256"/>
    </row>
    <row r="1697" spans="1:11" ht="12.75" x14ac:dyDescent="0.35">
      <c r="A1697" s="256"/>
      <c r="B1697" s="256"/>
      <c r="C1697" s="256"/>
      <c r="D1697" s="256"/>
      <c r="E1697" s="256"/>
      <c r="F1697" s="256"/>
      <c r="G1697" s="256"/>
      <c r="H1697" s="256"/>
      <c r="I1697" s="256"/>
      <c r="J1697" s="256"/>
      <c r="K1697" s="256"/>
    </row>
    <row r="1698" spans="1:11" ht="12.75" x14ac:dyDescent="0.35">
      <c r="A1698" s="256"/>
      <c r="B1698" s="256"/>
      <c r="C1698" s="256"/>
      <c r="D1698" s="256"/>
      <c r="E1698" s="256"/>
      <c r="F1698" s="256"/>
      <c r="G1698" s="256"/>
      <c r="H1698" s="256"/>
      <c r="I1698" s="256"/>
      <c r="J1698" s="256"/>
      <c r="K1698" s="256"/>
    </row>
    <row r="1699" spans="1:11" ht="12.75" x14ac:dyDescent="0.35">
      <c r="A1699" s="256"/>
      <c r="B1699" s="256"/>
      <c r="C1699" s="256"/>
      <c r="D1699" s="256"/>
      <c r="E1699" s="256"/>
      <c r="F1699" s="256"/>
      <c r="G1699" s="256"/>
      <c r="H1699" s="256"/>
      <c r="I1699" s="256"/>
      <c r="J1699" s="256"/>
      <c r="K1699" s="256"/>
    </row>
    <row r="1700" spans="1:11" ht="12.75" x14ac:dyDescent="0.35">
      <c r="A1700" s="256"/>
      <c r="B1700" s="256"/>
      <c r="C1700" s="256"/>
      <c r="D1700" s="256"/>
      <c r="E1700" s="256"/>
      <c r="F1700" s="256"/>
      <c r="G1700" s="256"/>
      <c r="H1700" s="256"/>
      <c r="I1700" s="256"/>
      <c r="J1700" s="256"/>
      <c r="K1700" s="256"/>
    </row>
    <row r="1701" spans="1:11" ht="12.75" x14ac:dyDescent="0.35">
      <c r="A1701" s="256"/>
      <c r="B1701" s="256"/>
      <c r="C1701" s="256"/>
      <c r="D1701" s="256"/>
      <c r="E1701" s="256"/>
      <c r="F1701" s="256"/>
      <c r="G1701" s="256"/>
      <c r="H1701" s="256"/>
      <c r="I1701" s="256"/>
      <c r="J1701" s="256"/>
      <c r="K1701" s="256"/>
    </row>
    <row r="1702" spans="1:11" ht="12.75" x14ac:dyDescent="0.35">
      <c r="A1702" s="256"/>
      <c r="B1702" s="256"/>
      <c r="C1702" s="256"/>
      <c r="D1702" s="256"/>
      <c r="E1702" s="256"/>
      <c r="F1702" s="256"/>
      <c r="G1702" s="256"/>
      <c r="H1702" s="256"/>
      <c r="I1702" s="256"/>
      <c r="J1702" s="256"/>
      <c r="K1702" s="256"/>
    </row>
    <row r="1703" spans="1:11" ht="12.75" x14ac:dyDescent="0.35">
      <c r="A1703" s="256"/>
      <c r="B1703" s="256"/>
      <c r="C1703" s="256"/>
      <c r="D1703" s="256"/>
      <c r="E1703" s="256"/>
      <c r="F1703" s="256"/>
      <c r="G1703" s="256"/>
      <c r="H1703" s="256"/>
      <c r="I1703" s="256"/>
      <c r="J1703" s="256"/>
      <c r="K1703" s="256"/>
    </row>
    <row r="1704" spans="1:11" ht="12.75" x14ac:dyDescent="0.35">
      <c r="A1704" s="256"/>
      <c r="B1704" s="256"/>
      <c r="C1704" s="256"/>
      <c r="D1704" s="256"/>
      <c r="E1704" s="256"/>
      <c r="F1704" s="256"/>
      <c r="G1704" s="256"/>
      <c r="H1704" s="256"/>
      <c r="I1704" s="256"/>
      <c r="J1704" s="256"/>
      <c r="K1704" s="256"/>
    </row>
    <row r="1705" spans="1:11" ht="12.75" x14ac:dyDescent="0.35">
      <c r="A1705" s="256"/>
      <c r="B1705" s="256"/>
      <c r="C1705" s="256"/>
      <c r="D1705" s="256"/>
      <c r="E1705" s="256"/>
      <c r="F1705" s="256"/>
      <c r="G1705" s="256"/>
      <c r="H1705" s="256"/>
      <c r="I1705" s="256"/>
      <c r="J1705" s="256"/>
      <c r="K1705" s="256"/>
    </row>
    <row r="1706" spans="1:11" ht="12.75" x14ac:dyDescent="0.35">
      <c r="A1706" s="256"/>
      <c r="B1706" s="256"/>
      <c r="C1706" s="256"/>
      <c r="D1706" s="256"/>
      <c r="E1706" s="256"/>
      <c r="F1706" s="256"/>
      <c r="G1706" s="256"/>
      <c r="H1706" s="256"/>
      <c r="I1706" s="256"/>
      <c r="J1706" s="256"/>
      <c r="K1706" s="256"/>
    </row>
    <row r="1707" spans="1:11" ht="12.75" x14ac:dyDescent="0.35">
      <c r="A1707" s="256"/>
      <c r="B1707" s="256"/>
      <c r="C1707" s="256"/>
      <c r="D1707" s="256"/>
      <c r="E1707" s="256"/>
      <c r="F1707" s="256"/>
      <c r="G1707" s="256"/>
      <c r="H1707" s="256"/>
      <c r="I1707" s="256"/>
      <c r="J1707" s="256"/>
      <c r="K1707" s="256"/>
    </row>
    <row r="1708" spans="1:11" ht="12.75" x14ac:dyDescent="0.35">
      <c r="A1708" s="256"/>
      <c r="B1708" s="256"/>
      <c r="C1708" s="256"/>
      <c r="D1708" s="256"/>
      <c r="E1708" s="256"/>
      <c r="F1708" s="256"/>
      <c r="G1708" s="256"/>
      <c r="H1708" s="256"/>
      <c r="I1708" s="256"/>
      <c r="J1708" s="256"/>
      <c r="K1708" s="256"/>
    </row>
    <row r="1709" spans="1:11" ht="12.75" x14ac:dyDescent="0.35">
      <c r="A1709" s="256"/>
      <c r="B1709" s="256"/>
      <c r="C1709" s="256"/>
      <c r="D1709" s="256"/>
      <c r="E1709" s="256"/>
      <c r="F1709" s="256"/>
      <c r="G1709" s="256"/>
      <c r="H1709" s="256"/>
      <c r="I1709" s="256"/>
      <c r="J1709" s="256"/>
      <c r="K1709" s="256"/>
    </row>
    <row r="1710" spans="1:11" ht="12.75" x14ac:dyDescent="0.35">
      <c r="A1710" s="256"/>
      <c r="B1710" s="256"/>
      <c r="C1710" s="256"/>
      <c r="D1710" s="256"/>
      <c r="E1710" s="256"/>
      <c r="F1710" s="256"/>
      <c r="G1710" s="256"/>
      <c r="H1710" s="256"/>
      <c r="I1710" s="256"/>
      <c r="J1710" s="256"/>
      <c r="K1710" s="256"/>
    </row>
    <row r="1711" spans="1:11" ht="12.75" x14ac:dyDescent="0.35">
      <c r="A1711" s="256"/>
      <c r="B1711" s="256"/>
      <c r="C1711" s="256"/>
      <c r="D1711" s="256"/>
      <c r="E1711" s="256"/>
      <c r="F1711" s="256"/>
      <c r="G1711" s="256"/>
      <c r="H1711" s="256"/>
      <c r="I1711" s="256"/>
      <c r="J1711" s="256"/>
      <c r="K1711" s="256"/>
    </row>
    <row r="1712" spans="1:11" ht="12.75" x14ac:dyDescent="0.35">
      <c r="A1712" s="256"/>
      <c r="B1712" s="256"/>
      <c r="C1712" s="256"/>
      <c r="D1712" s="256"/>
      <c r="E1712" s="256"/>
      <c r="F1712" s="256"/>
      <c r="G1712" s="256"/>
      <c r="H1712" s="256"/>
      <c r="I1712" s="256"/>
      <c r="J1712" s="256"/>
      <c r="K1712" s="256"/>
    </row>
    <row r="1713" spans="1:11" ht="12.75" x14ac:dyDescent="0.35">
      <c r="A1713" s="256"/>
      <c r="B1713" s="256"/>
      <c r="C1713" s="256"/>
      <c r="D1713" s="256"/>
      <c r="E1713" s="256"/>
      <c r="F1713" s="256"/>
      <c r="G1713" s="256"/>
      <c r="H1713" s="256"/>
      <c r="I1713" s="256"/>
      <c r="J1713" s="256"/>
      <c r="K1713" s="256"/>
    </row>
    <row r="1714" spans="1:11" ht="12.75" x14ac:dyDescent="0.35">
      <c r="A1714" s="256"/>
      <c r="B1714" s="256"/>
      <c r="C1714" s="256"/>
      <c r="D1714" s="256"/>
      <c r="E1714" s="256"/>
      <c r="F1714" s="256"/>
      <c r="G1714" s="256"/>
      <c r="H1714" s="256"/>
      <c r="I1714" s="256"/>
      <c r="J1714" s="256"/>
      <c r="K1714" s="256"/>
    </row>
    <row r="1715" spans="1:11" ht="12.75" x14ac:dyDescent="0.35">
      <c r="A1715" s="256"/>
      <c r="B1715" s="256"/>
      <c r="C1715" s="256"/>
      <c r="D1715" s="256"/>
      <c r="E1715" s="256"/>
      <c r="F1715" s="256"/>
      <c r="G1715" s="256"/>
      <c r="H1715" s="256"/>
      <c r="I1715" s="256"/>
      <c r="J1715" s="256"/>
      <c r="K1715" s="256"/>
    </row>
    <row r="1716" spans="1:11" ht="12.75" x14ac:dyDescent="0.35">
      <c r="A1716" s="256"/>
      <c r="B1716" s="256"/>
      <c r="C1716" s="256"/>
      <c r="D1716" s="256"/>
      <c r="E1716" s="256"/>
      <c r="F1716" s="256"/>
      <c r="G1716" s="256"/>
      <c r="H1716" s="256"/>
      <c r="I1716" s="256"/>
      <c r="J1716" s="256"/>
      <c r="K1716" s="256"/>
    </row>
    <row r="1717" spans="1:11" ht="12.75" x14ac:dyDescent="0.35">
      <c r="A1717" s="256"/>
      <c r="B1717" s="256"/>
      <c r="C1717" s="256"/>
      <c r="D1717" s="256"/>
      <c r="E1717" s="256"/>
      <c r="F1717" s="256"/>
      <c r="G1717" s="256"/>
      <c r="H1717" s="256"/>
      <c r="I1717" s="256"/>
      <c r="J1717" s="256"/>
      <c r="K1717" s="256"/>
    </row>
    <row r="1718" spans="1:11" ht="12.75" x14ac:dyDescent="0.35">
      <c r="A1718" s="256"/>
      <c r="B1718" s="256"/>
      <c r="C1718" s="256"/>
      <c r="D1718" s="256"/>
      <c r="E1718" s="256"/>
      <c r="F1718" s="256"/>
      <c r="G1718" s="256"/>
      <c r="H1718" s="256"/>
      <c r="I1718" s="256"/>
      <c r="J1718" s="256"/>
      <c r="K1718" s="256"/>
    </row>
    <row r="1719" spans="1:11" ht="12.75" x14ac:dyDescent="0.35">
      <c r="A1719" s="256"/>
      <c r="B1719" s="256"/>
      <c r="C1719" s="256"/>
      <c r="D1719" s="256"/>
      <c r="E1719" s="256"/>
      <c r="F1719" s="256"/>
      <c r="G1719" s="256"/>
      <c r="H1719" s="256"/>
      <c r="I1719" s="256"/>
      <c r="J1719" s="256"/>
      <c r="K1719" s="256"/>
    </row>
    <row r="1720" spans="1:11" ht="12.75" x14ac:dyDescent="0.35">
      <c r="A1720" s="256"/>
      <c r="B1720" s="256"/>
      <c r="C1720" s="256"/>
      <c r="D1720" s="256"/>
      <c r="E1720" s="256"/>
      <c r="F1720" s="256"/>
      <c r="G1720" s="256"/>
      <c r="H1720" s="256"/>
      <c r="I1720" s="256"/>
      <c r="J1720" s="256"/>
      <c r="K1720" s="256"/>
    </row>
    <row r="1721" spans="1:11" ht="12.75" x14ac:dyDescent="0.35">
      <c r="A1721" s="256"/>
      <c r="B1721" s="256"/>
      <c r="C1721" s="256"/>
      <c r="D1721" s="256"/>
      <c r="E1721" s="256"/>
      <c r="F1721" s="256"/>
      <c r="G1721" s="256"/>
      <c r="H1721" s="256"/>
      <c r="I1721" s="256"/>
      <c r="J1721" s="256"/>
      <c r="K1721" s="256"/>
    </row>
    <row r="1722" spans="1:11" ht="12.75" x14ac:dyDescent="0.35">
      <c r="A1722" s="256"/>
      <c r="B1722" s="256"/>
      <c r="C1722" s="256"/>
      <c r="D1722" s="256"/>
      <c r="E1722" s="256"/>
      <c r="F1722" s="256"/>
      <c r="G1722" s="256"/>
      <c r="H1722" s="256"/>
      <c r="I1722" s="256"/>
      <c r="J1722" s="256"/>
      <c r="K1722" s="256"/>
    </row>
    <row r="1723" spans="1:11" ht="12.75" x14ac:dyDescent="0.35">
      <c r="A1723" s="256"/>
      <c r="B1723" s="256"/>
      <c r="C1723" s="256"/>
      <c r="D1723" s="256"/>
      <c r="E1723" s="256"/>
      <c r="F1723" s="256"/>
      <c r="G1723" s="256"/>
      <c r="H1723" s="256"/>
      <c r="I1723" s="256"/>
      <c r="J1723" s="256"/>
      <c r="K1723" s="256"/>
    </row>
    <row r="1724" spans="1:11" ht="12.75" x14ac:dyDescent="0.35">
      <c r="A1724" s="256"/>
      <c r="B1724" s="256"/>
      <c r="C1724" s="256"/>
      <c r="D1724" s="256"/>
      <c r="E1724" s="256"/>
      <c r="F1724" s="256"/>
      <c r="G1724" s="256"/>
      <c r="H1724" s="256"/>
      <c r="I1724" s="256"/>
      <c r="J1724" s="256"/>
      <c r="K1724" s="256"/>
    </row>
    <row r="1725" spans="1:11" ht="12.75" x14ac:dyDescent="0.35">
      <c r="A1725" s="256"/>
      <c r="B1725" s="256"/>
      <c r="C1725" s="256"/>
      <c r="D1725" s="256"/>
      <c r="E1725" s="256"/>
      <c r="F1725" s="256"/>
      <c r="G1725" s="256"/>
      <c r="H1725" s="256"/>
      <c r="I1725" s="256"/>
      <c r="J1725" s="256"/>
      <c r="K1725" s="256"/>
    </row>
    <row r="1726" spans="1:11" ht="12.75" x14ac:dyDescent="0.35">
      <c r="A1726" s="256"/>
      <c r="B1726" s="256"/>
      <c r="C1726" s="256"/>
      <c r="D1726" s="256"/>
      <c r="E1726" s="256"/>
      <c r="F1726" s="256"/>
      <c r="G1726" s="256"/>
      <c r="H1726" s="256"/>
      <c r="I1726" s="256"/>
      <c r="J1726" s="256"/>
      <c r="K1726" s="256"/>
    </row>
    <row r="1727" spans="1:11" ht="12.75" x14ac:dyDescent="0.35">
      <c r="A1727" s="256"/>
      <c r="B1727" s="256"/>
      <c r="C1727" s="256"/>
      <c r="D1727" s="256"/>
      <c r="E1727" s="256"/>
      <c r="F1727" s="256"/>
      <c r="G1727" s="256"/>
      <c r="H1727" s="256"/>
      <c r="I1727" s="256"/>
      <c r="J1727" s="256"/>
      <c r="K1727" s="256"/>
    </row>
    <row r="1728" spans="1:11" ht="12.75" x14ac:dyDescent="0.35">
      <c r="A1728" s="256"/>
      <c r="B1728" s="256"/>
      <c r="C1728" s="256"/>
      <c r="D1728" s="256"/>
      <c r="E1728" s="256"/>
      <c r="F1728" s="256"/>
      <c r="G1728" s="256"/>
      <c r="H1728" s="256"/>
      <c r="I1728" s="256"/>
      <c r="J1728" s="256"/>
      <c r="K1728" s="256"/>
    </row>
    <row r="1729" spans="1:11" ht="12.75" x14ac:dyDescent="0.35">
      <c r="A1729" s="256"/>
      <c r="B1729" s="256"/>
      <c r="C1729" s="256"/>
      <c r="D1729" s="256"/>
      <c r="E1729" s="256"/>
      <c r="F1729" s="256"/>
      <c r="G1729" s="256"/>
      <c r="H1729" s="256"/>
      <c r="I1729" s="256"/>
      <c r="J1729" s="256"/>
      <c r="K1729" s="256"/>
    </row>
    <row r="1730" spans="1:11" ht="12.75" x14ac:dyDescent="0.35">
      <c r="A1730" s="256"/>
      <c r="B1730" s="256"/>
      <c r="C1730" s="256"/>
      <c r="D1730" s="256"/>
      <c r="E1730" s="256"/>
      <c r="F1730" s="256"/>
      <c r="G1730" s="256"/>
      <c r="H1730" s="256"/>
      <c r="I1730" s="256"/>
      <c r="J1730" s="256"/>
      <c r="K1730" s="256"/>
    </row>
    <row r="1731" spans="1:11" ht="12.75" x14ac:dyDescent="0.35">
      <c r="A1731" s="256"/>
      <c r="B1731" s="256"/>
      <c r="C1731" s="256"/>
      <c r="D1731" s="256"/>
      <c r="E1731" s="256"/>
      <c r="F1731" s="256"/>
      <c r="G1731" s="256"/>
      <c r="H1731" s="256"/>
      <c r="I1731" s="256"/>
      <c r="J1731" s="256"/>
      <c r="K1731" s="256"/>
    </row>
    <row r="1732" spans="1:11" ht="12.75" x14ac:dyDescent="0.35">
      <c r="A1732" s="256"/>
      <c r="B1732" s="256"/>
      <c r="C1732" s="256"/>
      <c r="D1732" s="256"/>
      <c r="E1732" s="256"/>
      <c r="F1732" s="256"/>
      <c r="G1732" s="256"/>
      <c r="H1732" s="256"/>
      <c r="I1732" s="256"/>
      <c r="J1732" s="256"/>
      <c r="K1732" s="256"/>
    </row>
    <row r="1733" spans="1:11" ht="12.75" x14ac:dyDescent="0.35">
      <c r="A1733" s="256"/>
      <c r="B1733" s="256"/>
      <c r="C1733" s="256"/>
      <c r="D1733" s="256"/>
      <c r="E1733" s="256"/>
      <c r="F1733" s="256"/>
      <c r="G1733" s="256"/>
      <c r="H1733" s="256"/>
      <c r="I1733" s="256"/>
      <c r="J1733" s="256"/>
      <c r="K1733" s="256"/>
    </row>
    <row r="1734" spans="1:11" ht="12.75" x14ac:dyDescent="0.35">
      <c r="A1734" s="256"/>
      <c r="B1734" s="256"/>
      <c r="C1734" s="256"/>
      <c r="D1734" s="256"/>
      <c r="E1734" s="256"/>
      <c r="F1734" s="256"/>
      <c r="G1734" s="256"/>
      <c r="H1734" s="256"/>
      <c r="I1734" s="256"/>
      <c r="J1734" s="256"/>
      <c r="K1734" s="256"/>
    </row>
    <row r="1735" spans="1:11" ht="12.75" x14ac:dyDescent="0.35">
      <c r="A1735" s="256"/>
      <c r="B1735" s="256"/>
      <c r="C1735" s="256"/>
      <c r="D1735" s="256"/>
      <c r="E1735" s="256"/>
      <c r="F1735" s="256"/>
      <c r="G1735" s="256"/>
      <c r="H1735" s="256"/>
      <c r="I1735" s="256"/>
      <c r="J1735" s="256"/>
      <c r="K1735" s="256"/>
    </row>
    <row r="1736" spans="1:11" ht="12.75" x14ac:dyDescent="0.35">
      <c r="A1736" s="256"/>
      <c r="B1736" s="256"/>
      <c r="C1736" s="256"/>
      <c r="D1736" s="256"/>
      <c r="E1736" s="256"/>
      <c r="F1736" s="256"/>
      <c r="G1736" s="256"/>
      <c r="H1736" s="256"/>
      <c r="I1736" s="256"/>
      <c r="J1736" s="256"/>
      <c r="K1736" s="256"/>
    </row>
    <row r="1737" spans="1:11" ht="12.75" x14ac:dyDescent="0.35">
      <c r="A1737" s="256"/>
      <c r="B1737" s="256"/>
      <c r="C1737" s="256"/>
      <c r="D1737" s="256"/>
      <c r="E1737" s="256"/>
      <c r="F1737" s="256"/>
      <c r="G1737" s="256"/>
      <c r="H1737" s="256"/>
      <c r="I1737" s="256"/>
      <c r="J1737" s="256"/>
      <c r="K1737" s="256"/>
    </row>
    <row r="1738" spans="1:11" ht="12.75" x14ac:dyDescent="0.35">
      <c r="A1738" s="256"/>
      <c r="B1738" s="256"/>
      <c r="C1738" s="256"/>
      <c r="D1738" s="256"/>
      <c r="E1738" s="256"/>
      <c r="F1738" s="256"/>
      <c r="G1738" s="256"/>
      <c r="H1738" s="256"/>
      <c r="I1738" s="256"/>
      <c r="J1738" s="256"/>
      <c r="K1738" s="256"/>
    </row>
    <row r="1739" spans="1:11" ht="12.75" x14ac:dyDescent="0.35">
      <c r="A1739" s="256"/>
      <c r="B1739" s="256"/>
      <c r="C1739" s="256"/>
      <c r="D1739" s="256"/>
      <c r="E1739" s="256"/>
      <c r="F1739" s="256"/>
      <c r="G1739" s="256"/>
      <c r="H1739" s="256"/>
      <c r="I1739" s="256"/>
      <c r="J1739" s="256"/>
      <c r="K1739" s="256"/>
    </row>
    <row r="1740" spans="1:11" ht="12.75" x14ac:dyDescent="0.35">
      <c r="A1740" s="256"/>
      <c r="B1740" s="256"/>
      <c r="C1740" s="256"/>
      <c r="D1740" s="256"/>
      <c r="E1740" s="256"/>
      <c r="F1740" s="256"/>
      <c r="G1740" s="256"/>
      <c r="H1740" s="256"/>
      <c r="I1740" s="256"/>
      <c r="J1740" s="256"/>
      <c r="K1740" s="256"/>
    </row>
    <row r="1741" spans="1:11" ht="12.75" x14ac:dyDescent="0.35">
      <c r="A1741" s="256"/>
      <c r="B1741" s="256"/>
      <c r="C1741" s="256"/>
      <c r="D1741" s="256"/>
      <c r="E1741" s="256"/>
      <c r="F1741" s="256"/>
      <c r="G1741" s="256"/>
      <c r="H1741" s="256"/>
      <c r="I1741" s="256"/>
      <c r="J1741" s="256"/>
      <c r="K1741" s="256"/>
    </row>
    <row r="1742" spans="1:11" ht="12.75" x14ac:dyDescent="0.35">
      <c r="A1742" s="256"/>
      <c r="B1742" s="256"/>
      <c r="C1742" s="256"/>
      <c r="D1742" s="256"/>
      <c r="E1742" s="256"/>
      <c r="F1742" s="256"/>
      <c r="G1742" s="256"/>
      <c r="H1742" s="256"/>
      <c r="I1742" s="256"/>
      <c r="J1742" s="256"/>
      <c r="K1742" s="256"/>
    </row>
    <row r="1743" spans="1:11" ht="12.75" x14ac:dyDescent="0.35">
      <c r="A1743" s="256"/>
      <c r="B1743" s="256"/>
      <c r="C1743" s="256"/>
      <c r="D1743" s="256"/>
      <c r="E1743" s="256"/>
      <c r="F1743" s="256"/>
      <c r="G1743" s="256"/>
      <c r="H1743" s="256"/>
      <c r="I1743" s="256"/>
      <c r="J1743" s="256"/>
      <c r="K1743" s="256"/>
    </row>
    <row r="1744" spans="1:11" ht="12.75" x14ac:dyDescent="0.35">
      <c r="A1744" s="256"/>
      <c r="B1744" s="256"/>
      <c r="C1744" s="256"/>
      <c r="D1744" s="256"/>
      <c r="E1744" s="256"/>
      <c r="F1744" s="256"/>
      <c r="G1744" s="256"/>
      <c r="H1744" s="256"/>
      <c r="I1744" s="256"/>
      <c r="J1744" s="256"/>
      <c r="K1744" s="256"/>
    </row>
    <row r="1745" spans="1:11" ht="12.75" x14ac:dyDescent="0.35">
      <c r="A1745" s="256"/>
      <c r="B1745" s="256"/>
      <c r="C1745" s="256"/>
      <c r="D1745" s="256"/>
      <c r="E1745" s="256"/>
      <c r="F1745" s="256"/>
      <c r="G1745" s="256"/>
      <c r="H1745" s="256"/>
      <c r="I1745" s="256"/>
      <c r="J1745" s="256"/>
      <c r="K1745" s="256"/>
    </row>
    <row r="1746" spans="1:11" ht="12.75" x14ac:dyDescent="0.35">
      <c r="A1746" s="256"/>
      <c r="B1746" s="256"/>
      <c r="C1746" s="256"/>
      <c r="D1746" s="256"/>
      <c r="E1746" s="256"/>
      <c r="F1746" s="256"/>
      <c r="G1746" s="256"/>
      <c r="H1746" s="256"/>
      <c r="I1746" s="256"/>
      <c r="J1746" s="256"/>
      <c r="K1746" s="256"/>
    </row>
    <row r="1747" spans="1:11" ht="12.75" x14ac:dyDescent="0.35">
      <c r="A1747" s="256"/>
      <c r="B1747" s="256"/>
      <c r="C1747" s="256"/>
      <c r="D1747" s="256"/>
      <c r="E1747" s="256"/>
      <c r="F1747" s="256"/>
      <c r="G1747" s="256"/>
      <c r="H1747" s="256"/>
      <c r="I1747" s="256"/>
      <c r="J1747" s="256"/>
      <c r="K1747" s="256"/>
    </row>
    <row r="1748" spans="1:11" ht="12.75" x14ac:dyDescent="0.35">
      <c r="A1748" s="256"/>
      <c r="B1748" s="256"/>
      <c r="C1748" s="256"/>
      <c r="D1748" s="256"/>
      <c r="E1748" s="256"/>
      <c r="F1748" s="256"/>
      <c r="G1748" s="256"/>
      <c r="H1748" s="256"/>
      <c r="I1748" s="256"/>
      <c r="J1748" s="256"/>
      <c r="K1748" s="256"/>
    </row>
    <row r="1749" spans="1:11" ht="12.75" x14ac:dyDescent="0.35">
      <c r="A1749" s="256"/>
      <c r="B1749" s="256"/>
      <c r="C1749" s="256"/>
      <c r="D1749" s="256"/>
      <c r="E1749" s="256"/>
      <c r="F1749" s="256"/>
      <c r="G1749" s="256"/>
      <c r="H1749" s="256"/>
      <c r="I1749" s="256"/>
      <c r="J1749" s="256"/>
      <c r="K1749" s="256"/>
    </row>
    <row r="1750" spans="1:11" ht="12.75" x14ac:dyDescent="0.35">
      <c r="A1750" s="256"/>
      <c r="B1750" s="256"/>
      <c r="C1750" s="256"/>
      <c r="D1750" s="256"/>
      <c r="E1750" s="256"/>
      <c r="F1750" s="256"/>
      <c r="G1750" s="256"/>
      <c r="H1750" s="256"/>
      <c r="I1750" s="256"/>
      <c r="J1750" s="256"/>
      <c r="K1750" s="256"/>
    </row>
    <row r="1751" spans="1:11" ht="12.75" x14ac:dyDescent="0.35">
      <c r="A1751" s="256"/>
      <c r="B1751" s="256"/>
      <c r="C1751" s="256"/>
      <c r="D1751" s="256"/>
      <c r="E1751" s="256"/>
      <c r="F1751" s="256"/>
      <c r="G1751" s="256"/>
      <c r="H1751" s="256"/>
      <c r="I1751" s="256"/>
      <c r="J1751" s="256"/>
      <c r="K1751" s="256"/>
    </row>
    <row r="1752" spans="1:11" ht="12.75" x14ac:dyDescent="0.35">
      <c r="A1752" s="256"/>
      <c r="B1752" s="256"/>
      <c r="C1752" s="256"/>
      <c r="D1752" s="256"/>
      <c r="E1752" s="256"/>
      <c r="F1752" s="256"/>
      <c r="G1752" s="256"/>
      <c r="H1752" s="256"/>
      <c r="I1752" s="256"/>
      <c r="J1752" s="256"/>
      <c r="K1752" s="256"/>
    </row>
    <row r="1753" spans="1:11" ht="12.75" x14ac:dyDescent="0.35">
      <c r="A1753" s="256"/>
      <c r="B1753" s="256"/>
      <c r="C1753" s="256"/>
      <c r="D1753" s="256"/>
      <c r="E1753" s="256"/>
      <c r="F1753" s="256"/>
      <c r="G1753" s="256"/>
      <c r="H1753" s="256"/>
      <c r="I1753" s="256"/>
      <c r="J1753" s="256"/>
      <c r="K1753" s="256"/>
    </row>
    <row r="1754" spans="1:11" ht="12.75" x14ac:dyDescent="0.35">
      <c r="A1754" s="256"/>
      <c r="B1754" s="256"/>
      <c r="C1754" s="256"/>
      <c r="D1754" s="256"/>
      <c r="E1754" s="256"/>
      <c r="F1754" s="256"/>
      <c r="G1754" s="256"/>
      <c r="H1754" s="256"/>
      <c r="I1754" s="256"/>
      <c r="J1754" s="256"/>
      <c r="K1754" s="256"/>
    </row>
    <row r="1755" spans="1:11" ht="12.75" x14ac:dyDescent="0.35">
      <c r="A1755" s="256"/>
      <c r="B1755" s="256"/>
      <c r="C1755" s="256"/>
      <c r="D1755" s="256"/>
      <c r="E1755" s="256"/>
      <c r="F1755" s="256"/>
      <c r="G1755" s="256"/>
      <c r="H1755" s="256"/>
      <c r="I1755" s="256"/>
      <c r="J1755" s="256"/>
      <c r="K1755" s="256"/>
    </row>
    <row r="1756" spans="1:11" ht="12.75" x14ac:dyDescent="0.35">
      <c r="A1756" s="256"/>
      <c r="B1756" s="256"/>
      <c r="C1756" s="256"/>
      <c r="D1756" s="256"/>
      <c r="E1756" s="256"/>
      <c r="F1756" s="256"/>
      <c r="G1756" s="256"/>
      <c r="H1756" s="256"/>
      <c r="I1756" s="256"/>
      <c r="J1756" s="256"/>
      <c r="K1756" s="256"/>
    </row>
    <row r="1757" spans="1:11" ht="12.75" x14ac:dyDescent="0.35">
      <c r="A1757" s="256"/>
      <c r="B1757" s="256"/>
      <c r="C1757" s="256"/>
      <c r="D1757" s="256"/>
      <c r="E1757" s="256"/>
      <c r="F1757" s="256"/>
      <c r="G1757" s="256"/>
      <c r="H1757" s="256"/>
      <c r="I1757" s="256"/>
      <c r="J1757" s="256"/>
      <c r="K1757" s="256"/>
    </row>
    <row r="1758" spans="1:11" ht="12.75" x14ac:dyDescent="0.35">
      <c r="A1758" s="256"/>
      <c r="B1758" s="256"/>
      <c r="C1758" s="256"/>
      <c r="D1758" s="256"/>
      <c r="E1758" s="256"/>
      <c r="F1758" s="256"/>
      <c r="G1758" s="256"/>
      <c r="H1758" s="256"/>
      <c r="I1758" s="256"/>
      <c r="J1758" s="256"/>
      <c r="K1758" s="256"/>
    </row>
    <row r="1759" spans="1:11" ht="12.75" x14ac:dyDescent="0.35">
      <c r="A1759" s="256"/>
      <c r="B1759" s="256"/>
      <c r="C1759" s="256"/>
      <c r="D1759" s="256"/>
      <c r="E1759" s="256"/>
      <c r="F1759" s="256"/>
      <c r="G1759" s="256"/>
      <c r="H1759" s="256"/>
      <c r="I1759" s="256"/>
      <c r="J1759" s="256"/>
      <c r="K1759" s="256"/>
    </row>
    <row r="1760" spans="1:11" ht="12.75" x14ac:dyDescent="0.35">
      <c r="A1760" s="256"/>
      <c r="B1760" s="256"/>
      <c r="C1760" s="256"/>
      <c r="D1760" s="256"/>
      <c r="E1760" s="256"/>
      <c r="F1760" s="256"/>
      <c r="G1760" s="256"/>
      <c r="H1760" s="256"/>
      <c r="I1760" s="256"/>
      <c r="J1760" s="256"/>
      <c r="K1760" s="256"/>
    </row>
    <row r="1761" spans="1:11" ht="12.75" x14ac:dyDescent="0.35">
      <c r="A1761" s="256"/>
      <c r="B1761" s="256"/>
      <c r="C1761" s="256"/>
      <c r="D1761" s="256"/>
      <c r="E1761" s="256"/>
      <c r="F1761" s="256"/>
      <c r="G1761" s="256"/>
      <c r="H1761" s="256"/>
      <c r="I1761" s="256"/>
      <c r="J1761" s="256"/>
      <c r="K1761" s="256"/>
    </row>
    <row r="1762" spans="1:11" ht="12.75" x14ac:dyDescent="0.35">
      <c r="A1762" s="256"/>
      <c r="B1762" s="256"/>
      <c r="C1762" s="256"/>
      <c r="D1762" s="256"/>
      <c r="E1762" s="256"/>
      <c r="F1762" s="256"/>
      <c r="G1762" s="256"/>
      <c r="H1762" s="256"/>
      <c r="I1762" s="256"/>
      <c r="J1762" s="256"/>
      <c r="K1762" s="256"/>
    </row>
    <row r="1763" spans="1:11" ht="12.75" x14ac:dyDescent="0.35">
      <c r="A1763" s="256"/>
      <c r="B1763" s="256"/>
      <c r="C1763" s="256"/>
      <c r="D1763" s="256"/>
      <c r="E1763" s="256"/>
      <c r="F1763" s="256"/>
      <c r="G1763" s="256"/>
      <c r="H1763" s="256"/>
      <c r="I1763" s="256"/>
      <c r="J1763" s="256"/>
      <c r="K1763" s="256"/>
    </row>
    <row r="1764" spans="1:11" ht="12.75" x14ac:dyDescent="0.35">
      <c r="A1764" s="256"/>
      <c r="B1764" s="256"/>
      <c r="C1764" s="256"/>
      <c r="D1764" s="256"/>
      <c r="E1764" s="256"/>
      <c r="F1764" s="256"/>
      <c r="G1764" s="256"/>
      <c r="H1764" s="256"/>
      <c r="I1764" s="256"/>
      <c r="J1764" s="256"/>
      <c r="K1764" s="256"/>
    </row>
    <row r="1765" spans="1:11" ht="12.75" x14ac:dyDescent="0.35">
      <c r="A1765" s="256"/>
      <c r="B1765" s="256"/>
      <c r="C1765" s="256"/>
      <c r="D1765" s="256"/>
      <c r="E1765" s="256"/>
      <c r="F1765" s="256"/>
      <c r="G1765" s="256"/>
      <c r="H1765" s="256"/>
      <c r="I1765" s="256"/>
      <c r="J1765" s="256"/>
      <c r="K1765" s="256"/>
    </row>
    <row r="1766" spans="1:11" ht="12.75" x14ac:dyDescent="0.35">
      <c r="A1766" s="256"/>
      <c r="B1766" s="256"/>
      <c r="C1766" s="256"/>
      <c r="D1766" s="256"/>
      <c r="E1766" s="256"/>
      <c r="F1766" s="256"/>
      <c r="G1766" s="256"/>
      <c r="H1766" s="256"/>
      <c r="I1766" s="256"/>
      <c r="J1766" s="256"/>
      <c r="K1766" s="256"/>
    </row>
    <row r="1767" spans="1:11" ht="12.75" x14ac:dyDescent="0.35">
      <c r="A1767" s="256"/>
      <c r="B1767" s="256"/>
      <c r="C1767" s="256"/>
      <c r="D1767" s="256"/>
      <c r="E1767" s="256"/>
      <c r="F1767" s="256"/>
      <c r="G1767" s="256"/>
      <c r="H1767" s="256"/>
      <c r="I1767" s="256"/>
      <c r="J1767" s="256"/>
      <c r="K1767" s="256"/>
    </row>
    <row r="1768" spans="1:11" ht="12.75" x14ac:dyDescent="0.35">
      <c r="A1768" s="256"/>
      <c r="B1768" s="256"/>
      <c r="C1768" s="256"/>
      <c r="D1768" s="256"/>
      <c r="E1768" s="256"/>
      <c r="F1768" s="256"/>
      <c r="G1768" s="256"/>
      <c r="H1768" s="256"/>
      <c r="I1768" s="256"/>
      <c r="J1768" s="256"/>
      <c r="K1768" s="256"/>
    </row>
    <row r="1769" spans="1:11" ht="12.75" x14ac:dyDescent="0.35">
      <c r="A1769" s="256"/>
      <c r="B1769" s="256"/>
      <c r="C1769" s="256"/>
      <c r="D1769" s="256"/>
      <c r="E1769" s="256"/>
      <c r="F1769" s="256"/>
      <c r="G1769" s="256"/>
      <c r="H1769" s="256"/>
      <c r="I1769" s="256"/>
      <c r="J1769" s="256"/>
      <c r="K1769" s="256"/>
    </row>
    <row r="1770" spans="1:11" ht="12.75" x14ac:dyDescent="0.35">
      <c r="A1770" s="256"/>
      <c r="B1770" s="256"/>
      <c r="C1770" s="256"/>
      <c r="D1770" s="256"/>
      <c r="E1770" s="256"/>
      <c r="F1770" s="256"/>
      <c r="G1770" s="256"/>
      <c r="H1770" s="256"/>
      <c r="I1770" s="256"/>
      <c r="J1770" s="256"/>
      <c r="K1770" s="256"/>
    </row>
    <row r="1771" spans="1:11" ht="12.75" x14ac:dyDescent="0.35">
      <c r="A1771" s="256"/>
      <c r="B1771" s="256"/>
      <c r="C1771" s="256"/>
      <c r="D1771" s="256"/>
      <c r="E1771" s="256"/>
      <c r="F1771" s="256"/>
      <c r="G1771" s="256"/>
      <c r="H1771" s="256"/>
      <c r="I1771" s="256"/>
      <c r="J1771" s="256"/>
      <c r="K1771" s="256"/>
    </row>
    <row r="1772" spans="1:11" ht="12.75" x14ac:dyDescent="0.35">
      <c r="A1772" s="256"/>
      <c r="B1772" s="256"/>
      <c r="C1772" s="256"/>
      <c r="D1772" s="256"/>
      <c r="E1772" s="256"/>
      <c r="F1772" s="256"/>
      <c r="G1772" s="256"/>
      <c r="H1772" s="256"/>
      <c r="I1772" s="256"/>
      <c r="J1772" s="256"/>
      <c r="K1772" s="256"/>
    </row>
    <row r="1773" spans="1:11" ht="12.75" x14ac:dyDescent="0.35">
      <c r="A1773" s="256"/>
      <c r="B1773" s="256"/>
      <c r="C1773" s="256"/>
      <c r="D1773" s="256"/>
      <c r="E1773" s="256"/>
      <c r="F1773" s="256"/>
      <c r="G1773" s="256"/>
      <c r="H1773" s="256"/>
      <c r="I1773" s="256"/>
      <c r="J1773" s="256"/>
      <c r="K1773" s="256"/>
    </row>
    <row r="1774" spans="1:11" ht="12.75" x14ac:dyDescent="0.35">
      <c r="A1774" s="256"/>
      <c r="B1774" s="256"/>
      <c r="C1774" s="256"/>
      <c r="D1774" s="256"/>
      <c r="E1774" s="256"/>
      <c r="F1774" s="256"/>
      <c r="G1774" s="256"/>
      <c r="H1774" s="256"/>
      <c r="I1774" s="256"/>
      <c r="J1774" s="256"/>
      <c r="K1774" s="256"/>
    </row>
    <row r="1775" spans="1:11" ht="12.75" x14ac:dyDescent="0.35">
      <c r="A1775" s="256"/>
      <c r="B1775" s="256"/>
      <c r="C1775" s="256"/>
      <c r="D1775" s="256"/>
      <c r="E1775" s="256"/>
      <c r="F1775" s="256"/>
      <c r="G1775" s="256"/>
      <c r="H1775" s="256"/>
      <c r="I1775" s="256"/>
      <c r="J1775" s="256"/>
      <c r="K1775" s="256"/>
    </row>
    <row r="1776" spans="1:11" ht="12.75" x14ac:dyDescent="0.35">
      <c r="A1776" s="256"/>
      <c r="B1776" s="256"/>
      <c r="C1776" s="256"/>
      <c r="D1776" s="256"/>
      <c r="E1776" s="256"/>
      <c r="F1776" s="256"/>
      <c r="G1776" s="256"/>
      <c r="H1776" s="256"/>
      <c r="I1776" s="256"/>
      <c r="J1776" s="256"/>
      <c r="K1776" s="256"/>
    </row>
    <row r="1777" spans="1:11" ht="12.75" x14ac:dyDescent="0.35">
      <c r="A1777" s="256"/>
      <c r="B1777" s="256"/>
      <c r="C1777" s="256"/>
      <c r="D1777" s="256"/>
      <c r="E1777" s="256"/>
      <c r="F1777" s="256"/>
      <c r="G1777" s="256"/>
      <c r="H1777" s="256"/>
      <c r="I1777" s="256"/>
      <c r="J1777" s="256"/>
      <c r="K1777" s="256"/>
    </row>
    <row r="1778" spans="1:11" ht="12.75" x14ac:dyDescent="0.35">
      <c r="A1778" s="256"/>
      <c r="B1778" s="256"/>
      <c r="C1778" s="256"/>
      <c r="D1778" s="256"/>
      <c r="E1778" s="256"/>
      <c r="F1778" s="256"/>
      <c r="G1778" s="256"/>
      <c r="H1778" s="256"/>
      <c r="I1778" s="256"/>
      <c r="J1778" s="256"/>
      <c r="K1778" s="256"/>
    </row>
    <row r="1779" spans="1:11" ht="12.75" x14ac:dyDescent="0.35">
      <c r="A1779" s="256"/>
      <c r="B1779" s="256"/>
      <c r="C1779" s="256"/>
      <c r="D1779" s="256"/>
      <c r="E1779" s="256"/>
      <c r="F1779" s="256"/>
      <c r="G1779" s="256"/>
      <c r="H1779" s="256"/>
      <c r="I1779" s="256"/>
      <c r="J1779" s="256"/>
      <c r="K1779" s="256"/>
    </row>
    <row r="1780" spans="1:11" ht="12.75" x14ac:dyDescent="0.35">
      <c r="A1780" s="256"/>
      <c r="B1780" s="256"/>
      <c r="C1780" s="256"/>
      <c r="D1780" s="256"/>
      <c r="E1780" s="256"/>
      <c r="F1780" s="256"/>
      <c r="G1780" s="256"/>
      <c r="H1780" s="256"/>
      <c r="I1780" s="256"/>
      <c r="J1780" s="256"/>
      <c r="K1780" s="256"/>
    </row>
    <row r="1781" spans="1:11" ht="12.75" x14ac:dyDescent="0.35">
      <c r="A1781" s="256"/>
      <c r="B1781" s="256"/>
      <c r="C1781" s="256"/>
      <c r="D1781" s="256"/>
      <c r="E1781" s="256"/>
      <c r="F1781" s="256"/>
      <c r="G1781" s="256"/>
      <c r="H1781" s="256"/>
      <c r="I1781" s="256"/>
      <c r="J1781" s="256"/>
      <c r="K1781" s="256"/>
    </row>
    <row r="1782" spans="1:11" ht="12.75" x14ac:dyDescent="0.35">
      <c r="A1782" s="256"/>
      <c r="B1782" s="256"/>
      <c r="C1782" s="256"/>
      <c r="D1782" s="256"/>
      <c r="E1782" s="256"/>
      <c r="F1782" s="256"/>
      <c r="G1782" s="256"/>
      <c r="H1782" s="256"/>
      <c r="I1782" s="256"/>
      <c r="J1782" s="256"/>
      <c r="K1782" s="256"/>
    </row>
    <row r="1783" spans="1:11" ht="12.75" x14ac:dyDescent="0.35">
      <c r="A1783" s="256"/>
      <c r="B1783" s="256"/>
      <c r="C1783" s="256"/>
      <c r="D1783" s="256"/>
      <c r="E1783" s="256"/>
      <c r="F1783" s="256"/>
      <c r="G1783" s="256"/>
      <c r="H1783" s="256"/>
      <c r="I1783" s="256"/>
      <c r="J1783" s="256"/>
      <c r="K1783" s="256"/>
    </row>
    <row r="1784" spans="1:11" ht="12.75" x14ac:dyDescent="0.35">
      <c r="A1784" s="256"/>
      <c r="B1784" s="256"/>
      <c r="C1784" s="256"/>
      <c r="D1784" s="256"/>
      <c r="E1784" s="256"/>
      <c r="F1784" s="256"/>
      <c r="G1784" s="256"/>
      <c r="H1784" s="256"/>
      <c r="I1784" s="256"/>
      <c r="J1784" s="256"/>
      <c r="K1784" s="256"/>
    </row>
    <row r="1785" spans="1:11" ht="12.75" x14ac:dyDescent="0.35">
      <c r="A1785" s="256"/>
      <c r="B1785" s="256"/>
      <c r="C1785" s="256"/>
      <c r="D1785" s="256"/>
      <c r="E1785" s="256"/>
      <c r="F1785" s="256"/>
      <c r="G1785" s="256"/>
      <c r="H1785" s="256"/>
      <c r="I1785" s="256"/>
      <c r="J1785" s="256"/>
      <c r="K1785" s="256"/>
    </row>
    <row r="1786" spans="1:11" ht="12.75" x14ac:dyDescent="0.35">
      <c r="A1786" s="256"/>
      <c r="B1786" s="256"/>
      <c r="C1786" s="256"/>
      <c r="D1786" s="256"/>
      <c r="E1786" s="256"/>
      <c r="F1786" s="256"/>
      <c r="G1786" s="256"/>
      <c r="H1786" s="256"/>
      <c r="I1786" s="256"/>
      <c r="J1786" s="256"/>
      <c r="K1786" s="256"/>
    </row>
    <row r="1787" spans="1:11" ht="12.75" x14ac:dyDescent="0.35">
      <c r="A1787" s="256"/>
      <c r="B1787" s="256"/>
      <c r="C1787" s="256"/>
      <c r="D1787" s="256"/>
      <c r="E1787" s="256"/>
      <c r="F1787" s="256"/>
      <c r="G1787" s="256"/>
      <c r="H1787" s="256"/>
      <c r="I1787" s="256"/>
      <c r="J1787" s="256"/>
      <c r="K1787" s="256"/>
    </row>
    <row r="1788" spans="1:11" ht="12.75" x14ac:dyDescent="0.35">
      <c r="A1788" s="256"/>
      <c r="B1788" s="256"/>
      <c r="C1788" s="256"/>
      <c r="D1788" s="256"/>
      <c r="E1788" s="256"/>
      <c r="F1788" s="256"/>
      <c r="G1788" s="256"/>
      <c r="H1788" s="256"/>
      <c r="I1788" s="256"/>
      <c r="J1788" s="256"/>
      <c r="K1788" s="256"/>
    </row>
    <row r="1789" spans="1:11" ht="12.75" x14ac:dyDescent="0.35">
      <c r="A1789" s="256"/>
      <c r="B1789" s="256"/>
      <c r="C1789" s="256"/>
      <c r="D1789" s="256"/>
      <c r="E1789" s="256"/>
      <c r="F1789" s="256"/>
      <c r="G1789" s="256"/>
      <c r="H1789" s="256"/>
      <c r="I1789" s="256"/>
      <c r="J1789" s="256"/>
      <c r="K1789" s="256"/>
    </row>
    <row r="1790" spans="1:11" ht="12.75" x14ac:dyDescent="0.35">
      <c r="A1790" s="256"/>
      <c r="B1790" s="256"/>
      <c r="C1790" s="256"/>
      <c r="D1790" s="256"/>
      <c r="E1790" s="256"/>
      <c r="F1790" s="256"/>
      <c r="G1790" s="256"/>
      <c r="H1790" s="256"/>
      <c r="I1790" s="256"/>
      <c r="J1790" s="256"/>
      <c r="K1790" s="256"/>
    </row>
    <row r="1791" spans="1:11" ht="12.75" x14ac:dyDescent="0.35">
      <c r="A1791" s="256"/>
      <c r="B1791" s="256"/>
      <c r="C1791" s="256"/>
      <c r="D1791" s="256"/>
      <c r="E1791" s="256"/>
      <c r="F1791" s="256"/>
      <c r="G1791" s="256"/>
      <c r="H1791" s="256"/>
      <c r="I1791" s="256"/>
      <c r="J1791" s="256"/>
      <c r="K1791" s="256"/>
    </row>
    <row r="1792" spans="1:11" ht="12.75" x14ac:dyDescent="0.35">
      <c r="A1792" s="256"/>
      <c r="B1792" s="256"/>
      <c r="C1792" s="256"/>
      <c r="D1792" s="256"/>
      <c r="E1792" s="256"/>
      <c r="F1792" s="256"/>
      <c r="G1792" s="256"/>
      <c r="H1792" s="256"/>
      <c r="I1792" s="256"/>
      <c r="J1792" s="256"/>
      <c r="K1792" s="256"/>
    </row>
    <row r="1793" spans="1:11" ht="12.75" x14ac:dyDescent="0.35">
      <c r="A1793" s="256"/>
      <c r="B1793" s="256"/>
      <c r="C1793" s="256"/>
      <c r="D1793" s="256"/>
      <c r="E1793" s="256"/>
      <c r="F1793" s="256"/>
      <c r="G1793" s="256"/>
      <c r="H1793" s="256"/>
      <c r="I1793" s="256"/>
      <c r="J1793" s="256"/>
      <c r="K1793" s="256"/>
    </row>
    <row r="1794" spans="1:11" ht="12.75" x14ac:dyDescent="0.35">
      <c r="A1794" s="256"/>
      <c r="B1794" s="256"/>
      <c r="C1794" s="256"/>
      <c r="D1794" s="256"/>
      <c r="E1794" s="256"/>
      <c r="F1794" s="256"/>
      <c r="G1794" s="256"/>
      <c r="H1794" s="256"/>
      <c r="I1794" s="256"/>
      <c r="J1794" s="256"/>
      <c r="K1794" s="256"/>
    </row>
    <row r="1795" spans="1:11" ht="12.75" x14ac:dyDescent="0.35">
      <c r="A1795" s="256"/>
      <c r="B1795" s="256"/>
      <c r="C1795" s="256"/>
      <c r="D1795" s="256"/>
      <c r="E1795" s="256"/>
      <c r="F1795" s="256"/>
      <c r="G1795" s="256"/>
      <c r="H1795" s="256"/>
      <c r="I1795" s="256"/>
      <c r="J1795" s="256"/>
      <c r="K1795" s="256"/>
    </row>
    <row r="1796" spans="1:11" ht="12.75" x14ac:dyDescent="0.35">
      <c r="A1796" s="256"/>
      <c r="B1796" s="256"/>
      <c r="C1796" s="256"/>
      <c r="D1796" s="256"/>
      <c r="E1796" s="256"/>
      <c r="F1796" s="256"/>
      <c r="G1796" s="256"/>
      <c r="H1796" s="256"/>
      <c r="I1796" s="256"/>
      <c r="J1796" s="256"/>
      <c r="K1796" s="256"/>
    </row>
    <row r="1797" spans="1:11" ht="12.75" x14ac:dyDescent="0.35">
      <c r="A1797" s="256"/>
      <c r="B1797" s="256"/>
      <c r="C1797" s="256"/>
      <c r="D1797" s="256"/>
      <c r="E1797" s="256"/>
      <c r="F1797" s="256"/>
      <c r="G1797" s="256"/>
      <c r="H1797" s="256"/>
      <c r="I1797" s="256"/>
      <c r="J1797" s="256"/>
      <c r="K1797" s="256"/>
    </row>
    <row r="1798" spans="1:11" ht="12.75" x14ac:dyDescent="0.35">
      <c r="A1798" s="256"/>
      <c r="B1798" s="256"/>
      <c r="C1798" s="256"/>
      <c r="D1798" s="256"/>
      <c r="E1798" s="256"/>
      <c r="F1798" s="256"/>
      <c r="G1798" s="256"/>
      <c r="H1798" s="256"/>
      <c r="I1798" s="256"/>
      <c r="J1798" s="256"/>
      <c r="K1798" s="256"/>
    </row>
    <row r="1799" spans="1:11" ht="12.75" x14ac:dyDescent="0.35">
      <c r="A1799" s="256"/>
      <c r="B1799" s="256"/>
      <c r="C1799" s="256"/>
      <c r="D1799" s="256"/>
      <c r="E1799" s="256"/>
      <c r="F1799" s="256"/>
      <c r="G1799" s="256"/>
      <c r="H1799" s="256"/>
      <c r="I1799" s="256"/>
      <c r="J1799" s="256"/>
      <c r="K1799" s="256"/>
    </row>
    <row r="1800" spans="1:11" ht="12.75" x14ac:dyDescent="0.35">
      <c r="A1800" s="256"/>
      <c r="B1800" s="256"/>
      <c r="C1800" s="256"/>
      <c r="D1800" s="256"/>
      <c r="E1800" s="256"/>
      <c r="F1800" s="256"/>
      <c r="G1800" s="256"/>
      <c r="H1800" s="256"/>
      <c r="I1800" s="256"/>
      <c r="J1800" s="256"/>
      <c r="K1800" s="256"/>
    </row>
    <row r="1801" spans="1:11" ht="12.75" x14ac:dyDescent="0.35">
      <c r="A1801" s="256"/>
      <c r="B1801" s="256"/>
      <c r="C1801" s="256"/>
      <c r="D1801" s="256"/>
      <c r="E1801" s="256"/>
      <c r="F1801" s="256"/>
      <c r="G1801" s="256"/>
      <c r="H1801" s="256"/>
      <c r="I1801" s="256"/>
      <c r="J1801" s="256"/>
      <c r="K1801" s="256"/>
    </row>
    <row r="1802" spans="1:11" ht="12.75" x14ac:dyDescent="0.35">
      <c r="A1802" s="256"/>
      <c r="B1802" s="256"/>
      <c r="C1802" s="256"/>
      <c r="D1802" s="256"/>
      <c r="E1802" s="256"/>
      <c r="F1802" s="256"/>
      <c r="G1802" s="256"/>
      <c r="H1802" s="256"/>
      <c r="I1802" s="256"/>
      <c r="J1802" s="256"/>
      <c r="K1802" s="256"/>
    </row>
    <row r="1803" spans="1:11" ht="12.75" x14ac:dyDescent="0.35">
      <c r="A1803" s="256"/>
      <c r="B1803" s="256"/>
      <c r="C1803" s="256"/>
      <c r="D1803" s="256"/>
      <c r="E1803" s="256"/>
      <c r="F1803" s="256"/>
      <c r="G1803" s="256"/>
      <c r="H1803" s="256"/>
      <c r="I1803" s="256"/>
      <c r="J1803" s="256"/>
      <c r="K1803" s="256"/>
    </row>
    <row r="1804" spans="1:11" ht="12.75" x14ac:dyDescent="0.35">
      <c r="A1804" s="256"/>
      <c r="B1804" s="256"/>
      <c r="C1804" s="256"/>
      <c r="D1804" s="256"/>
      <c r="E1804" s="256"/>
      <c r="F1804" s="256"/>
      <c r="G1804" s="256"/>
      <c r="H1804" s="256"/>
      <c r="I1804" s="256"/>
      <c r="J1804" s="256"/>
      <c r="K1804" s="256"/>
    </row>
    <row r="1805" spans="1:11" ht="12.75" x14ac:dyDescent="0.35">
      <c r="A1805" s="256"/>
      <c r="B1805" s="256"/>
      <c r="C1805" s="256"/>
      <c r="D1805" s="256"/>
      <c r="E1805" s="256"/>
      <c r="F1805" s="256"/>
      <c r="G1805" s="256"/>
      <c r="H1805" s="256"/>
      <c r="I1805" s="256"/>
      <c r="J1805" s="256"/>
      <c r="K1805" s="256"/>
    </row>
    <row r="1806" spans="1:11" ht="12.75" x14ac:dyDescent="0.35">
      <c r="A1806" s="256"/>
      <c r="B1806" s="256"/>
      <c r="C1806" s="256"/>
      <c r="D1806" s="256"/>
      <c r="E1806" s="256"/>
      <c r="F1806" s="256"/>
      <c r="G1806" s="256"/>
      <c r="H1806" s="256"/>
      <c r="I1806" s="256"/>
      <c r="J1806" s="256"/>
      <c r="K1806" s="256"/>
    </row>
    <row r="1807" spans="1:11" ht="12.75" x14ac:dyDescent="0.35">
      <c r="A1807" s="256"/>
      <c r="B1807" s="256"/>
      <c r="C1807" s="256"/>
      <c r="D1807" s="256"/>
      <c r="E1807" s="256"/>
      <c r="F1807" s="256"/>
      <c r="G1807" s="256"/>
      <c r="H1807" s="256"/>
      <c r="I1807" s="256"/>
      <c r="J1807" s="256"/>
      <c r="K1807" s="256"/>
    </row>
    <row r="1808" spans="1:11" ht="12.75" x14ac:dyDescent="0.35">
      <c r="A1808" s="256"/>
      <c r="B1808" s="256"/>
      <c r="C1808" s="256"/>
      <c r="D1808" s="256"/>
      <c r="E1808" s="256"/>
      <c r="F1808" s="256"/>
      <c r="G1808" s="256"/>
      <c r="H1808" s="256"/>
      <c r="I1808" s="256"/>
      <c r="J1808" s="256"/>
      <c r="K1808" s="256"/>
    </row>
    <row r="1809" spans="1:11" ht="12.75" x14ac:dyDescent="0.35">
      <c r="A1809" s="256"/>
      <c r="B1809" s="256"/>
      <c r="C1809" s="256"/>
      <c r="D1809" s="256"/>
      <c r="E1809" s="256"/>
      <c r="F1809" s="256"/>
      <c r="G1809" s="256"/>
      <c r="H1809" s="256"/>
      <c r="I1809" s="256"/>
      <c r="J1809" s="256"/>
      <c r="K1809" s="256"/>
    </row>
    <row r="1810" spans="1:11" ht="12.75" x14ac:dyDescent="0.35">
      <c r="A1810" s="256"/>
      <c r="B1810" s="256"/>
      <c r="C1810" s="256"/>
      <c r="D1810" s="256"/>
      <c r="E1810" s="256"/>
      <c r="F1810" s="256"/>
      <c r="G1810" s="256"/>
      <c r="H1810" s="256"/>
      <c r="I1810" s="256"/>
      <c r="J1810" s="256"/>
      <c r="K1810" s="256"/>
    </row>
    <row r="1811" spans="1:11" ht="12.75" x14ac:dyDescent="0.35">
      <c r="A1811" s="256"/>
      <c r="B1811" s="256"/>
      <c r="C1811" s="256"/>
      <c r="D1811" s="256"/>
      <c r="E1811" s="256"/>
      <c r="F1811" s="256"/>
      <c r="G1811" s="256"/>
      <c r="H1811" s="256"/>
      <c r="I1811" s="256"/>
      <c r="J1811" s="256"/>
      <c r="K1811" s="256"/>
    </row>
    <row r="1812" spans="1:11" ht="12.75" x14ac:dyDescent="0.35">
      <c r="A1812" s="256"/>
      <c r="B1812" s="256"/>
      <c r="C1812" s="256"/>
      <c r="D1812" s="256"/>
      <c r="E1812" s="256"/>
      <c r="F1812" s="256"/>
      <c r="G1812" s="256"/>
      <c r="H1812" s="256"/>
      <c r="I1812" s="256"/>
      <c r="J1812" s="256"/>
      <c r="K1812" s="256"/>
    </row>
    <row r="1813" spans="1:11" ht="12.75" x14ac:dyDescent="0.35">
      <c r="A1813" s="256"/>
      <c r="B1813" s="256"/>
      <c r="C1813" s="256"/>
      <c r="D1813" s="256"/>
      <c r="E1813" s="256"/>
      <c r="F1813" s="256"/>
      <c r="G1813" s="256"/>
      <c r="H1813" s="256"/>
      <c r="I1813" s="256"/>
      <c r="J1813" s="256"/>
      <c r="K1813" s="256"/>
    </row>
    <row r="1814" spans="1:11" ht="12.75" x14ac:dyDescent="0.35">
      <c r="A1814" s="256"/>
      <c r="B1814" s="256"/>
      <c r="C1814" s="256"/>
      <c r="D1814" s="256"/>
      <c r="E1814" s="256"/>
      <c r="F1814" s="256"/>
      <c r="G1814" s="256"/>
      <c r="H1814" s="256"/>
      <c r="I1814" s="256"/>
      <c r="J1814" s="256"/>
      <c r="K1814" s="256"/>
    </row>
    <row r="1815" spans="1:11" ht="12.75" x14ac:dyDescent="0.35">
      <c r="A1815" s="256"/>
      <c r="B1815" s="256"/>
      <c r="C1815" s="256"/>
      <c r="D1815" s="256"/>
      <c r="E1815" s="256"/>
      <c r="F1815" s="256"/>
      <c r="G1815" s="256"/>
      <c r="H1815" s="256"/>
      <c r="I1815" s="256"/>
      <c r="J1815" s="256"/>
      <c r="K1815" s="256"/>
    </row>
    <row r="1816" spans="1:11" ht="12.75" x14ac:dyDescent="0.35">
      <c r="A1816" s="256"/>
      <c r="B1816" s="256"/>
      <c r="C1816" s="256"/>
      <c r="D1816" s="256"/>
      <c r="E1816" s="256"/>
      <c r="F1816" s="256"/>
      <c r="G1816" s="256"/>
      <c r="H1816" s="256"/>
      <c r="I1816" s="256"/>
      <c r="J1816" s="256"/>
      <c r="K1816" s="256"/>
    </row>
    <row r="1817" spans="1:11" ht="12.75" x14ac:dyDescent="0.35">
      <c r="A1817" s="256"/>
      <c r="B1817" s="256"/>
      <c r="C1817" s="256"/>
      <c r="D1817" s="256"/>
      <c r="E1817" s="256"/>
      <c r="F1817" s="256"/>
      <c r="G1817" s="256"/>
      <c r="H1817" s="256"/>
      <c r="I1817" s="256"/>
      <c r="J1817" s="256"/>
      <c r="K1817" s="256"/>
    </row>
    <row r="1818" spans="1:11" ht="12.75" x14ac:dyDescent="0.35">
      <c r="A1818" s="256"/>
      <c r="B1818" s="256"/>
      <c r="C1818" s="256"/>
      <c r="D1818" s="256"/>
      <c r="E1818" s="256"/>
      <c r="F1818" s="256"/>
      <c r="G1818" s="256"/>
      <c r="H1818" s="256"/>
      <c r="I1818" s="256"/>
      <c r="J1818" s="256"/>
      <c r="K1818" s="256"/>
    </row>
    <row r="1819" spans="1:11" ht="12.75" x14ac:dyDescent="0.35">
      <c r="A1819" s="256"/>
      <c r="B1819" s="256"/>
      <c r="C1819" s="256"/>
      <c r="D1819" s="256"/>
      <c r="E1819" s="256"/>
      <c r="F1819" s="256"/>
      <c r="G1819" s="256"/>
      <c r="H1819" s="256"/>
      <c r="I1819" s="256"/>
      <c r="J1819" s="256"/>
      <c r="K1819" s="256"/>
    </row>
    <row r="1820" spans="1:11" ht="12.75" x14ac:dyDescent="0.35">
      <c r="A1820" s="256"/>
      <c r="B1820" s="256"/>
      <c r="C1820" s="256"/>
      <c r="D1820" s="256"/>
      <c r="E1820" s="256"/>
      <c r="F1820" s="256"/>
      <c r="G1820" s="256"/>
      <c r="H1820" s="256"/>
      <c r="I1820" s="256"/>
      <c r="J1820" s="256"/>
      <c r="K1820" s="256"/>
    </row>
    <row r="1821" spans="1:11" ht="12.75" x14ac:dyDescent="0.35">
      <c r="A1821" s="256"/>
      <c r="B1821" s="256"/>
      <c r="C1821" s="256"/>
      <c r="D1821" s="256"/>
      <c r="E1821" s="256"/>
      <c r="F1821" s="256"/>
      <c r="G1821" s="256"/>
      <c r="H1821" s="256"/>
      <c r="I1821" s="256"/>
      <c r="J1821" s="256"/>
      <c r="K1821" s="256"/>
    </row>
    <row r="1822" spans="1:11" ht="12.75" x14ac:dyDescent="0.35">
      <c r="A1822" s="256"/>
      <c r="B1822" s="256"/>
      <c r="C1822" s="256"/>
      <c r="D1822" s="256"/>
      <c r="E1822" s="256"/>
      <c r="F1822" s="256"/>
      <c r="G1822" s="256"/>
      <c r="H1822" s="256"/>
      <c r="I1822" s="256"/>
      <c r="J1822" s="256"/>
      <c r="K1822" s="256"/>
    </row>
    <row r="1823" spans="1:11" ht="12.75" x14ac:dyDescent="0.35">
      <c r="A1823" s="256"/>
      <c r="B1823" s="256"/>
      <c r="C1823" s="256"/>
      <c r="D1823" s="256"/>
      <c r="E1823" s="256"/>
      <c r="F1823" s="256"/>
      <c r="G1823" s="256"/>
      <c r="H1823" s="256"/>
      <c r="I1823" s="256"/>
      <c r="J1823" s="256"/>
      <c r="K1823" s="256"/>
    </row>
    <row r="1824" spans="1:11" ht="12.75" x14ac:dyDescent="0.35">
      <c r="A1824" s="256"/>
      <c r="B1824" s="256"/>
      <c r="C1824" s="256"/>
      <c r="D1824" s="256"/>
      <c r="E1824" s="256"/>
      <c r="F1824" s="256"/>
      <c r="G1824" s="256"/>
      <c r="H1824" s="256"/>
      <c r="I1824" s="256"/>
      <c r="J1824" s="256"/>
      <c r="K1824" s="256"/>
    </row>
    <row r="1825" spans="1:11" ht="12.75" x14ac:dyDescent="0.35">
      <c r="A1825" s="256"/>
      <c r="B1825" s="256"/>
      <c r="C1825" s="256"/>
      <c r="D1825" s="256"/>
      <c r="E1825" s="256"/>
      <c r="F1825" s="256"/>
      <c r="G1825" s="256"/>
      <c r="H1825" s="256"/>
      <c r="I1825" s="256"/>
      <c r="J1825" s="256"/>
      <c r="K1825" s="256"/>
    </row>
    <row r="1826" spans="1:11" ht="12.75" x14ac:dyDescent="0.35">
      <c r="A1826" s="256"/>
      <c r="B1826" s="256"/>
      <c r="C1826" s="256"/>
      <c r="D1826" s="256"/>
      <c r="E1826" s="256"/>
      <c r="F1826" s="256"/>
      <c r="G1826" s="256"/>
      <c r="H1826" s="256"/>
      <c r="I1826" s="256"/>
      <c r="J1826" s="256"/>
      <c r="K1826" s="256"/>
    </row>
    <row r="1827" spans="1:11" ht="12.75" x14ac:dyDescent="0.35">
      <c r="A1827" s="256"/>
      <c r="B1827" s="256"/>
      <c r="C1827" s="256"/>
      <c r="D1827" s="256"/>
      <c r="E1827" s="256"/>
      <c r="F1827" s="256"/>
      <c r="G1827" s="256"/>
      <c r="H1827" s="256"/>
      <c r="I1827" s="256"/>
      <c r="J1827" s="256"/>
      <c r="K1827" s="256"/>
    </row>
    <row r="1828" spans="1:11" ht="12.75" x14ac:dyDescent="0.35">
      <c r="A1828" s="256"/>
      <c r="B1828" s="256"/>
      <c r="C1828" s="256"/>
      <c r="D1828" s="256"/>
      <c r="E1828" s="256"/>
      <c r="F1828" s="256"/>
      <c r="G1828" s="256"/>
      <c r="H1828" s="256"/>
      <c r="I1828" s="256"/>
      <c r="J1828" s="256"/>
      <c r="K1828" s="256"/>
    </row>
    <row r="1829" spans="1:11" ht="12.75" x14ac:dyDescent="0.35">
      <c r="A1829" s="256"/>
      <c r="B1829" s="256"/>
      <c r="C1829" s="256"/>
      <c r="D1829" s="256"/>
      <c r="E1829" s="256"/>
      <c r="F1829" s="256"/>
      <c r="G1829" s="256"/>
      <c r="H1829" s="256"/>
      <c r="I1829" s="256"/>
      <c r="J1829" s="256"/>
      <c r="K1829" s="256"/>
    </row>
    <row r="1830" spans="1:11" ht="12.75" x14ac:dyDescent="0.35">
      <c r="A1830" s="256"/>
      <c r="B1830" s="256"/>
      <c r="C1830" s="256"/>
      <c r="D1830" s="256"/>
      <c r="E1830" s="256"/>
      <c r="F1830" s="256"/>
      <c r="G1830" s="256"/>
      <c r="H1830" s="256"/>
      <c r="I1830" s="256"/>
      <c r="J1830" s="256"/>
      <c r="K1830" s="256"/>
    </row>
    <row r="1831" spans="1:11" ht="12.75" x14ac:dyDescent="0.35">
      <c r="A1831" s="256"/>
      <c r="B1831" s="256"/>
      <c r="C1831" s="256"/>
      <c r="D1831" s="256"/>
      <c r="E1831" s="256"/>
      <c r="F1831" s="256"/>
      <c r="G1831" s="256"/>
      <c r="H1831" s="256"/>
      <c r="I1831" s="256"/>
      <c r="J1831" s="256"/>
      <c r="K1831" s="256"/>
    </row>
    <row r="1832" spans="1:11" ht="12.75" x14ac:dyDescent="0.35">
      <c r="A1832" s="256"/>
      <c r="B1832" s="256"/>
      <c r="C1832" s="256"/>
      <c r="D1832" s="256"/>
      <c r="E1832" s="256"/>
      <c r="F1832" s="256"/>
      <c r="G1832" s="256"/>
      <c r="H1832" s="256"/>
      <c r="I1832" s="256"/>
      <c r="J1832" s="256"/>
      <c r="K1832" s="256"/>
    </row>
    <row r="1833" spans="1:11" ht="12.75" x14ac:dyDescent="0.35">
      <c r="A1833" s="256"/>
      <c r="B1833" s="256"/>
      <c r="C1833" s="256"/>
      <c r="D1833" s="256"/>
      <c r="E1833" s="256"/>
      <c r="F1833" s="256"/>
      <c r="G1833" s="256"/>
      <c r="H1833" s="256"/>
      <c r="I1833" s="256"/>
      <c r="J1833" s="256"/>
      <c r="K1833" s="256"/>
    </row>
    <row r="1834" spans="1:11" ht="12.75" x14ac:dyDescent="0.35">
      <c r="A1834" s="256"/>
      <c r="B1834" s="256"/>
      <c r="C1834" s="256"/>
      <c r="D1834" s="256"/>
      <c r="E1834" s="256"/>
      <c r="F1834" s="256"/>
      <c r="G1834" s="256"/>
      <c r="H1834" s="256"/>
      <c r="I1834" s="256"/>
      <c r="J1834" s="256"/>
      <c r="K1834" s="256"/>
    </row>
    <row r="1835" spans="1:11" ht="12.75" x14ac:dyDescent="0.35">
      <c r="A1835" s="256"/>
      <c r="B1835" s="256"/>
      <c r="C1835" s="256"/>
      <c r="D1835" s="256"/>
      <c r="E1835" s="256"/>
      <c r="F1835" s="256"/>
      <c r="G1835" s="256"/>
      <c r="H1835" s="256"/>
      <c r="I1835" s="256"/>
      <c r="J1835" s="256"/>
      <c r="K1835" s="256"/>
    </row>
    <row r="1836" spans="1:11" ht="12.75" x14ac:dyDescent="0.35">
      <c r="A1836" s="256"/>
      <c r="B1836" s="256"/>
      <c r="C1836" s="256"/>
      <c r="D1836" s="256"/>
      <c r="E1836" s="256"/>
      <c r="F1836" s="256"/>
      <c r="G1836" s="256"/>
      <c r="H1836" s="256"/>
      <c r="I1836" s="256"/>
      <c r="J1836" s="256"/>
      <c r="K1836" s="256"/>
    </row>
    <row r="1837" spans="1:11" ht="12.75" x14ac:dyDescent="0.35">
      <c r="A1837" s="256"/>
      <c r="B1837" s="256"/>
      <c r="C1837" s="256"/>
      <c r="D1837" s="256"/>
      <c r="E1837" s="256"/>
      <c r="F1837" s="256"/>
      <c r="G1837" s="256"/>
      <c r="H1837" s="256"/>
      <c r="I1837" s="256"/>
      <c r="J1837" s="256"/>
      <c r="K1837" s="256"/>
    </row>
    <row r="1838" spans="1:11" ht="12.75" x14ac:dyDescent="0.35">
      <c r="A1838" s="256"/>
      <c r="B1838" s="256"/>
      <c r="C1838" s="256"/>
      <c r="D1838" s="256"/>
      <c r="E1838" s="256"/>
      <c r="F1838" s="256"/>
      <c r="G1838" s="256"/>
      <c r="H1838" s="256"/>
      <c r="I1838" s="256"/>
      <c r="J1838" s="256"/>
      <c r="K1838" s="256"/>
    </row>
    <row r="1839" spans="1:11" ht="12.75" x14ac:dyDescent="0.35">
      <c r="A1839" s="256"/>
      <c r="B1839" s="256"/>
      <c r="C1839" s="256"/>
      <c r="D1839" s="256"/>
      <c r="E1839" s="256"/>
      <c r="F1839" s="256"/>
      <c r="G1839" s="256"/>
      <c r="H1839" s="256"/>
      <c r="I1839" s="256"/>
      <c r="J1839" s="256"/>
      <c r="K1839" s="256"/>
    </row>
    <row r="1840" spans="1:11" ht="12.75" x14ac:dyDescent="0.35">
      <c r="A1840" s="256"/>
      <c r="B1840" s="256"/>
      <c r="C1840" s="256"/>
      <c r="D1840" s="256"/>
      <c r="E1840" s="256"/>
      <c r="F1840" s="256"/>
      <c r="G1840" s="256"/>
      <c r="H1840" s="256"/>
      <c r="I1840" s="256"/>
      <c r="J1840" s="256"/>
      <c r="K1840" s="256"/>
    </row>
    <row r="1841" spans="1:11" ht="12.75" x14ac:dyDescent="0.35">
      <c r="A1841" s="256"/>
      <c r="B1841" s="256"/>
      <c r="C1841" s="256"/>
      <c r="D1841" s="256"/>
      <c r="E1841" s="256"/>
      <c r="F1841" s="256"/>
      <c r="G1841" s="256"/>
      <c r="H1841" s="256"/>
      <c r="I1841" s="256"/>
      <c r="J1841" s="256"/>
      <c r="K1841" s="256"/>
    </row>
    <row r="1842" spans="1:11" ht="12.75" x14ac:dyDescent="0.35">
      <c r="A1842" s="256"/>
      <c r="B1842" s="256"/>
      <c r="C1842" s="256"/>
      <c r="D1842" s="256"/>
      <c r="E1842" s="256"/>
      <c r="F1842" s="256"/>
      <c r="G1842" s="256"/>
      <c r="H1842" s="256"/>
      <c r="I1842" s="256"/>
      <c r="J1842" s="256"/>
      <c r="K1842" s="256"/>
    </row>
    <row r="1843" spans="1:11" ht="12.75" x14ac:dyDescent="0.35">
      <c r="A1843" s="256"/>
      <c r="B1843" s="256"/>
      <c r="C1843" s="256"/>
      <c r="D1843" s="256"/>
      <c r="E1843" s="256"/>
      <c r="F1843" s="256"/>
      <c r="G1843" s="256"/>
      <c r="H1843" s="256"/>
      <c r="I1843" s="256"/>
      <c r="J1843" s="256"/>
      <c r="K1843" s="256"/>
    </row>
    <row r="1844" spans="1:11" ht="12.75" x14ac:dyDescent="0.35">
      <c r="A1844" s="256"/>
      <c r="B1844" s="256"/>
      <c r="C1844" s="256"/>
      <c r="D1844" s="256"/>
      <c r="E1844" s="256"/>
      <c r="F1844" s="256"/>
      <c r="G1844" s="256"/>
      <c r="H1844" s="256"/>
      <c r="I1844" s="256"/>
      <c r="J1844" s="256"/>
      <c r="K1844" s="256"/>
    </row>
    <row r="1845" spans="1:11" ht="12.75" x14ac:dyDescent="0.35">
      <c r="A1845" s="256"/>
      <c r="B1845" s="256"/>
      <c r="C1845" s="256"/>
      <c r="D1845" s="256"/>
      <c r="E1845" s="256"/>
      <c r="F1845" s="256"/>
      <c r="G1845" s="256"/>
      <c r="H1845" s="256"/>
      <c r="I1845" s="256"/>
      <c r="J1845" s="256"/>
      <c r="K1845" s="256"/>
    </row>
    <row r="1846" spans="1:11" ht="12.75" x14ac:dyDescent="0.35">
      <c r="A1846" s="256"/>
      <c r="B1846" s="256"/>
      <c r="C1846" s="256"/>
      <c r="D1846" s="256"/>
      <c r="E1846" s="256"/>
      <c r="F1846" s="256"/>
      <c r="G1846" s="256"/>
      <c r="H1846" s="256"/>
      <c r="I1846" s="256"/>
      <c r="J1846" s="256"/>
      <c r="K1846" s="256"/>
    </row>
    <row r="1847" spans="1:11" ht="12.75" x14ac:dyDescent="0.35">
      <c r="A1847" s="256"/>
      <c r="B1847" s="256"/>
      <c r="C1847" s="256"/>
      <c r="D1847" s="256"/>
      <c r="E1847" s="256"/>
      <c r="F1847" s="256"/>
      <c r="G1847" s="256"/>
      <c r="H1847" s="256"/>
      <c r="I1847" s="256"/>
      <c r="J1847" s="256"/>
      <c r="K1847" s="256"/>
    </row>
    <row r="1848" spans="1:11" ht="12.75" x14ac:dyDescent="0.35">
      <c r="A1848" s="256"/>
      <c r="B1848" s="256"/>
      <c r="C1848" s="256"/>
      <c r="D1848" s="256"/>
      <c r="E1848" s="256"/>
      <c r="F1848" s="256"/>
      <c r="G1848" s="256"/>
      <c r="H1848" s="256"/>
      <c r="I1848" s="256"/>
      <c r="J1848" s="256"/>
      <c r="K1848" s="256"/>
    </row>
    <row r="1849" spans="1:11" ht="12.75" x14ac:dyDescent="0.35">
      <c r="A1849" s="256"/>
      <c r="B1849" s="256"/>
      <c r="C1849" s="256"/>
      <c r="D1849" s="256"/>
      <c r="E1849" s="256"/>
      <c r="F1849" s="256"/>
      <c r="G1849" s="256"/>
      <c r="H1849" s="256"/>
      <c r="I1849" s="256"/>
      <c r="J1849" s="256"/>
      <c r="K1849" s="256"/>
    </row>
    <row r="1850" spans="1:11" ht="12.75" x14ac:dyDescent="0.35">
      <c r="A1850" s="256"/>
      <c r="B1850" s="256"/>
      <c r="C1850" s="256"/>
      <c r="D1850" s="256"/>
      <c r="E1850" s="256"/>
      <c r="F1850" s="256"/>
      <c r="G1850" s="256"/>
      <c r="H1850" s="256"/>
      <c r="I1850" s="256"/>
      <c r="J1850" s="256"/>
      <c r="K1850" s="256"/>
    </row>
    <row r="1851" spans="1:11" ht="12.75" x14ac:dyDescent="0.35">
      <c r="A1851" s="256"/>
      <c r="B1851" s="256"/>
      <c r="C1851" s="256"/>
      <c r="D1851" s="256"/>
      <c r="E1851" s="256"/>
      <c r="F1851" s="256"/>
      <c r="G1851" s="256"/>
      <c r="H1851" s="256"/>
      <c r="I1851" s="256"/>
      <c r="J1851" s="256"/>
      <c r="K1851" s="256"/>
    </row>
    <row r="1852" spans="1:11" ht="12.75" x14ac:dyDescent="0.35">
      <c r="A1852" s="256"/>
      <c r="B1852" s="256"/>
      <c r="C1852" s="256"/>
      <c r="D1852" s="256"/>
      <c r="E1852" s="256"/>
      <c r="F1852" s="256"/>
      <c r="G1852" s="256"/>
      <c r="H1852" s="256"/>
      <c r="I1852" s="256"/>
      <c r="J1852" s="256"/>
      <c r="K1852" s="256"/>
    </row>
    <row r="1853" spans="1:11" ht="12.75" x14ac:dyDescent="0.35">
      <c r="A1853" s="256"/>
      <c r="B1853" s="256"/>
      <c r="C1853" s="256"/>
      <c r="D1853" s="256"/>
      <c r="E1853" s="256"/>
      <c r="F1853" s="256"/>
      <c r="G1853" s="256"/>
      <c r="H1853" s="256"/>
      <c r="I1853" s="256"/>
      <c r="J1853" s="256"/>
      <c r="K1853" s="256"/>
    </row>
    <row r="1854" spans="1:11" ht="12.75" x14ac:dyDescent="0.35">
      <c r="A1854" s="256"/>
      <c r="B1854" s="256"/>
      <c r="C1854" s="256"/>
      <c r="D1854" s="256"/>
      <c r="E1854" s="256"/>
      <c r="F1854" s="256"/>
      <c r="G1854" s="256"/>
      <c r="H1854" s="256"/>
      <c r="I1854" s="256"/>
      <c r="J1854" s="256"/>
      <c r="K1854" s="256"/>
    </row>
    <row r="1855" spans="1:11" ht="12.75" x14ac:dyDescent="0.35">
      <c r="A1855" s="256"/>
      <c r="B1855" s="256"/>
      <c r="C1855" s="256"/>
      <c r="D1855" s="256"/>
      <c r="E1855" s="256"/>
      <c r="F1855" s="256"/>
      <c r="G1855" s="256"/>
      <c r="H1855" s="256"/>
      <c r="I1855" s="256"/>
      <c r="J1855" s="256"/>
      <c r="K1855" s="256"/>
    </row>
    <row r="1856" spans="1:11" ht="12.75" x14ac:dyDescent="0.35">
      <c r="A1856" s="256"/>
      <c r="B1856" s="256"/>
      <c r="C1856" s="256"/>
      <c r="D1856" s="256"/>
      <c r="E1856" s="256"/>
      <c r="F1856" s="256"/>
      <c r="G1856" s="256"/>
      <c r="H1856" s="256"/>
      <c r="I1856" s="256"/>
      <c r="J1856" s="256"/>
      <c r="K1856" s="256"/>
    </row>
    <row r="1857" spans="1:11" ht="12.75" x14ac:dyDescent="0.35">
      <c r="A1857" s="256"/>
      <c r="B1857" s="256"/>
      <c r="C1857" s="256"/>
      <c r="D1857" s="256"/>
      <c r="E1857" s="256"/>
      <c r="F1857" s="256"/>
      <c r="G1857" s="256"/>
      <c r="H1857" s="256"/>
      <c r="I1857" s="256"/>
      <c r="J1857" s="256"/>
      <c r="K1857" s="256"/>
    </row>
    <row r="1858" spans="1:11" ht="12.75" x14ac:dyDescent="0.35">
      <c r="A1858" s="256"/>
      <c r="B1858" s="256"/>
      <c r="C1858" s="256"/>
      <c r="D1858" s="256"/>
      <c r="E1858" s="256"/>
      <c r="F1858" s="256"/>
      <c r="G1858" s="256"/>
      <c r="H1858" s="256"/>
      <c r="I1858" s="256"/>
      <c r="J1858" s="256"/>
      <c r="K1858" s="256"/>
    </row>
    <row r="1859" spans="1:11" ht="12.75" x14ac:dyDescent="0.35">
      <c r="A1859" s="256"/>
      <c r="B1859" s="256"/>
      <c r="C1859" s="256"/>
      <c r="D1859" s="256"/>
      <c r="E1859" s="256"/>
      <c r="F1859" s="256"/>
      <c r="G1859" s="256"/>
      <c r="H1859" s="256"/>
      <c r="I1859" s="256"/>
      <c r="J1859" s="256"/>
      <c r="K1859" s="256"/>
    </row>
    <row r="1860" spans="1:11" ht="12.75" x14ac:dyDescent="0.35">
      <c r="A1860" s="256"/>
      <c r="B1860" s="256"/>
      <c r="C1860" s="256"/>
      <c r="D1860" s="256"/>
      <c r="E1860" s="256"/>
      <c r="F1860" s="256"/>
      <c r="G1860" s="256"/>
      <c r="H1860" s="256"/>
      <c r="I1860" s="256"/>
      <c r="J1860" s="256"/>
      <c r="K1860" s="256"/>
    </row>
    <row r="1861" spans="1:11" ht="12.75" x14ac:dyDescent="0.35">
      <c r="A1861" s="256"/>
      <c r="B1861" s="256"/>
      <c r="C1861" s="256"/>
      <c r="D1861" s="256"/>
      <c r="E1861" s="256"/>
      <c r="F1861" s="256"/>
      <c r="G1861" s="256"/>
      <c r="H1861" s="256"/>
      <c r="I1861" s="256"/>
      <c r="J1861" s="256"/>
      <c r="K1861" s="256"/>
    </row>
    <row r="1862" spans="1:11" ht="12.75" x14ac:dyDescent="0.35">
      <c r="A1862" s="256"/>
      <c r="B1862" s="256"/>
      <c r="C1862" s="256"/>
      <c r="D1862" s="256"/>
      <c r="E1862" s="256"/>
      <c r="F1862" s="256"/>
      <c r="G1862" s="256"/>
      <c r="H1862" s="256"/>
      <c r="I1862" s="256"/>
      <c r="J1862" s="256"/>
      <c r="K1862" s="256"/>
    </row>
    <row r="1863" spans="1:11" ht="12.75" x14ac:dyDescent="0.35">
      <c r="A1863" s="256"/>
      <c r="B1863" s="256"/>
      <c r="C1863" s="256"/>
      <c r="D1863" s="256"/>
      <c r="E1863" s="256"/>
      <c r="F1863" s="256"/>
      <c r="G1863" s="256"/>
      <c r="H1863" s="256"/>
      <c r="I1863" s="256"/>
      <c r="J1863" s="256"/>
      <c r="K1863" s="256"/>
    </row>
    <row r="1864" spans="1:11" ht="12.75" x14ac:dyDescent="0.35">
      <c r="A1864" s="256"/>
      <c r="B1864" s="256"/>
      <c r="C1864" s="256"/>
      <c r="D1864" s="256"/>
      <c r="E1864" s="256"/>
      <c r="F1864" s="256"/>
      <c r="G1864" s="256"/>
      <c r="H1864" s="256"/>
      <c r="I1864" s="256"/>
      <c r="J1864" s="256"/>
      <c r="K1864" s="256"/>
    </row>
    <row r="1865" spans="1:11" ht="12.75" x14ac:dyDescent="0.35">
      <c r="A1865" s="256"/>
      <c r="B1865" s="256"/>
      <c r="C1865" s="256"/>
      <c r="D1865" s="256"/>
      <c r="E1865" s="256"/>
      <c r="F1865" s="256"/>
      <c r="G1865" s="256"/>
      <c r="H1865" s="256"/>
      <c r="I1865" s="256"/>
      <c r="J1865" s="256"/>
      <c r="K1865" s="256"/>
    </row>
    <row r="1866" spans="1:11" ht="12.75" x14ac:dyDescent="0.35">
      <c r="A1866" s="256"/>
      <c r="B1866" s="256"/>
      <c r="C1866" s="256"/>
      <c r="D1866" s="256"/>
      <c r="E1866" s="256"/>
      <c r="F1866" s="256"/>
      <c r="G1866" s="256"/>
      <c r="H1866" s="256"/>
      <c r="I1866" s="256"/>
      <c r="J1866" s="256"/>
      <c r="K1866" s="256"/>
    </row>
    <row r="1867" spans="1:11" ht="12.75" x14ac:dyDescent="0.35">
      <c r="A1867" s="256"/>
      <c r="B1867" s="256"/>
      <c r="C1867" s="256"/>
      <c r="D1867" s="256"/>
      <c r="E1867" s="256"/>
      <c r="F1867" s="256"/>
      <c r="G1867" s="256"/>
      <c r="H1867" s="256"/>
      <c r="I1867" s="256"/>
      <c r="J1867" s="256"/>
      <c r="K1867" s="256"/>
    </row>
    <row r="1868" spans="1:11" ht="12.75" x14ac:dyDescent="0.35">
      <c r="A1868" s="256"/>
      <c r="B1868" s="256"/>
      <c r="C1868" s="256"/>
      <c r="D1868" s="256"/>
      <c r="E1868" s="256"/>
      <c r="F1868" s="256"/>
      <c r="G1868" s="256"/>
      <c r="H1868" s="256"/>
      <c r="I1868" s="256"/>
      <c r="J1868" s="256"/>
      <c r="K1868" s="256"/>
    </row>
    <row r="1869" spans="1:11" ht="12.75" x14ac:dyDescent="0.35">
      <c r="A1869" s="256"/>
      <c r="B1869" s="256"/>
      <c r="C1869" s="256"/>
      <c r="D1869" s="256"/>
      <c r="E1869" s="256"/>
      <c r="F1869" s="256"/>
      <c r="G1869" s="256"/>
      <c r="H1869" s="256"/>
      <c r="I1869" s="256"/>
      <c r="J1869" s="256"/>
      <c r="K1869" s="256"/>
    </row>
    <row r="1870" spans="1:11" ht="12.75" x14ac:dyDescent="0.35">
      <c r="A1870" s="256"/>
      <c r="B1870" s="256"/>
      <c r="C1870" s="256"/>
      <c r="D1870" s="256"/>
      <c r="E1870" s="256"/>
      <c r="F1870" s="256"/>
      <c r="G1870" s="256"/>
      <c r="H1870" s="256"/>
      <c r="I1870" s="256"/>
      <c r="J1870" s="256"/>
      <c r="K1870" s="256"/>
    </row>
    <row r="1871" spans="1:11" ht="12.75" x14ac:dyDescent="0.35">
      <c r="A1871" s="256"/>
      <c r="B1871" s="256"/>
      <c r="C1871" s="256"/>
      <c r="D1871" s="256"/>
      <c r="E1871" s="256"/>
      <c r="F1871" s="256"/>
      <c r="G1871" s="256"/>
      <c r="H1871" s="256"/>
      <c r="I1871" s="256"/>
      <c r="J1871" s="256"/>
      <c r="K1871" s="256"/>
    </row>
    <row r="1872" spans="1:11" ht="12.75" x14ac:dyDescent="0.35">
      <c r="A1872" s="256"/>
      <c r="B1872" s="256"/>
      <c r="C1872" s="256"/>
      <c r="D1872" s="256"/>
      <c r="E1872" s="256"/>
      <c r="F1872" s="256"/>
      <c r="G1872" s="256"/>
      <c r="H1872" s="256"/>
      <c r="I1872" s="256"/>
      <c r="J1872" s="256"/>
      <c r="K1872" s="256"/>
    </row>
    <row r="1873" spans="1:11" ht="12.75" x14ac:dyDescent="0.35">
      <c r="A1873" s="256"/>
      <c r="B1873" s="256"/>
      <c r="C1873" s="256"/>
      <c r="D1873" s="256"/>
      <c r="E1873" s="256"/>
      <c r="F1873" s="256"/>
      <c r="G1873" s="256"/>
      <c r="H1873" s="256"/>
      <c r="I1873" s="256"/>
      <c r="J1873" s="256"/>
      <c r="K1873" s="256"/>
    </row>
    <row r="1874" spans="1:11" ht="12.75" x14ac:dyDescent="0.35">
      <c r="A1874" s="256"/>
      <c r="B1874" s="256"/>
      <c r="C1874" s="256"/>
      <c r="D1874" s="256"/>
      <c r="E1874" s="256"/>
      <c r="F1874" s="256"/>
      <c r="G1874" s="256"/>
      <c r="H1874" s="256"/>
      <c r="I1874" s="256"/>
      <c r="J1874" s="256"/>
      <c r="K1874" s="256"/>
    </row>
    <row r="1875" spans="1:11" ht="12.75" x14ac:dyDescent="0.35">
      <c r="A1875" s="256"/>
      <c r="B1875" s="256"/>
      <c r="C1875" s="256"/>
      <c r="D1875" s="256"/>
      <c r="E1875" s="256"/>
      <c r="F1875" s="256"/>
      <c r="G1875" s="256"/>
      <c r="H1875" s="256"/>
      <c r="I1875" s="256"/>
      <c r="J1875" s="256"/>
      <c r="K1875" s="256"/>
    </row>
    <row r="1876" spans="1:11" ht="12.75" x14ac:dyDescent="0.35">
      <c r="A1876" s="256"/>
      <c r="B1876" s="256"/>
      <c r="C1876" s="256"/>
      <c r="D1876" s="256"/>
      <c r="E1876" s="256"/>
      <c r="F1876" s="256"/>
      <c r="G1876" s="256"/>
      <c r="H1876" s="256"/>
      <c r="I1876" s="256"/>
      <c r="J1876" s="256"/>
      <c r="K1876" s="256"/>
    </row>
    <row r="1877" spans="1:11" ht="12.75" x14ac:dyDescent="0.35">
      <c r="A1877" s="256"/>
      <c r="B1877" s="256"/>
      <c r="C1877" s="256"/>
      <c r="D1877" s="256"/>
      <c r="E1877" s="256"/>
      <c r="F1877" s="256"/>
      <c r="G1877" s="256"/>
      <c r="H1877" s="256"/>
      <c r="I1877" s="256"/>
      <c r="J1877" s="256"/>
      <c r="K1877" s="256"/>
    </row>
    <row r="1878" spans="1:11" ht="12.75" x14ac:dyDescent="0.35">
      <c r="A1878" s="256"/>
      <c r="B1878" s="256"/>
      <c r="C1878" s="256"/>
      <c r="D1878" s="256"/>
      <c r="E1878" s="256"/>
      <c r="F1878" s="256"/>
      <c r="G1878" s="256"/>
      <c r="H1878" s="256"/>
      <c r="I1878" s="256"/>
      <c r="J1878" s="256"/>
      <c r="K1878" s="256"/>
    </row>
    <row r="1879" spans="1:11" ht="12.75" x14ac:dyDescent="0.35">
      <c r="A1879" s="256"/>
      <c r="B1879" s="256"/>
      <c r="C1879" s="256"/>
      <c r="D1879" s="256"/>
      <c r="E1879" s="256"/>
      <c r="F1879" s="256"/>
      <c r="G1879" s="256"/>
      <c r="H1879" s="256"/>
      <c r="I1879" s="256"/>
      <c r="J1879" s="256"/>
      <c r="K1879" s="256"/>
    </row>
    <row r="1880" spans="1:11" ht="12.75" x14ac:dyDescent="0.35">
      <c r="A1880" s="256"/>
      <c r="B1880" s="256"/>
      <c r="C1880" s="256"/>
      <c r="D1880" s="256"/>
      <c r="E1880" s="256"/>
      <c r="F1880" s="256"/>
      <c r="G1880" s="256"/>
      <c r="H1880" s="256"/>
      <c r="I1880" s="256"/>
      <c r="J1880" s="256"/>
      <c r="K1880" s="256"/>
    </row>
    <row r="1881" spans="1:11" ht="12.75" x14ac:dyDescent="0.35">
      <c r="A1881" s="256"/>
      <c r="B1881" s="256"/>
      <c r="C1881" s="256"/>
      <c r="D1881" s="256"/>
      <c r="E1881" s="256"/>
      <c r="F1881" s="256"/>
      <c r="G1881" s="256"/>
      <c r="H1881" s="256"/>
      <c r="I1881" s="256"/>
      <c r="J1881" s="256"/>
      <c r="K1881" s="256"/>
    </row>
    <row r="1882" spans="1:11" ht="12.75" x14ac:dyDescent="0.35">
      <c r="A1882" s="256"/>
      <c r="B1882" s="256"/>
      <c r="C1882" s="256"/>
      <c r="D1882" s="256"/>
      <c r="E1882" s="256"/>
      <c r="F1882" s="256"/>
      <c r="G1882" s="256"/>
      <c r="H1882" s="256"/>
      <c r="I1882" s="256"/>
      <c r="J1882" s="256"/>
      <c r="K1882" s="256"/>
    </row>
    <row r="1883" spans="1:11" ht="12.75" x14ac:dyDescent="0.35">
      <c r="A1883" s="256"/>
      <c r="B1883" s="256"/>
      <c r="C1883" s="256"/>
      <c r="D1883" s="256"/>
      <c r="E1883" s="256"/>
      <c r="F1883" s="256"/>
      <c r="G1883" s="256"/>
      <c r="H1883" s="256"/>
      <c r="I1883" s="256"/>
      <c r="J1883" s="256"/>
      <c r="K1883" s="256"/>
    </row>
    <row r="1884" spans="1:11" ht="12.75" x14ac:dyDescent="0.35">
      <c r="A1884" s="256"/>
      <c r="B1884" s="256"/>
      <c r="C1884" s="256"/>
      <c r="D1884" s="256"/>
      <c r="E1884" s="256"/>
      <c r="F1884" s="256"/>
      <c r="G1884" s="256"/>
      <c r="H1884" s="256"/>
      <c r="I1884" s="256"/>
      <c r="J1884" s="256"/>
      <c r="K1884" s="256"/>
    </row>
    <row r="1885" spans="1:11" ht="12.75" x14ac:dyDescent="0.35">
      <c r="A1885" s="256"/>
      <c r="B1885" s="256"/>
      <c r="C1885" s="256"/>
      <c r="D1885" s="256"/>
      <c r="E1885" s="256"/>
      <c r="F1885" s="256"/>
      <c r="G1885" s="256"/>
      <c r="H1885" s="256"/>
      <c r="I1885" s="256"/>
      <c r="J1885" s="256"/>
      <c r="K1885" s="256"/>
    </row>
    <row r="1886" spans="1:11" ht="12.75" x14ac:dyDescent="0.35">
      <c r="A1886" s="256"/>
      <c r="B1886" s="256"/>
      <c r="C1886" s="256"/>
      <c r="D1886" s="256"/>
      <c r="E1886" s="256"/>
      <c r="F1886" s="256"/>
      <c r="G1886" s="256"/>
      <c r="H1886" s="256"/>
      <c r="I1886" s="256"/>
      <c r="J1886" s="256"/>
      <c r="K1886" s="256"/>
    </row>
    <row r="1887" spans="1:11" ht="12.75" x14ac:dyDescent="0.35">
      <c r="A1887" s="256"/>
      <c r="B1887" s="256"/>
      <c r="C1887" s="256"/>
      <c r="D1887" s="256"/>
      <c r="E1887" s="256"/>
      <c r="F1887" s="256"/>
      <c r="G1887" s="256"/>
      <c r="H1887" s="256"/>
      <c r="I1887" s="256"/>
      <c r="J1887" s="256"/>
      <c r="K1887" s="256"/>
    </row>
    <row r="1888" spans="1:11" ht="12.75" x14ac:dyDescent="0.35">
      <c r="A1888" s="256"/>
      <c r="B1888" s="256"/>
      <c r="C1888" s="256"/>
      <c r="D1888" s="256"/>
      <c r="E1888" s="256"/>
      <c r="F1888" s="256"/>
      <c r="G1888" s="256"/>
      <c r="H1888" s="256"/>
      <c r="I1888" s="256"/>
      <c r="J1888" s="256"/>
      <c r="K1888" s="256"/>
    </row>
    <row r="1889" spans="1:11" ht="12.75" x14ac:dyDescent="0.35">
      <c r="A1889" s="256"/>
      <c r="B1889" s="256"/>
      <c r="C1889" s="256"/>
      <c r="D1889" s="256"/>
      <c r="E1889" s="256"/>
      <c r="F1889" s="256"/>
      <c r="G1889" s="256"/>
      <c r="H1889" s="256"/>
      <c r="I1889" s="256"/>
      <c r="J1889" s="256"/>
      <c r="K1889" s="256"/>
    </row>
    <row r="1890" spans="1:11" ht="12.75" x14ac:dyDescent="0.35">
      <c r="A1890" s="256"/>
      <c r="B1890" s="256"/>
      <c r="C1890" s="256"/>
      <c r="D1890" s="256"/>
      <c r="E1890" s="256"/>
      <c r="F1890" s="256"/>
      <c r="G1890" s="256"/>
      <c r="H1890" s="256"/>
      <c r="I1890" s="256"/>
      <c r="J1890" s="256"/>
      <c r="K1890" s="256"/>
    </row>
    <row r="1891" spans="1:11" ht="12.75" x14ac:dyDescent="0.35">
      <c r="A1891" s="256"/>
      <c r="B1891" s="256"/>
      <c r="C1891" s="256"/>
      <c r="D1891" s="256"/>
      <c r="E1891" s="256"/>
      <c r="F1891" s="256"/>
      <c r="G1891" s="256"/>
      <c r="H1891" s="256"/>
      <c r="I1891" s="256"/>
      <c r="J1891" s="256"/>
      <c r="K1891" s="256"/>
    </row>
    <row r="1892" spans="1:11" ht="12.75" x14ac:dyDescent="0.35">
      <c r="A1892" s="256"/>
      <c r="B1892" s="256"/>
      <c r="C1892" s="256"/>
      <c r="D1892" s="256"/>
      <c r="E1892" s="256"/>
      <c r="F1892" s="256"/>
      <c r="G1892" s="256"/>
      <c r="H1892" s="256"/>
      <c r="I1892" s="256"/>
      <c r="J1892" s="256"/>
      <c r="K1892" s="256"/>
    </row>
    <row r="1893" spans="1:11" ht="12.75" x14ac:dyDescent="0.35">
      <c r="A1893" s="256"/>
      <c r="B1893" s="256"/>
      <c r="C1893" s="256"/>
      <c r="D1893" s="256"/>
      <c r="E1893" s="256"/>
      <c r="F1893" s="256"/>
      <c r="G1893" s="256"/>
      <c r="H1893" s="256"/>
      <c r="I1893" s="256"/>
      <c r="J1893" s="256"/>
      <c r="K1893" s="256"/>
    </row>
    <row r="1894" spans="1:11" ht="12.75" x14ac:dyDescent="0.35">
      <c r="A1894" s="256"/>
      <c r="B1894" s="256"/>
      <c r="C1894" s="256"/>
      <c r="D1894" s="256"/>
      <c r="E1894" s="256"/>
      <c r="F1894" s="256"/>
      <c r="G1894" s="256"/>
      <c r="H1894" s="256"/>
      <c r="I1894" s="256"/>
      <c r="J1894" s="256"/>
      <c r="K1894" s="256"/>
    </row>
    <row r="1895" spans="1:11" ht="12.75" x14ac:dyDescent="0.35">
      <c r="A1895" s="256"/>
      <c r="B1895" s="256"/>
      <c r="C1895" s="256"/>
      <c r="D1895" s="256"/>
      <c r="E1895" s="256"/>
      <c r="F1895" s="256"/>
      <c r="G1895" s="256"/>
      <c r="H1895" s="256"/>
      <c r="I1895" s="256"/>
      <c r="J1895" s="256"/>
      <c r="K1895" s="256"/>
    </row>
    <row r="1896" spans="1:11" ht="12.75" x14ac:dyDescent="0.35">
      <c r="A1896" s="256"/>
      <c r="B1896" s="256"/>
      <c r="C1896" s="256"/>
      <c r="D1896" s="256"/>
      <c r="E1896" s="256"/>
      <c r="F1896" s="256"/>
      <c r="G1896" s="256"/>
      <c r="H1896" s="256"/>
      <c r="I1896" s="256"/>
      <c r="J1896" s="256"/>
      <c r="K1896" s="256"/>
    </row>
    <row r="1897" spans="1:11" ht="12.75" x14ac:dyDescent="0.35">
      <c r="A1897" s="256"/>
      <c r="B1897" s="256"/>
      <c r="C1897" s="256"/>
      <c r="D1897" s="256"/>
      <c r="E1897" s="256"/>
      <c r="F1897" s="256"/>
      <c r="G1897" s="256"/>
      <c r="H1897" s="256"/>
      <c r="I1897" s="256"/>
      <c r="J1897" s="256"/>
      <c r="K1897" s="256"/>
    </row>
    <row r="1898" spans="1:11" ht="12.75" x14ac:dyDescent="0.35">
      <c r="A1898" s="256"/>
      <c r="B1898" s="256"/>
      <c r="C1898" s="256"/>
      <c r="D1898" s="256"/>
      <c r="E1898" s="256"/>
      <c r="F1898" s="256"/>
      <c r="G1898" s="256"/>
      <c r="H1898" s="256"/>
      <c r="I1898" s="256"/>
      <c r="J1898" s="256"/>
      <c r="K1898" s="256"/>
    </row>
    <row r="1899" spans="1:11" ht="12.75" x14ac:dyDescent="0.35">
      <c r="A1899" s="256"/>
      <c r="B1899" s="256"/>
      <c r="C1899" s="256"/>
      <c r="D1899" s="256"/>
      <c r="E1899" s="256"/>
      <c r="F1899" s="256"/>
      <c r="G1899" s="256"/>
      <c r="H1899" s="256"/>
      <c r="I1899" s="256"/>
      <c r="J1899" s="256"/>
      <c r="K1899" s="256"/>
    </row>
    <row r="1900" spans="1:11" ht="12.75" x14ac:dyDescent="0.35">
      <c r="A1900" s="256"/>
      <c r="B1900" s="256"/>
      <c r="C1900" s="256"/>
      <c r="D1900" s="256"/>
      <c r="E1900" s="256"/>
      <c r="F1900" s="256"/>
      <c r="G1900" s="256"/>
      <c r="H1900" s="256"/>
      <c r="I1900" s="256"/>
      <c r="J1900" s="256"/>
      <c r="K1900" s="256"/>
    </row>
    <row r="1901" spans="1:11" ht="12.75" x14ac:dyDescent="0.35">
      <c r="A1901" s="256"/>
      <c r="B1901" s="256"/>
      <c r="C1901" s="256"/>
      <c r="D1901" s="256"/>
      <c r="E1901" s="256"/>
      <c r="F1901" s="256"/>
      <c r="G1901" s="256"/>
      <c r="H1901" s="256"/>
      <c r="I1901" s="256"/>
      <c r="J1901" s="256"/>
      <c r="K1901" s="256"/>
    </row>
    <row r="1902" spans="1:11" ht="12.75" x14ac:dyDescent="0.35">
      <c r="A1902" s="256"/>
      <c r="B1902" s="256"/>
      <c r="C1902" s="256"/>
      <c r="D1902" s="256"/>
      <c r="E1902" s="256"/>
      <c r="F1902" s="256"/>
      <c r="G1902" s="256"/>
      <c r="H1902" s="256"/>
      <c r="I1902" s="256"/>
      <c r="J1902" s="256"/>
      <c r="K1902" s="256"/>
    </row>
    <row r="1903" spans="1:11" ht="12.75" x14ac:dyDescent="0.35">
      <c r="A1903" s="256"/>
      <c r="B1903" s="256"/>
      <c r="C1903" s="256"/>
      <c r="D1903" s="256"/>
      <c r="E1903" s="256"/>
      <c r="F1903" s="256"/>
      <c r="G1903" s="256"/>
      <c r="H1903" s="256"/>
      <c r="I1903" s="256"/>
      <c r="J1903" s="256"/>
      <c r="K1903" s="256"/>
    </row>
    <row r="1904" spans="1:11" ht="12.75" x14ac:dyDescent="0.35">
      <c r="A1904" s="256"/>
      <c r="B1904" s="256"/>
      <c r="C1904" s="256"/>
      <c r="D1904" s="256"/>
      <c r="E1904" s="256"/>
      <c r="F1904" s="256"/>
      <c r="G1904" s="256"/>
      <c r="H1904" s="256"/>
      <c r="I1904" s="256"/>
      <c r="J1904" s="256"/>
      <c r="K1904" s="256"/>
    </row>
    <row r="1905" spans="1:11" ht="12.75" x14ac:dyDescent="0.35">
      <c r="A1905" s="256"/>
      <c r="B1905" s="256"/>
      <c r="C1905" s="256"/>
      <c r="D1905" s="256"/>
      <c r="E1905" s="256"/>
      <c r="F1905" s="256"/>
      <c r="G1905" s="256"/>
      <c r="H1905" s="256"/>
      <c r="I1905" s="256"/>
      <c r="J1905" s="256"/>
      <c r="K1905" s="256"/>
    </row>
    <row r="1906" spans="1:11" ht="12.75" x14ac:dyDescent="0.35">
      <c r="A1906" s="256"/>
      <c r="B1906" s="256"/>
      <c r="C1906" s="256"/>
      <c r="D1906" s="256"/>
      <c r="E1906" s="256"/>
      <c r="F1906" s="256"/>
      <c r="G1906" s="256"/>
      <c r="H1906" s="256"/>
      <c r="I1906" s="256"/>
      <c r="J1906" s="256"/>
      <c r="K1906" s="256"/>
    </row>
    <row r="1907" spans="1:11" ht="12.75" x14ac:dyDescent="0.35">
      <c r="A1907" s="256"/>
      <c r="B1907" s="256"/>
      <c r="C1907" s="256"/>
      <c r="D1907" s="256"/>
      <c r="E1907" s="256"/>
      <c r="F1907" s="256"/>
      <c r="G1907" s="256"/>
      <c r="H1907" s="256"/>
      <c r="I1907" s="256"/>
      <c r="J1907" s="256"/>
      <c r="K1907" s="256"/>
    </row>
    <row r="1908" spans="1:11" ht="12.75" x14ac:dyDescent="0.35">
      <c r="A1908" s="256"/>
      <c r="B1908" s="256"/>
      <c r="C1908" s="256"/>
      <c r="D1908" s="256"/>
      <c r="E1908" s="256"/>
      <c r="F1908" s="256"/>
      <c r="G1908" s="256"/>
      <c r="H1908" s="256"/>
      <c r="I1908" s="256"/>
      <c r="J1908" s="256"/>
      <c r="K1908" s="256"/>
    </row>
    <row r="1909" spans="1:11" ht="12.75" x14ac:dyDescent="0.35">
      <c r="A1909" s="256"/>
      <c r="B1909" s="256"/>
      <c r="C1909" s="256"/>
      <c r="D1909" s="256"/>
      <c r="E1909" s="256"/>
      <c r="F1909" s="256"/>
      <c r="G1909" s="256"/>
      <c r="H1909" s="256"/>
      <c r="I1909" s="256"/>
      <c r="J1909" s="256"/>
      <c r="K1909" s="256"/>
    </row>
    <row r="1910" spans="1:11" ht="12.75" x14ac:dyDescent="0.35">
      <c r="A1910" s="256"/>
      <c r="B1910" s="256"/>
      <c r="C1910" s="256"/>
      <c r="D1910" s="256"/>
      <c r="E1910" s="256"/>
      <c r="F1910" s="256"/>
      <c r="G1910" s="256"/>
      <c r="H1910" s="256"/>
      <c r="I1910" s="256"/>
      <c r="J1910" s="256"/>
      <c r="K1910" s="256"/>
    </row>
    <row r="1911" spans="1:11" ht="12.75" x14ac:dyDescent="0.35">
      <c r="A1911" s="256"/>
      <c r="B1911" s="256"/>
      <c r="C1911" s="256"/>
      <c r="D1911" s="256"/>
      <c r="E1911" s="256"/>
      <c r="F1911" s="256"/>
      <c r="G1911" s="256"/>
      <c r="H1911" s="256"/>
      <c r="I1911" s="256"/>
      <c r="J1911" s="256"/>
      <c r="K1911" s="256"/>
    </row>
    <row r="1912" spans="1:11" ht="12.75" x14ac:dyDescent="0.35">
      <c r="A1912" s="256"/>
      <c r="B1912" s="256"/>
      <c r="C1912" s="256"/>
      <c r="D1912" s="256"/>
      <c r="E1912" s="256"/>
      <c r="F1912" s="256"/>
      <c r="G1912" s="256"/>
      <c r="H1912" s="256"/>
      <c r="I1912" s="256"/>
      <c r="J1912" s="256"/>
      <c r="K1912" s="256"/>
    </row>
    <row r="1913" spans="1:11" ht="12.75" x14ac:dyDescent="0.35">
      <c r="A1913" s="256"/>
      <c r="B1913" s="256"/>
      <c r="C1913" s="256"/>
      <c r="D1913" s="256"/>
      <c r="E1913" s="256"/>
      <c r="F1913" s="256"/>
      <c r="G1913" s="256"/>
      <c r="H1913" s="256"/>
      <c r="I1913" s="256"/>
      <c r="J1913" s="256"/>
      <c r="K1913" s="256"/>
    </row>
    <row r="1914" spans="1:11" ht="12.75" x14ac:dyDescent="0.35">
      <c r="A1914" s="256"/>
      <c r="B1914" s="256"/>
      <c r="C1914" s="256"/>
      <c r="D1914" s="256"/>
      <c r="E1914" s="256"/>
      <c r="F1914" s="256"/>
      <c r="G1914" s="256"/>
      <c r="H1914" s="256"/>
      <c r="I1914" s="256"/>
      <c r="J1914" s="256"/>
      <c r="K1914" s="256"/>
    </row>
    <row r="1915" spans="1:11" ht="12.75" x14ac:dyDescent="0.35">
      <c r="A1915" s="256"/>
      <c r="B1915" s="256"/>
      <c r="C1915" s="256"/>
      <c r="D1915" s="256"/>
      <c r="E1915" s="256"/>
      <c r="F1915" s="256"/>
      <c r="G1915" s="256"/>
      <c r="H1915" s="256"/>
      <c r="I1915" s="256"/>
      <c r="J1915" s="256"/>
      <c r="K1915" s="256"/>
    </row>
    <row r="1916" spans="1:11" ht="12.75" x14ac:dyDescent="0.35">
      <c r="A1916" s="256"/>
      <c r="B1916" s="256"/>
      <c r="C1916" s="256"/>
      <c r="D1916" s="256"/>
      <c r="E1916" s="256"/>
      <c r="F1916" s="256"/>
      <c r="G1916" s="256"/>
      <c r="H1916" s="256"/>
      <c r="I1916" s="256"/>
      <c r="J1916" s="256"/>
      <c r="K1916" s="256"/>
    </row>
    <row r="1917" spans="1:11" ht="12.75" x14ac:dyDescent="0.35">
      <c r="A1917" s="256"/>
      <c r="B1917" s="256"/>
      <c r="C1917" s="256"/>
      <c r="D1917" s="256"/>
      <c r="E1917" s="256"/>
      <c r="F1917" s="256"/>
      <c r="G1917" s="256"/>
      <c r="H1917" s="256"/>
      <c r="I1917" s="256"/>
      <c r="J1917" s="256"/>
      <c r="K1917" s="256"/>
    </row>
    <row r="1918" spans="1:11" ht="12.75" x14ac:dyDescent="0.35">
      <c r="A1918" s="256"/>
      <c r="B1918" s="256"/>
      <c r="C1918" s="256"/>
      <c r="D1918" s="256"/>
      <c r="E1918" s="256"/>
      <c r="F1918" s="256"/>
      <c r="G1918" s="256"/>
      <c r="H1918" s="256"/>
      <c r="I1918" s="256"/>
      <c r="J1918" s="256"/>
      <c r="K1918" s="256"/>
    </row>
    <row r="1919" spans="1:11" ht="12.75" x14ac:dyDescent="0.35">
      <c r="A1919" s="256"/>
      <c r="B1919" s="256"/>
      <c r="C1919" s="256"/>
      <c r="D1919" s="256"/>
      <c r="E1919" s="256"/>
      <c r="F1919" s="256"/>
      <c r="G1919" s="256"/>
      <c r="H1919" s="256"/>
      <c r="I1919" s="256"/>
      <c r="J1919" s="256"/>
      <c r="K1919" s="256"/>
    </row>
    <row r="1920" spans="1:11" ht="12.75" x14ac:dyDescent="0.35">
      <c r="A1920" s="256"/>
      <c r="B1920" s="256"/>
      <c r="C1920" s="256"/>
      <c r="D1920" s="256"/>
      <c r="E1920" s="256"/>
      <c r="F1920" s="256"/>
      <c r="G1920" s="256"/>
      <c r="H1920" s="256"/>
      <c r="I1920" s="256"/>
      <c r="J1920" s="256"/>
      <c r="K1920" s="256"/>
    </row>
    <row r="1921" spans="1:11" ht="12.75" x14ac:dyDescent="0.35">
      <c r="A1921" s="256"/>
      <c r="B1921" s="256"/>
      <c r="C1921" s="256"/>
      <c r="D1921" s="256"/>
      <c r="E1921" s="256"/>
      <c r="F1921" s="256"/>
      <c r="G1921" s="256"/>
      <c r="H1921" s="256"/>
      <c r="I1921" s="256"/>
      <c r="J1921" s="256"/>
      <c r="K1921" s="256"/>
    </row>
    <row r="1922" spans="1:11" ht="12.75" x14ac:dyDescent="0.35">
      <c r="A1922" s="256"/>
      <c r="B1922" s="256"/>
      <c r="C1922" s="256"/>
      <c r="D1922" s="256"/>
      <c r="E1922" s="256"/>
      <c r="F1922" s="256"/>
      <c r="G1922" s="256"/>
      <c r="H1922" s="256"/>
      <c r="I1922" s="256"/>
      <c r="J1922" s="256"/>
      <c r="K1922" s="256"/>
    </row>
    <row r="1923" spans="1:11" ht="12.75" x14ac:dyDescent="0.35">
      <c r="A1923" s="256"/>
      <c r="B1923" s="256"/>
      <c r="C1923" s="256"/>
      <c r="D1923" s="256"/>
      <c r="E1923" s="256"/>
      <c r="F1923" s="256"/>
      <c r="G1923" s="256"/>
      <c r="H1923" s="256"/>
      <c r="I1923" s="256"/>
      <c r="J1923" s="256"/>
      <c r="K1923" s="256"/>
    </row>
    <row r="1924" spans="1:11" ht="12.75" x14ac:dyDescent="0.35">
      <c r="A1924" s="256"/>
      <c r="B1924" s="256"/>
      <c r="C1924" s="256"/>
      <c r="D1924" s="256"/>
      <c r="E1924" s="256"/>
      <c r="F1924" s="256"/>
      <c r="G1924" s="256"/>
      <c r="H1924" s="256"/>
      <c r="I1924" s="256"/>
      <c r="J1924" s="256"/>
      <c r="K1924" s="256"/>
    </row>
    <row r="1925" spans="1:11" ht="12.75" x14ac:dyDescent="0.35">
      <c r="A1925" s="256"/>
      <c r="B1925" s="256"/>
      <c r="C1925" s="256"/>
      <c r="D1925" s="256"/>
      <c r="E1925" s="256"/>
      <c r="F1925" s="256"/>
      <c r="G1925" s="256"/>
      <c r="H1925" s="256"/>
      <c r="I1925" s="256"/>
      <c r="J1925" s="256"/>
      <c r="K1925" s="256"/>
    </row>
    <row r="1926" spans="1:11" ht="12.75" x14ac:dyDescent="0.35">
      <c r="A1926" s="256"/>
      <c r="B1926" s="256"/>
      <c r="C1926" s="256"/>
      <c r="D1926" s="256"/>
      <c r="E1926" s="256"/>
      <c r="F1926" s="256"/>
      <c r="G1926" s="256"/>
      <c r="H1926" s="256"/>
      <c r="I1926" s="256"/>
      <c r="J1926" s="256"/>
      <c r="K1926" s="256"/>
    </row>
    <row r="1927" spans="1:11" ht="12.75" x14ac:dyDescent="0.35">
      <c r="A1927" s="256"/>
      <c r="B1927" s="256"/>
      <c r="C1927" s="256"/>
      <c r="D1927" s="256"/>
      <c r="E1927" s="256"/>
      <c r="F1927" s="256"/>
      <c r="G1927" s="256"/>
      <c r="H1927" s="256"/>
      <c r="I1927" s="256"/>
      <c r="J1927" s="256"/>
      <c r="K1927" s="256"/>
    </row>
    <row r="1928" spans="1:11" ht="12.75" x14ac:dyDescent="0.35">
      <c r="A1928" s="256"/>
      <c r="B1928" s="256"/>
      <c r="C1928" s="256"/>
      <c r="D1928" s="256"/>
      <c r="E1928" s="256"/>
      <c r="F1928" s="256"/>
      <c r="G1928" s="256"/>
      <c r="H1928" s="256"/>
      <c r="I1928" s="256"/>
      <c r="J1928" s="256"/>
      <c r="K1928" s="256"/>
    </row>
    <row r="1929" spans="1:11" ht="12.75" x14ac:dyDescent="0.35">
      <c r="A1929" s="256"/>
      <c r="B1929" s="256"/>
      <c r="C1929" s="256"/>
      <c r="D1929" s="256"/>
      <c r="E1929" s="256"/>
      <c r="F1929" s="256"/>
      <c r="G1929" s="256"/>
      <c r="H1929" s="256"/>
      <c r="I1929" s="256"/>
      <c r="J1929" s="256"/>
      <c r="K1929" s="256"/>
    </row>
    <row r="1930" spans="1:11" ht="12.75" x14ac:dyDescent="0.35">
      <c r="A1930" s="256"/>
      <c r="B1930" s="256"/>
      <c r="C1930" s="256"/>
      <c r="D1930" s="256"/>
      <c r="E1930" s="256"/>
      <c r="F1930" s="256"/>
      <c r="G1930" s="256"/>
      <c r="H1930" s="256"/>
      <c r="I1930" s="256"/>
      <c r="J1930" s="256"/>
      <c r="K1930" s="256"/>
    </row>
    <row r="1931" spans="1:11" ht="12.75" x14ac:dyDescent="0.35">
      <c r="A1931" s="256"/>
      <c r="B1931" s="256"/>
      <c r="C1931" s="256"/>
      <c r="D1931" s="256"/>
      <c r="E1931" s="256"/>
      <c r="F1931" s="256"/>
      <c r="G1931" s="256"/>
      <c r="H1931" s="256"/>
      <c r="I1931" s="256"/>
      <c r="J1931" s="256"/>
      <c r="K1931" s="256"/>
    </row>
    <row r="1932" spans="1:11" ht="12.75" x14ac:dyDescent="0.35">
      <c r="A1932" s="256"/>
      <c r="B1932" s="256"/>
      <c r="C1932" s="256"/>
      <c r="D1932" s="256"/>
      <c r="E1932" s="256"/>
      <c r="F1932" s="256"/>
      <c r="G1932" s="256"/>
      <c r="H1932" s="256"/>
      <c r="I1932" s="256"/>
      <c r="J1932" s="256"/>
      <c r="K1932" s="256"/>
    </row>
    <row r="1933" spans="1:11" ht="12.75" x14ac:dyDescent="0.35">
      <c r="A1933" s="256"/>
      <c r="B1933" s="256"/>
      <c r="C1933" s="256"/>
      <c r="D1933" s="256"/>
      <c r="E1933" s="256"/>
      <c r="F1933" s="256"/>
      <c r="G1933" s="256"/>
      <c r="H1933" s="256"/>
      <c r="I1933" s="256"/>
      <c r="J1933" s="256"/>
      <c r="K1933" s="256"/>
    </row>
    <row r="1934" spans="1:11" ht="12.75" x14ac:dyDescent="0.35">
      <c r="A1934" s="256"/>
      <c r="B1934" s="256"/>
      <c r="C1934" s="256"/>
      <c r="D1934" s="256"/>
      <c r="E1934" s="256"/>
      <c r="F1934" s="256"/>
      <c r="G1934" s="256"/>
      <c r="H1934" s="256"/>
      <c r="I1934" s="256"/>
      <c r="J1934" s="256"/>
      <c r="K1934" s="256"/>
    </row>
    <row r="1935" spans="1:11" ht="12.75" x14ac:dyDescent="0.35">
      <c r="A1935" s="256"/>
      <c r="B1935" s="256"/>
      <c r="C1935" s="256"/>
      <c r="D1935" s="256"/>
      <c r="E1935" s="256"/>
      <c r="F1935" s="256"/>
      <c r="G1935" s="256"/>
      <c r="H1935" s="256"/>
      <c r="I1935" s="256"/>
      <c r="J1935" s="256"/>
      <c r="K1935" s="256"/>
    </row>
    <row r="1936" spans="1:11" ht="12.75" x14ac:dyDescent="0.35">
      <c r="A1936" s="256"/>
      <c r="B1936" s="256"/>
      <c r="C1936" s="256"/>
      <c r="D1936" s="256"/>
      <c r="E1936" s="256"/>
      <c r="F1936" s="256"/>
      <c r="G1936" s="256"/>
      <c r="H1936" s="256"/>
      <c r="I1936" s="256"/>
      <c r="J1936" s="256"/>
      <c r="K1936" s="256"/>
    </row>
    <row r="1937" spans="1:11" ht="12.75" x14ac:dyDescent="0.35">
      <c r="A1937" s="256"/>
      <c r="B1937" s="256"/>
      <c r="C1937" s="256"/>
      <c r="D1937" s="256"/>
      <c r="E1937" s="256"/>
      <c r="F1937" s="256"/>
      <c r="G1937" s="256"/>
      <c r="H1937" s="256"/>
      <c r="I1937" s="256"/>
      <c r="J1937" s="256"/>
      <c r="K1937" s="256"/>
    </row>
    <row r="1938" spans="1:11" ht="12.75" x14ac:dyDescent="0.35">
      <c r="A1938" s="256"/>
      <c r="B1938" s="256"/>
      <c r="C1938" s="256"/>
      <c r="D1938" s="256"/>
      <c r="E1938" s="256"/>
      <c r="F1938" s="256"/>
      <c r="G1938" s="256"/>
      <c r="H1938" s="256"/>
      <c r="I1938" s="256"/>
      <c r="J1938" s="256"/>
      <c r="K1938" s="256"/>
    </row>
    <row r="1939" spans="1:11" ht="12.75" x14ac:dyDescent="0.35">
      <c r="A1939" s="256"/>
      <c r="B1939" s="256"/>
      <c r="C1939" s="256"/>
      <c r="D1939" s="256"/>
      <c r="E1939" s="256"/>
      <c r="F1939" s="256"/>
      <c r="G1939" s="256"/>
      <c r="H1939" s="256"/>
      <c r="I1939" s="256"/>
      <c r="J1939" s="256"/>
      <c r="K1939" s="256"/>
    </row>
    <row r="1940" spans="1:11" ht="12.75" x14ac:dyDescent="0.35">
      <c r="A1940" s="256"/>
      <c r="B1940" s="256"/>
      <c r="C1940" s="256"/>
      <c r="D1940" s="256"/>
      <c r="E1940" s="256"/>
      <c r="F1940" s="256"/>
      <c r="G1940" s="256"/>
      <c r="H1940" s="256"/>
      <c r="I1940" s="256"/>
      <c r="J1940" s="256"/>
      <c r="K1940" s="256"/>
    </row>
    <row r="1941" spans="1:11" ht="12.75" x14ac:dyDescent="0.35">
      <c r="A1941" s="256"/>
      <c r="B1941" s="256"/>
      <c r="C1941" s="256"/>
      <c r="D1941" s="256"/>
      <c r="E1941" s="256"/>
      <c r="F1941" s="256"/>
      <c r="G1941" s="256"/>
      <c r="H1941" s="256"/>
      <c r="I1941" s="256"/>
      <c r="J1941" s="256"/>
      <c r="K1941" s="256"/>
    </row>
    <row r="1942" spans="1:11" ht="12.75" x14ac:dyDescent="0.35">
      <c r="A1942" s="256"/>
      <c r="B1942" s="256"/>
      <c r="C1942" s="256"/>
      <c r="D1942" s="256"/>
      <c r="E1942" s="256"/>
      <c r="F1942" s="256"/>
      <c r="G1942" s="256"/>
      <c r="H1942" s="256"/>
      <c r="I1942" s="256"/>
      <c r="J1942" s="256"/>
      <c r="K1942" s="256"/>
    </row>
    <row r="1943" spans="1:11" ht="12.75" x14ac:dyDescent="0.35">
      <c r="A1943" s="256"/>
      <c r="B1943" s="256"/>
      <c r="C1943" s="256"/>
      <c r="D1943" s="256"/>
      <c r="E1943" s="256"/>
      <c r="F1943" s="256"/>
      <c r="G1943" s="256"/>
      <c r="H1943" s="256"/>
      <c r="I1943" s="256"/>
      <c r="J1943" s="256"/>
      <c r="K1943" s="256"/>
    </row>
    <row r="1944" spans="1:11" ht="12.75" x14ac:dyDescent="0.35">
      <c r="A1944" s="256"/>
      <c r="B1944" s="256"/>
      <c r="C1944" s="256"/>
      <c r="D1944" s="256"/>
      <c r="E1944" s="256"/>
      <c r="F1944" s="256"/>
      <c r="G1944" s="256"/>
      <c r="H1944" s="256"/>
      <c r="I1944" s="256"/>
      <c r="J1944" s="256"/>
      <c r="K1944" s="256"/>
    </row>
    <row r="1945" spans="1:11" ht="12.75" x14ac:dyDescent="0.35">
      <c r="A1945" s="256"/>
      <c r="B1945" s="256"/>
      <c r="C1945" s="256"/>
      <c r="D1945" s="256"/>
      <c r="E1945" s="256"/>
      <c r="F1945" s="256"/>
      <c r="G1945" s="256"/>
      <c r="H1945" s="256"/>
      <c r="I1945" s="256"/>
      <c r="J1945" s="256"/>
      <c r="K1945" s="256"/>
    </row>
    <row r="1946" spans="1:11" ht="12.75" x14ac:dyDescent="0.35">
      <c r="A1946" s="256"/>
      <c r="B1946" s="256"/>
      <c r="C1946" s="256"/>
      <c r="D1946" s="256"/>
      <c r="E1946" s="256"/>
      <c r="F1946" s="256"/>
      <c r="G1946" s="256"/>
      <c r="H1946" s="256"/>
      <c r="I1946" s="256"/>
      <c r="J1946" s="256"/>
      <c r="K1946" s="256"/>
    </row>
    <row r="1947" spans="1:11" ht="12.75" x14ac:dyDescent="0.35">
      <c r="A1947" s="256"/>
      <c r="B1947" s="256"/>
      <c r="C1947" s="256"/>
      <c r="D1947" s="256"/>
      <c r="E1947" s="256"/>
      <c r="F1947" s="256"/>
      <c r="G1947" s="256"/>
      <c r="H1947" s="256"/>
      <c r="I1947" s="256"/>
      <c r="J1947" s="256"/>
      <c r="K1947" s="256"/>
    </row>
    <row r="1948" spans="1:11" ht="12.75" x14ac:dyDescent="0.35">
      <c r="A1948" s="256"/>
      <c r="B1948" s="256"/>
      <c r="C1948" s="256"/>
      <c r="D1948" s="256"/>
      <c r="E1948" s="256"/>
      <c r="F1948" s="256"/>
      <c r="G1948" s="256"/>
      <c r="H1948" s="256"/>
      <c r="I1948" s="256"/>
      <c r="J1948" s="256"/>
      <c r="K1948" s="256"/>
    </row>
    <row r="1949" spans="1:11" ht="12.75" x14ac:dyDescent="0.35">
      <c r="A1949" s="256"/>
      <c r="B1949" s="256"/>
      <c r="C1949" s="256"/>
      <c r="D1949" s="256"/>
      <c r="E1949" s="256"/>
      <c r="F1949" s="256"/>
      <c r="G1949" s="256"/>
      <c r="H1949" s="256"/>
      <c r="I1949" s="256"/>
      <c r="J1949" s="256"/>
      <c r="K1949" s="256"/>
    </row>
    <row r="1950" spans="1:11" ht="12.75" x14ac:dyDescent="0.35">
      <c r="A1950" s="256"/>
      <c r="B1950" s="256"/>
      <c r="C1950" s="256"/>
      <c r="D1950" s="256"/>
      <c r="E1950" s="256"/>
      <c r="F1950" s="256"/>
      <c r="G1950" s="256"/>
      <c r="H1950" s="256"/>
      <c r="I1950" s="256"/>
      <c r="J1950" s="256"/>
      <c r="K1950" s="256"/>
    </row>
    <row r="1951" spans="1:11" ht="12.75" x14ac:dyDescent="0.35">
      <c r="A1951" s="256"/>
      <c r="B1951" s="256"/>
      <c r="C1951" s="256"/>
      <c r="D1951" s="256"/>
      <c r="E1951" s="256"/>
      <c r="F1951" s="256"/>
      <c r="G1951" s="256"/>
      <c r="H1951" s="256"/>
      <c r="I1951" s="256"/>
      <c r="J1951" s="256"/>
      <c r="K1951" s="256"/>
    </row>
    <row r="1952" spans="1:11" ht="12.75" x14ac:dyDescent="0.35">
      <c r="A1952" s="256"/>
      <c r="B1952" s="256"/>
      <c r="C1952" s="256"/>
      <c r="D1952" s="256"/>
      <c r="E1952" s="256"/>
      <c r="F1952" s="256"/>
      <c r="G1952" s="256"/>
      <c r="H1952" s="256"/>
      <c r="I1952" s="256"/>
      <c r="J1952" s="256"/>
      <c r="K1952" s="256"/>
    </row>
    <row r="1953" spans="1:11" ht="12.75" x14ac:dyDescent="0.35">
      <c r="A1953" s="256"/>
      <c r="B1953" s="256"/>
      <c r="C1953" s="256"/>
      <c r="D1953" s="256"/>
      <c r="E1953" s="256"/>
      <c r="F1953" s="256"/>
      <c r="G1953" s="256"/>
      <c r="H1953" s="256"/>
      <c r="I1953" s="256"/>
      <c r="J1953" s="256"/>
      <c r="K1953" s="256"/>
    </row>
    <row r="1954" spans="1:11" ht="12.75" x14ac:dyDescent="0.35">
      <c r="A1954" s="256"/>
      <c r="B1954" s="256"/>
      <c r="C1954" s="256"/>
      <c r="D1954" s="256"/>
      <c r="E1954" s="256"/>
      <c r="F1954" s="256"/>
      <c r="G1954" s="256"/>
      <c r="H1954" s="256"/>
      <c r="I1954" s="256"/>
      <c r="J1954" s="256"/>
      <c r="K1954" s="256"/>
    </row>
    <row r="1955" spans="1:11" ht="12.75" x14ac:dyDescent="0.35">
      <c r="A1955" s="256"/>
      <c r="B1955" s="256"/>
      <c r="C1955" s="256"/>
      <c r="D1955" s="256"/>
      <c r="E1955" s="256"/>
      <c r="F1955" s="256"/>
      <c r="G1955" s="256"/>
      <c r="H1955" s="256"/>
      <c r="I1955" s="256"/>
      <c r="J1955" s="256"/>
      <c r="K1955" s="256"/>
    </row>
    <row r="1956" spans="1:11" ht="12.75" x14ac:dyDescent="0.35">
      <c r="A1956" s="256"/>
      <c r="B1956" s="256"/>
      <c r="C1956" s="256"/>
      <c r="D1956" s="256"/>
      <c r="E1956" s="256"/>
      <c r="F1956" s="256"/>
      <c r="G1956" s="256"/>
      <c r="H1956" s="256"/>
      <c r="I1956" s="256"/>
      <c r="J1956" s="256"/>
      <c r="K1956" s="256"/>
    </row>
    <row r="1957" spans="1:11" ht="12.75" x14ac:dyDescent="0.35">
      <c r="A1957" s="256"/>
      <c r="B1957" s="256"/>
      <c r="C1957" s="256"/>
      <c r="D1957" s="256"/>
      <c r="E1957" s="256"/>
      <c r="F1957" s="256"/>
      <c r="G1957" s="256"/>
      <c r="H1957" s="256"/>
      <c r="I1957" s="256"/>
      <c r="J1957" s="256"/>
      <c r="K1957" s="256"/>
    </row>
    <row r="1958" spans="1:11" ht="12.75" x14ac:dyDescent="0.35">
      <c r="A1958" s="256"/>
      <c r="B1958" s="256"/>
      <c r="C1958" s="256"/>
      <c r="D1958" s="256"/>
      <c r="E1958" s="256"/>
      <c r="F1958" s="256"/>
      <c r="G1958" s="256"/>
      <c r="H1958" s="256"/>
      <c r="I1958" s="256"/>
      <c r="J1958" s="256"/>
      <c r="K1958" s="256"/>
    </row>
    <row r="1959" spans="1:11" ht="12.75" x14ac:dyDescent="0.35">
      <c r="A1959" s="256"/>
      <c r="B1959" s="256"/>
      <c r="C1959" s="256"/>
      <c r="D1959" s="256"/>
      <c r="E1959" s="256"/>
      <c r="F1959" s="256"/>
      <c r="G1959" s="256"/>
      <c r="H1959" s="256"/>
      <c r="I1959" s="256"/>
      <c r="J1959" s="256"/>
      <c r="K1959" s="256"/>
    </row>
    <row r="1960" spans="1:11" ht="12.75" x14ac:dyDescent="0.35">
      <c r="A1960" s="256"/>
      <c r="B1960" s="256"/>
      <c r="C1960" s="256"/>
      <c r="D1960" s="256"/>
      <c r="E1960" s="256"/>
      <c r="F1960" s="256"/>
      <c r="G1960" s="256"/>
      <c r="H1960" s="256"/>
      <c r="I1960" s="256"/>
      <c r="J1960" s="256"/>
      <c r="K1960" s="256"/>
    </row>
    <row r="1961" spans="1:11" ht="12.75" x14ac:dyDescent="0.35">
      <c r="A1961" s="256"/>
      <c r="B1961" s="256"/>
      <c r="C1961" s="256"/>
      <c r="D1961" s="256"/>
      <c r="E1961" s="256"/>
      <c r="F1961" s="256"/>
      <c r="G1961" s="256"/>
      <c r="H1961" s="256"/>
      <c r="I1961" s="256"/>
      <c r="J1961" s="256"/>
      <c r="K1961" s="256"/>
    </row>
    <row r="1962" spans="1:11" ht="12.75" x14ac:dyDescent="0.35">
      <c r="A1962" s="256"/>
      <c r="B1962" s="256"/>
      <c r="C1962" s="256"/>
      <c r="D1962" s="256"/>
      <c r="E1962" s="256"/>
      <c r="F1962" s="256"/>
      <c r="G1962" s="256"/>
      <c r="H1962" s="256"/>
      <c r="I1962" s="256"/>
      <c r="J1962" s="256"/>
      <c r="K1962" s="256"/>
    </row>
    <row r="1963" spans="1:11" ht="12.75" x14ac:dyDescent="0.35">
      <c r="A1963" s="256"/>
      <c r="B1963" s="256"/>
      <c r="C1963" s="256"/>
      <c r="D1963" s="256"/>
      <c r="E1963" s="256"/>
      <c r="F1963" s="256"/>
      <c r="G1963" s="256"/>
      <c r="H1963" s="256"/>
      <c r="I1963" s="256"/>
      <c r="J1963" s="256"/>
      <c r="K1963" s="256"/>
    </row>
    <row r="1964" spans="1:11" ht="12.75" x14ac:dyDescent="0.35">
      <c r="A1964" s="256"/>
      <c r="B1964" s="256"/>
      <c r="C1964" s="256"/>
      <c r="D1964" s="256"/>
      <c r="E1964" s="256"/>
      <c r="F1964" s="256"/>
      <c r="G1964" s="256"/>
      <c r="H1964" s="256"/>
      <c r="I1964" s="256"/>
      <c r="J1964" s="256"/>
      <c r="K1964" s="256"/>
    </row>
    <row r="1965" spans="1:11" ht="12.75" x14ac:dyDescent="0.35">
      <c r="A1965" s="256"/>
      <c r="B1965" s="256"/>
      <c r="C1965" s="256"/>
      <c r="D1965" s="256"/>
      <c r="E1965" s="256"/>
      <c r="F1965" s="256"/>
      <c r="G1965" s="256"/>
      <c r="H1965" s="256"/>
      <c r="I1965" s="256"/>
      <c r="J1965" s="256"/>
      <c r="K1965" s="256"/>
    </row>
    <row r="1966" spans="1:11" ht="12.75" x14ac:dyDescent="0.35">
      <c r="A1966" s="256"/>
      <c r="B1966" s="256"/>
      <c r="C1966" s="256"/>
      <c r="D1966" s="256"/>
      <c r="E1966" s="256"/>
      <c r="F1966" s="256"/>
      <c r="G1966" s="256"/>
      <c r="H1966" s="256"/>
      <c r="I1966" s="256"/>
      <c r="J1966" s="256"/>
      <c r="K1966" s="256"/>
    </row>
    <row r="1967" spans="1:11" ht="12.75" x14ac:dyDescent="0.35">
      <c r="A1967" s="256"/>
      <c r="B1967" s="256"/>
      <c r="C1967" s="256"/>
      <c r="D1967" s="256"/>
      <c r="E1967" s="256"/>
      <c r="F1967" s="256"/>
      <c r="G1967" s="256"/>
      <c r="H1967" s="256"/>
      <c r="I1967" s="256"/>
      <c r="J1967" s="256"/>
      <c r="K1967" s="256"/>
    </row>
    <row r="1968" spans="1:11" ht="12.75" x14ac:dyDescent="0.35">
      <c r="A1968" s="256"/>
      <c r="B1968" s="256"/>
      <c r="C1968" s="256"/>
      <c r="D1968" s="256"/>
      <c r="E1968" s="256"/>
      <c r="F1968" s="256"/>
      <c r="G1968" s="256"/>
      <c r="H1968" s="256"/>
      <c r="I1968" s="256"/>
      <c r="J1968" s="256"/>
      <c r="K1968" s="256"/>
    </row>
    <row r="1969" spans="1:11" ht="12.75" x14ac:dyDescent="0.35">
      <c r="A1969" s="256"/>
      <c r="B1969" s="256"/>
      <c r="C1969" s="256"/>
      <c r="D1969" s="256"/>
      <c r="E1969" s="256"/>
      <c r="F1969" s="256"/>
      <c r="G1969" s="256"/>
      <c r="H1969" s="256"/>
      <c r="I1969" s="256"/>
      <c r="J1969" s="256"/>
      <c r="K1969" s="256"/>
    </row>
    <row r="1970" spans="1:11" ht="12.75" x14ac:dyDescent="0.35">
      <c r="A1970" s="256"/>
      <c r="B1970" s="256"/>
      <c r="C1970" s="256"/>
      <c r="D1970" s="256"/>
      <c r="E1970" s="256"/>
      <c r="F1970" s="256"/>
      <c r="G1970" s="256"/>
      <c r="H1970" s="256"/>
      <c r="I1970" s="256"/>
      <c r="J1970" s="256"/>
      <c r="K1970" s="256"/>
    </row>
    <row r="1971" spans="1:11" ht="12.75" x14ac:dyDescent="0.35">
      <c r="A1971" s="256"/>
      <c r="B1971" s="256"/>
      <c r="C1971" s="256"/>
      <c r="D1971" s="256"/>
      <c r="E1971" s="256"/>
      <c r="F1971" s="256"/>
      <c r="G1971" s="256"/>
      <c r="H1971" s="256"/>
      <c r="I1971" s="256"/>
      <c r="J1971" s="256"/>
      <c r="K1971" s="256"/>
    </row>
    <row r="1972" spans="1:11" ht="12.75" x14ac:dyDescent="0.35">
      <c r="A1972" s="256"/>
      <c r="B1972" s="256"/>
      <c r="C1972" s="256"/>
      <c r="D1972" s="256"/>
      <c r="E1972" s="256"/>
      <c r="F1972" s="256"/>
      <c r="G1972" s="256"/>
      <c r="H1972" s="256"/>
      <c r="I1972" s="256"/>
      <c r="J1972" s="256"/>
      <c r="K1972" s="256"/>
    </row>
    <row r="1973" spans="1:11" ht="12.75" x14ac:dyDescent="0.35">
      <c r="A1973" s="256"/>
      <c r="B1973" s="256"/>
      <c r="C1973" s="256"/>
      <c r="D1973" s="256"/>
      <c r="E1973" s="256"/>
      <c r="F1973" s="256"/>
      <c r="G1973" s="256"/>
      <c r="H1973" s="256"/>
      <c r="I1973" s="256"/>
      <c r="J1973" s="256"/>
      <c r="K1973" s="256"/>
    </row>
    <row r="1974" spans="1:11" ht="12.75" x14ac:dyDescent="0.35">
      <c r="A1974" s="256"/>
      <c r="B1974" s="256"/>
      <c r="C1974" s="256"/>
      <c r="D1974" s="256"/>
      <c r="E1974" s="256"/>
      <c r="F1974" s="256"/>
      <c r="G1974" s="256"/>
      <c r="H1974" s="256"/>
      <c r="I1974" s="256"/>
      <c r="J1974" s="256"/>
      <c r="K1974" s="256"/>
    </row>
    <row r="1975" spans="1:11" ht="12.75" x14ac:dyDescent="0.35">
      <c r="A1975" s="256"/>
      <c r="B1975" s="256"/>
      <c r="C1975" s="256"/>
      <c r="D1975" s="256"/>
      <c r="E1975" s="256"/>
      <c r="F1975" s="256"/>
      <c r="G1975" s="256"/>
      <c r="H1975" s="256"/>
      <c r="I1975" s="256"/>
      <c r="J1975" s="256"/>
      <c r="K1975" s="256"/>
    </row>
    <row r="1976" spans="1:11" ht="12.75" x14ac:dyDescent="0.35">
      <c r="A1976" s="256"/>
      <c r="B1976" s="256"/>
      <c r="C1976" s="256"/>
      <c r="D1976" s="256"/>
      <c r="E1976" s="256"/>
      <c r="F1976" s="256"/>
      <c r="G1976" s="256"/>
      <c r="H1976" s="256"/>
      <c r="I1976" s="256"/>
      <c r="J1976" s="256"/>
      <c r="K1976" s="256"/>
    </row>
    <row r="1977" spans="1:11" ht="12.75" x14ac:dyDescent="0.35">
      <c r="A1977" s="256"/>
      <c r="B1977" s="256"/>
      <c r="C1977" s="256"/>
      <c r="D1977" s="256"/>
      <c r="E1977" s="256"/>
      <c r="F1977" s="256"/>
      <c r="G1977" s="256"/>
      <c r="H1977" s="256"/>
      <c r="I1977" s="256"/>
      <c r="J1977" s="256"/>
      <c r="K1977" s="256"/>
    </row>
    <row r="1978" spans="1:11" ht="12.75" x14ac:dyDescent="0.35">
      <c r="A1978" s="256"/>
      <c r="B1978" s="256"/>
      <c r="C1978" s="256"/>
      <c r="D1978" s="256"/>
      <c r="E1978" s="256"/>
      <c r="F1978" s="256"/>
      <c r="G1978" s="256"/>
      <c r="H1978" s="256"/>
      <c r="I1978" s="256"/>
      <c r="J1978" s="256"/>
      <c r="K1978" s="256"/>
    </row>
    <row r="1979" spans="1:11" ht="12.75" x14ac:dyDescent="0.35">
      <c r="A1979" s="256"/>
      <c r="B1979" s="256"/>
      <c r="C1979" s="256"/>
      <c r="D1979" s="256"/>
      <c r="E1979" s="256"/>
      <c r="F1979" s="256"/>
      <c r="G1979" s="256"/>
      <c r="H1979" s="256"/>
      <c r="I1979" s="256"/>
      <c r="J1979" s="256"/>
      <c r="K1979" s="256"/>
    </row>
    <row r="1980" spans="1:11" ht="12.75" x14ac:dyDescent="0.35">
      <c r="A1980" s="256"/>
      <c r="B1980" s="256"/>
      <c r="C1980" s="256"/>
      <c r="D1980" s="256"/>
      <c r="E1980" s="256"/>
      <c r="F1980" s="256"/>
      <c r="G1980" s="256"/>
      <c r="H1980" s="256"/>
      <c r="I1980" s="256"/>
      <c r="J1980" s="256"/>
      <c r="K1980" s="256"/>
    </row>
    <row r="1981" spans="1:11" ht="12.75" x14ac:dyDescent="0.35">
      <c r="A1981" s="256"/>
      <c r="B1981" s="256"/>
      <c r="C1981" s="256"/>
      <c r="D1981" s="256"/>
      <c r="E1981" s="256"/>
      <c r="F1981" s="256"/>
      <c r="G1981" s="256"/>
      <c r="H1981" s="256"/>
      <c r="I1981" s="256"/>
      <c r="J1981" s="256"/>
      <c r="K1981" s="256"/>
    </row>
    <row r="1982" spans="1:11" ht="12.75" x14ac:dyDescent="0.35">
      <c r="A1982" s="256"/>
      <c r="B1982" s="256"/>
      <c r="C1982" s="256"/>
      <c r="D1982" s="256"/>
      <c r="E1982" s="256"/>
      <c r="F1982" s="256"/>
      <c r="G1982" s="256"/>
      <c r="H1982" s="256"/>
      <c r="I1982" s="256"/>
      <c r="J1982" s="256"/>
      <c r="K1982" s="256"/>
    </row>
    <row r="1983" spans="1:11" ht="12.75" x14ac:dyDescent="0.35">
      <c r="A1983" s="256"/>
      <c r="B1983" s="256"/>
      <c r="C1983" s="256"/>
      <c r="D1983" s="256"/>
      <c r="E1983" s="256"/>
      <c r="F1983" s="256"/>
      <c r="G1983" s="256"/>
      <c r="H1983" s="256"/>
      <c r="I1983" s="256"/>
      <c r="J1983" s="256"/>
      <c r="K1983" s="256"/>
    </row>
    <row r="1984" spans="1:11" ht="12.75" x14ac:dyDescent="0.35">
      <c r="A1984" s="256"/>
      <c r="B1984" s="256"/>
      <c r="C1984" s="256"/>
      <c r="D1984" s="256"/>
      <c r="E1984" s="256"/>
      <c r="F1984" s="256"/>
      <c r="G1984" s="256"/>
      <c r="H1984" s="256"/>
      <c r="I1984" s="256"/>
      <c r="J1984" s="256"/>
      <c r="K1984" s="256"/>
    </row>
    <row r="1985" spans="1:11" ht="12.75" x14ac:dyDescent="0.35">
      <c r="A1985" s="256"/>
      <c r="B1985" s="256"/>
      <c r="C1985" s="256"/>
      <c r="D1985" s="256"/>
      <c r="E1985" s="256"/>
      <c r="F1985" s="256"/>
      <c r="G1985" s="256"/>
      <c r="H1985" s="256"/>
      <c r="I1985" s="256"/>
      <c r="J1985" s="256"/>
      <c r="K1985" s="256"/>
    </row>
    <row r="1986" spans="1:11" ht="12.75" x14ac:dyDescent="0.35">
      <c r="A1986" s="256"/>
      <c r="B1986" s="256"/>
      <c r="C1986" s="256"/>
      <c r="D1986" s="256"/>
      <c r="E1986" s="256"/>
      <c r="F1986" s="256"/>
      <c r="G1986" s="256"/>
      <c r="H1986" s="256"/>
      <c r="I1986" s="256"/>
      <c r="J1986" s="256"/>
      <c r="K1986" s="256"/>
    </row>
    <row r="1987" spans="1:11" ht="12.75" x14ac:dyDescent="0.35">
      <c r="A1987" s="256"/>
      <c r="B1987" s="256"/>
      <c r="C1987" s="256"/>
      <c r="D1987" s="256"/>
      <c r="E1987" s="256"/>
      <c r="F1987" s="256"/>
      <c r="G1987" s="256"/>
      <c r="H1987" s="256"/>
      <c r="I1987" s="256"/>
      <c r="J1987" s="256"/>
      <c r="K1987" s="256"/>
    </row>
    <row r="1988" spans="1:11" ht="12.75" x14ac:dyDescent="0.35">
      <c r="A1988" s="256"/>
      <c r="B1988" s="256"/>
      <c r="C1988" s="256"/>
      <c r="D1988" s="256"/>
      <c r="E1988" s="256"/>
      <c r="F1988" s="256"/>
      <c r="G1988" s="256"/>
      <c r="H1988" s="256"/>
      <c r="I1988" s="256"/>
      <c r="J1988" s="256"/>
      <c r="K1988" s="256"/>
    </row>
    <row r="1989" spans="1:11" ht="12.75" x14ac:dyDescent="0.35">
      <c r="A1989" s="256"/>
      <c r="B1989" s="256"/>
      <c r="C1989" s="256"/>
      <c r="D1989" s="256"/>
      <c r="E1989" s="256"/>
      <c r="F1989" s="256"/>
      <c r="G1989" s="256"/>
      <c r="H1989" s="256"/>
      <c r="I1989" s="256"/>
      <c r="J1989" s="256"/>
      <c r="K1989" s="256"/>
    </row>
    <row r="1990" spans="1:11" ht="12.75" x14ac:dyDescent="0.35">
      <c r="A1990" s="256"/>
      <c r="B1990" s="256"/>
      <c r="C1990" s="256"/>
      <c r="D1990" s="256"/>
      <c r="E1990" s="256"/>
      <c r="F1990" s="256"/>
      <c r="G1990" s="256"/>
      <c r="H1990" s="256"/>
      <c r="I1990" s="256"/>
      <c r="J1990" s="256"/>
      <c r="K1990" s="256"/>
    </row>
    <row r="1991" spans="1:11" ht="12.75" x14ac:dyDescent="0.35">
      <c r="A1991" s="256"/>
      <c r="B1991" s="256"/>
      <c r="C1991" s="256"/>
      <c r="D1991" s="256"/>
      <c r="E1991" s="256"/>
      <c r="F1991" s="256"/>
      <c r="G1991" s="256"/>
      <c r="H1991" s="256"/>
      <c r="I1991" s="256"/>
      <c r="J1991" s="256"/>
      <c r="K1991" s="256"/>
    </row>
    <row r="1992" spans="1:11" ht="12.75" x14ac:dyDescent="0.35">
      <c r="A1992" s="256"/>
      <c r="B1992" s="256"/>
      <c r="C1992" s="256"/>
      <c r="D1992" s="256"/>
      <c r="E1992" s="256"/>
      <c r="F1992" s="256"/>
      <c r="G1992" s="256"/>
      <c r="H1992" s="256"/>
      <c r="I1992" s="256"/>
      <c r="J1992" s="256"/>
      <c r="K1992" s="256"/>
    </row>
    <row r="1993" spans="1:11" ht="12.75" x14ac:dyDescent="0.35">
      <c r="A1993" s="256"/>
      <c r="B1993" s="256"/>
      <c r="C1993" s="256"/>
      <c r="D1993" s="256"/>
      <c r="E1993" s="256"/>
      <c r="F1993" s="256"/>
      <c r="G1993" s="256"/>
      <c r="H1993" s="256"/>
      <c r="I1993" s="256"/>
      <c r="J1993" s="256"/>
      <c r="K1993" s="256"/>
    </row>
    <row r="1994" spans="1:11" ht="12.75" x14ac:dyDescent="0.35">
      <c r="A1994" s="256"/>
      <c r="B1994" s="256"/>
      <c r="C1994" s="256"/>
      <c r="D1994" s="256"/>
      <c r="E1994" s="256"/>
      <c r="F1994" s="256"/>
      <c r="G1994" s="256"/>
      <c r="H1994" s="256"/>
      <c r="I1994" s="256"/>
      <c r="J1994" s="256"/>
      <c r="K1994" s="256"/>
    </row>
    <row r="1995" spans="1:11" ht="12.75" x14ac:dyDescent="0.35">
      <c r="A1995" s="256"/>
      <c r="B1995" s="256"/>
      <c r="C1995" s="256"/>
      <c r="D1995" s="256"/>
      <c r="E1995" s="256"/>
      <c r="F1995" s="256"/>
      <c r="G1995" s="256"/>
      <c r="H1995" s="256"/>
      <c r="I1995" s="256"/>
      <c r="J1995" s="256"/>
      <c r="K1995" s="256"/>
    </row>
    <row r="1996" spans="1:11" ht="12.75" x14ac:dyDescent="0.35">
      <c r="A1996" s="256"/>
      <c r="B1996" s="256"/>
      <c r="C1996" s="256"/>
      <c r="D1996" s="256"/>
      <c r="E1996" s="256"/>
      <c r="F1996" s="256"/>
      <c r="G1996" s="256"/>
      <c r="H1996" s="256"/>
      <c r="I1996" s="256"/>
      <c r="J1996" s="256"/>
      <c r="K1996" s="256"/>
    </row>
    <row r="1997" spans="1:11" ht="12.75" x14ac:dyDescent="0.35">
      <c r="A1997" s="256"/>
      <c r="B1997" s="256"/>
      <c r="C1997" s="256"/>
      <c r="D1997" s="256"/>
      <c r="E1997" s="256"/>
      <c r="F1997" s="256"/>
      <c r="G1997" s="256"/>
      <c r="H1997" s="256"/>
      <c r="I1997" s="256"/>
      <c r="J1997" s="256"/>
      <c r="K1997" s="256"/>
    </row>
    <row r="1998" spans="1:11" ht="12.75" x14ac:dyDescent="0.35">
      <c r="A1998" s="256"/>
      <c r="B1998" s="256"/>
      <c r="C1998" s="256"/>
      <c r="D1998" s="256"/>
      <c r="E1998" s="256"/>
      <c r="F1998" s="256"/>
      <c r="G1998" s="256"/>
      <c r="H1998" s="256"/>
      <c r="I1998" s="256"/>
      <c r="J1998" s="256"/>
      <c r="K1998" s="256"/>
    </row>
    <row r="1999" spans="1:11" ht="12.75" x14ac:dyDescent="0.35">
      <c r="A1999" s="256"/>
      <c r="B1999" s="256"/>
      <c r="C1999" s="256"/>
      <c r="D1999" s="256"/>
      <c r="E1999" s="256"/>
      <c r="F1999" s="256"/>
      <c r="G1999" s="256"/>
      <c r="H1999" s="256"/>
      <c r="I1999" s="256"/>
      <c r="J1999" s="256"/>
      <c r="K1999" s="256"/>
    </row>
    <row r="2000" spans="1:11" ht="12.75" x14ac:dyDescent="0.35">
      <c r="A2000" s="256"/>
      <c r="B2000" s="256"/>
      <c r="C2000" s="256"/>
      <c r="D2000" s="256"/>
      <c r="E2000" s="256"/>
      <c r="F2000" s="256"/>
      <c r="G2000" s="256"/>
      <c r="H2000" s="256"/>
      <c r="I2000" s="256"/>
      <c r="J2000" s="256"/>
      <c r="K2000" s="256"/>
    </row>
    <row r="2001" spans="1:11" ht="12.75" x14ac:dyDescent="0.35">
      <c r="A2001" s="256"/>
      <c r="B2001" s="256"/>
      <c r="C2001" s="256"/>
      <c r="D2001" s="256"/>
      <c r="E2001" s="256"/>
      <c r="F2001" s="256"/>
      <c r="G2001" s="256"/>
      <c r="H2001" s="256"/>
      <c r="I2001" s="256"/>
      <c r="J2001" s="256"/>
      <c r="K2001" s="256"/>
    </row>
    <row r="2002" spans="1:11" ht="12.75" x14ac:dyDescent="0.35">
      <c r="A2002" s="256"/>
      <c r="B2002" s="256"/>
      <c r="C2002" s="256"/>
      <c r="D2002" s="256"/>
      <c r="E2002" s="256"/>
      <c r="F2002" s="256"/>
      <c r="G2002" s="256"/>
      <c r="H2002" s="256"/>
      <c r="I2002" s="256"/>
      <c r="J2002" s="256"/>
      <c r="K2002" s="256"/>
    </row>
    <row r="2003" spans="1:11" ht="12.75" x14ac:dyDescent="0.35">
      <c r="A2003" s="256"/>
      <c r="B2003" s="256"/>
      <c r="C2003" s="256"/>
      <c r="D2003" s="256"/>
      <c r="E2003" s="256"/>
      <c r="F2003" s="256"/>
      <c r="G2003" s="256"/>
      <c r="H2003" s="256"/>
      <c r="I2003" s="256"/>
      <c r="J2003" s="256"/>
      <c r="K2003" s="256"/>
    </row>
    <row r="2004" spans="1:11" ht="12.75" x14ac:dyDescent="0.35">
      <c r="A2004" s="256"/>
      <c r="B2004" s="256"/>
      <c r="C2004" s="256"/>
      <c r="D2004" s="256"/>
      <c r="E2004" s="256"/>
      <c r="F2004" s="256"/>
      <c r="G2004" s="256"/>
      <c r="H2004" s="256"/>
      <c r="I2004" s="256"/>
      <c r="J2004" s="256"/>
      <c r="K2004" s="256"/>
    </row>
    <row r="2005" spans="1:11" ht="12.75" x14ac:dyDescent="0.35">
      <c r="A2005" s="256"/>
      <c r="B2005" s="256"/>
      <c r="C2005" s="256"/>
      <c r="D2005" s="256"/>
      <c r="E2005" s="256"/>
      <c r="F2005" s="256"/>
      <c r="G2005" s="256"/>
      <c r="H2005" s="256"/>
      <c r="I2005" s="256"/>
      <c r="J2005" s="256"/>
      <c r="K2005" s="256"/>
    </row>
    <row r="2006" spans="1:11" ht="12.75" x14ac:dyDescent="0.35">
      <c r="A2006" s="256"/>
      <c r="B2006" s="256"/>
      <c r="C2006" s="256"/>
      <c r="D2006" s="256"/>
      <c r="E2006" s="256"/>
      <c r="F2006" s="256"/>
      <c r="G2006" s="256"/>
      <c r="H2006" s="256"/>
      <c r="I2006" s="256"/>
      <c r="J2006" s="256"/>
      <c r="K2006" s="256"/>
    </row>
    <row r="2007" spans="1:11" ht="12.75" x14ac:dyDescent="0.35">
      <c r="A2007" s="256"/>
      <c r="B2007" s="256"/>
      <c r="C2007" s="256"/>
      <c r="D2007" s="256"/>
      <c r="E2007" s="256"/>
      <c r="F2007" s="256"/>
      <c r="G2007" s="256"/>
      <c r="H2007" s="256"/>
      <c r="I2007" s="256"/>
      <c r="J2007" s="256"/>
      <c r="K2007" s="256"/>
    </row>
    <row r="2008" spans="1:11" ht="12.75" x14ac:dyDescent="0.35">
      <c r="A2008" s="256"/>
      <c r="B2008" s="256"/>
      <c r="C2008" s="256"/>
      <c r="D2008" s="256"/>
      <c r="E2008" s="256"/>
      <c r="F2008" s="256"/>
      <c r="G2008" s="256"/>
      <c r="H2008" s="256"/>
      <c r="I2008" s="256"/>
      <c r="J2008" s="256"/>
      <c r="K2008" s="256"/>
    </row>
    <row r="2009" spans="1:11" ht="12.75" x14ac:dyDescent="0.35">
      <c r="A2009" s="256"/>
      <c r="B2009" s="256"/>
      <c r="C2009" s="256"/>
      <c r="D2009" s="256"/>
      <c r="E2009" s="256"/>
      <c r="F2009" s="256"/>
      <c r="G2009" s="256"/>
      <c r="H2009" s="256"/>
      <c r="I2009" s="256"/>
      <c r="J2009" s="256"/>
      <c r="K2009" s="256"/>
    </row>
    <row r="2010" spans="1:11" ht="12.75" x14ac:dyDescent="0.35">
      <c r="A2010" s="256"/>
      <c r="B2010" s="256"/>
      <c r="C2010" s="256"/>
      <c r="D2010" s="256"/>
      <c r="E2010" s="256"/>
      <c r="F2010" s="256"/>
      <c r="G2010" s="256"/>
      <c r="H2010" s="256"/>
      <c r="I2010" s="256"/>
      <c r="J2010" s="256"/>
      <c r="K2010" s="256"/>
    </row>
    <row r="2011" spans="1:11" ht="12.75" x14ac:dyDescent="0.35">
      <c r="A2011" s="256"/>
      <c r="B2011" s="256"/>
      <c r="C2011" s="256"/>
      <c r="D2011" s="256"/>
      <c r="E2011" s="256"/>
      <c r="F2011" s="256"/>
      <c r="G2011" s="256"/>
      <c r="H2011" s="256"/>
      <c r="I2011" s="256"/>
      <c r="J2011" s="256"/>
      <c r="K2011" s="256"/>
    </row>
    <row r="2012" spans="1:11" ht="12.75" x14ac:dyDescent="0.35">
      <c r="A2012" s="256"/>
      <c r="B2012" s="256"/>
      <c r="C2012" s="256"/>
      <c r="D2012" s="256"/>
      <c r="E2012" s="256"/>
      <c r="F2012" s="256"/>
      <c r="G2012" s="256"/>
      <c r="H2012" s="256"/>
      <c r="I2012" s="256"/>
      <c r="J2012" s="256"/>
      <c r="K2012" s="256"/>
    </row>
    <row r="2013" spans="1:11" ht="12.75" x14ac:dyDescent="0.35">
      <c r="A2013" s="256"/>
      <c r="B2013" s="256"/>
      <c r="C2013" s="256"/>
      <c r="D2013" s="256"/>
      <c r="E2013" s="256"/>
      <c r="F2013" s="256"/>
      <c r="G2013" s="256"/>
      <c r="H2013" s="256"/>
      <c r="I2013" s="256"/>
      <c r="J2013" s="256"/>
      <c r="K2013" s="256"/>
    </row>
    <row r="2014" spans="1:11" ht="12.75" x14ac:dyDescent="0.35">
      <c r="A2014" s="256"/>
      <c r="B2014" s="256"/>
      <c r="C2014" s="256"/>
      <c r="D2014" s="256"/>
      <c r="E2014" s="256"/>
      <c r="F2014" s="256"/>
      <c r="G2014" s="256"/>
      <c r="H2014" s="256"/>
      <c r="I2014" s="256"/>
      <c r="J2014" s="256"/>
      <c r="K2014" s="256"/>
    </row>
    <row r="2015" spans="1:11" ht="12.75" x14ac:dyDescent="0.35">
      <c r="A2015" s="256"/>
      <c r="B2015" s="256"/>
      <c r="C2015" s="256"/>
      <c r="D2015" s="256"/>
      <c r="E2015" s="256"/>
      <c r="F2015" s="256"/>
      <c r="G2015" s="256"/>
      <c r="H2015" s="256"/>
      <c r="I2015" s="256"/>
      <c r="J2015" s="256"/>
      <c r="K2015" s="256"/>
    </row>
    <row r="2016" spans="1:11" ht="12.75" x14ac:dyDescent="0.35">
      <c r="A2016" s="256"/>
      <c r="B2016" s="256"/>
      <c r="C2016" s="256"/>
      <c r="D2016" s="256"/>
      <c r="E2016" s="256"/>
      <c r="F2016" s="256"/>
      <c r="G2016" s="256"/>
      <c r="H2016" s="256"/>
      <c r="I2016" s="256"/>
      <c r="J2016" s="256"/>
      <c r="K2016" s="256"/>
    </row>
    <row r="2017" spans="1:11" ht="12.75" x14ac:dyDescent="0.35">
      <c r="A2017" s="256"/>
      <c r="B2017" s="256"/>
      <c r="C2017" s="256"/>
      <c r="D2017" s="256"/>
      <c r="E2017" s="256"/>
      <c r="F2017" s="256"/>
      <c r="G2017" s="256"/>
      <c r="H2017" s="256"/>
      <c r="I2017" s="256"/>
      <c r="J2017" s="256"/>
      <c r="K2017" s="256"/>
    </row>
    <row r="2018" spans="1:11" ht="12.75" x14ac:dyDescent="0.35">
      <c r="A2018" s="256"/>
      <c r="B2018" s="256"/>
      <c r="C2018" s="256"/>
      <c r="D2018" s="256"/>
      <c r="E2018" s="256"/>
      <c r="F2018" s="256"/>
      <c r="G2018" s="256"/>
      <c r="H2018" s="256"/>
      <c r="I2018" s="256"/>
      <c r="J2018" s="256"/>
      <c r="K2018" s="256"/>
    </row>
    <row r="2019" spans="1:11" ht="12.75" x14ac:dyDescent="0.35">
      <c r="A2019" s="256"/>
      <c r="B2019" s="256"/>
      <c r="C2019" s="256"/>
      <c r="D2019" s="256"/>
      <c r="E2019" s="256"/>
      <c r="F2019" s="256"/>
      <c r="G2019" s="256"/>
      <c r="H2019" s="256"/>
      <c r="I2019" s="256"/>
      <c r="J2019" s="256"/>
      <c r="K2019" s="256"/>
    </row>
    <row r="2020" spans="1:11" ht="12.75" x14ac:dyDescent="0.35">
      <c r="A2020" s="256"/>
      <c r="B2020" s="256"/>
      <c r="C2020" s="256"/>
      <c r="D2020" s="256"/>
      <c r="E2020" s="256"/>
      <c r="F2020" s="256"/>
      <c r="G2020" s="256"/>
      <c r="H2020" s="256"/>
      <c r="I2020" s="256"/>
      <c r="J2020" s="256"/>
      <c r="K2020" s="256"/>
    </row>
    <row r="2021" spans="1:11" ht="12.75" x14ac:dyDescent="0.35">
      <c r="A2021" s="256"/>
      <c r="B2021" s="256"/>
      <c r="C2021" s="256"/>
      <c r="D2021" s="256"/>
      <c r="E2021" s="256"/>
      <c r="F2021" s="256"/>
      <c r="G2021" s="256"/>
      <c r="H2021" s="256"/>
      <c r="I2021" s="256"/>
      <c r="J2021" s="256"/>
      <c r="K2021" s="256"/>
    </row>
    <row r="2022" spans="1:11" ht="12.75" x14ac:dyDescent="0.35">
      <c r="A2022" s="256"/>
      <c r="B2022" s="256"/>
      <c r="C2022" s="256"/>
      <c r="D2022" s="256"/>
      <c r="E2022" s="256"/>
      <c r="F2022" s="256"/>
      <c r="G2022" s="256"/>
      <c r="H2022" s="256"/>
      <c r="I2022" s="256"/>
      <c r="J2022" s="256"/>
      <c r="K2022" s="256"/>
    </row>
    <row r="2023" spans="1:11" ht="12.75" x14ac:dyDescent="0.35">
      <c r="A2023" s="256"/>
      <c r="B2023" s="256"/>
      <c r="C2023" s="256"/>
      <c r="D2023" s="256"/>
      <c r="E2023" s="256"/>
      <c r="F2023" s="256"/>
      <c r="G2023" s="256"/>
      <c r="H2023" s="256"/>
      <c r="I2023" s="256"/>
      <c r="J2023" s="256"/>
      <c r="K2023" s="256"/>
    </row>
    <row r="2024" spans="1:11" ht="12.75" x14ac:dyDescent="0.35">
      <c r="A2024" s="256"/>
      <c r="B2024" s="256"/>
      <c r="C2024" s="256"/>
      <c r="D2024" s="256"/>
      <c r="E2024" s="256"/>
      <c r="F2024" s="256"/>
      <c r="G2024" s="256"/>
      <c r="H2024" s="256"/>
      <c r="I2024" s="256"/>
      <c r="J2024" s="256"/>
      <c r="K2024" s="256"/>
    </row>
    <row r="2025" spans="1:11" ht="12.75" x14ac:dyDescent="0.35">
      <c r="A2025" s="256"/>
      <c r="B2025" s="256"/>
      <c r="C2025" s="256"/>
      <c r="D2025" s="256"/>
      <c r="E2025" s="256"/>
      <c r="F2025" s="256"/>
      <c r="G2025" s="256"/>
      <c r="H2025" s="256"/>
      <c r="I2025" s="256"/>
      <c r="J2025" s="256"/>
      <c r="K2025" s="256"/>
    </row>
    <row r="2026" spans="1:11" ht="12.75" x14ac:dyDescent="0.35">
      <c r="A2026" s="256"/>
      <c r="B2026" s="256"/>
      <c r="C2026" s="256"/>
      <c r="D2026" s="256"/>
      <c r="E2026" s="256"/>
      <c r="F2026" s="256"/>
      <c r="G2026" s="256"/>
      <c r="H2026" s="256"/>
      <c r="I2026" s="256"/>
      <c r="J2026" s="256"/>
      <c r="K2026" s="256"/>
    </row>
    <row r="2027" spans="1:11" ht="12.75" x14ac:dyDescent="0.35">
      <c r="A2027" s="256"/>
      <c r="B2027" s="256"/>
      <c r="C2027" s="256"/>
      <c r="D2027" s="256"/>
      <c r="E2027" s="256"/>
      <c r="F2027" s="256"/>
      <c r="G2027" s="256"/>
      <c r="H2027" s="256"/>
      <c r="I2027" s="256"/>
      <c r="J2027" s="256"/>
      <c r="K2027" s="256"/>
    </row>
    <row r="2028" spans="1:11" ht="12.75" x14ac:dyDescent="0.35">
      <c r="A2028" s="256"/>
      <c r="B2028" s="256"/>
      <c r="C2028" s="256"/>
      <c r="D2028" s="256"/>
      <c r="E2028" s="256"/>
      <c r="F2028" s="256"/>
      <c r="G2028" s="256"/>
      <c r="H2028" s="256"/>
      <c r="I2028" s="256"/>
      <c r="J2028" s="256"/>
      <c r="K2028" s="256"/>
    </row>
    <row r="2029" spans="1:11" ht="12.75" x14ac:dyDescent="0.35">
      <c r="A2029" s="256"/>
      <c r="B2029" s="256"/>
      <c r="C2029" s="256"/>
      <c r="D2029" s="256"/>
      <c r="E2029" s="256"/>
      <c r="F2029" s="256"/>
      <c r="G2029" s="256"/>
      <c r="H2029" s="256"/>
      <c r="I2029" s="256"/>
      <c r="J2029" s="256"/>
      <c r="K2029" s="256"/>
    </row>
    <row r="2030" spans="1:11" ht="12.75" x14ac:dyDescent="0.35">
      <c r="A2030" s="256"/>
      <c r="B2030" s="256"/>
      <c r="C2030" s="256"/>
      <c r="D2030" s="256"/>
      <c r="E2030" s="256"/>
      <c r="F2030" s="256"/>
      <c r="G2030" s="256"/>
      <c r="H2030" s="256"/>
      <c r="I2030" s="256"/>
      <c r="J2030" s="256"/>
      <c r="K2030" s="256"/>
    </row>
    <row r="2031" spans="1:11" ht="12.75" x14ac:dyDescent="0.35">
      <c r="A2031" s="256"/>
      <c r="B2031" s="256"/>
      <c r="C2031" s="256"/>
      <c r="D2031" s="256"/>
      <c r="E2031" s="256"/>
      <c r="F2031" s="256"/>
      <c r="G2031" s="256"/>
      <c r="H2031" s="256"/>
      <c r="I2031" s="256"/>
      <c r="J2031" s="256"/>
      <c r="K2031" s="256"/>
    </row>
    <row r="2032" spans="1:11" ht="12.75" x14ac:dyDescent="0.35">
      <c r="A2032" s="256"/>
      <c r="B2032" s="256"/>
      <c r="C2032" s="256"/>
      <c r="D2032" s="256"/>
      <c r="E2032" s="256"/>
      <c r="F2032" s="256"/>
      <c r="G2032" s="256"/>
      <c r="H2032" s="256"/>
      <c r="I2032" s="256"/>
      <c r="J2032" s="256"/>
      <c r="K2032" s="256"/>
    </row>
    <row r="2033" spans="1:11" ht="12.75" x14ac:dyDescent="0.35">
      <c r="A2033" s="256"/>
      <c r="B2033" s="256"/>
      <c r="C2033" s="256"/>
      <c r="D2033" s="256"/>
      <c r="E2033" s="256"/>
      <c r="F2033" s="256"/>
      <c r="G2033" s="256"/>
      <c r="H2033" s="256"/>
      <c r="I2033" s="256"/>
      <c r="J2033" s="256"/>
      <c r="K2033" s="256"/>
    </row>
    <row r="2034" spans="1:11" ht="12.75" x14ac:dyDescent="0.35">
      <c r="A2034" s="256"/>
      <c r="B2034" s="256"/>
      <c r="C2034" s="256"/>
      <c r="D2034" s="256"/>
      <c r="E2034" s="256"/>
      <c r="F2034" s="256"/>
      <c r="G2034" s="256"/>
      <c r="H2034" s="256"/>
      <c r="I2034" s="256"/>
      <c r="J2034" s="256"/>
      <c r="K2034" s="256"/>
    </row>
    <row r="2035" spans="1:11" ht="12.75" x14ac:dyDescent="0.35">
      <c r="A2035" s="256"/>
      <c r="B2035" s="256"/>
      <c r="C2035" s="256"/>
      <c r="D2035" s="256"/>
      <c r="E2035" s="256"/>
      <c r="F2035" s="256"/>
      <c r="G2035" s="256"/>
      <c r="H2035" s="256"/>
      <c r="I2035" s="256"/>
      <c r="J2035" s="256"/>
      <c r="K2035" s="256"/>
    </row>
    <row r="2036" spans="1:11" ht="12.75" x14ac:dyDescent="0.35">
      <c r="A2036" s="256"/>
      <c r="B2036" s="256"/>
      <c r="C2036" s="256"/>
      <c r="D2036" s="256"/>
      <c r="E2036" s="256"/>
      <c r="F2036" s="256"/>
      <c r="G2036" s="256"/>
      <c r="H2036" s="256"/>
      <c r="I2036" s="256"/>
      <c r="J2036" s="256"/>
      <c r="K2036" s="256"/>
    </row>
    <row r="2037" spans="1:11" ht="12.75" x14ac:dyDescent="0.35">
      <c r="A2037" s="256"/>
      <c r="B2037" s="256"/>
      <c r="C2037" s="256"/>
      <c r="D2037" s="256"/>
      <c r="E2037" s="256"/>
      <c r="F2037" s="256"/>
      <c r="G2037" s="256"/>
      <c r="H2037" s="256"/>
      <c r="I2037" s="256"/>
      <c r="J2037" s="256"/>
      <c r="K2037" s="256"/>
    </row>
    <row r="2038" spans="1:11" ht="12.75" x14ac:dyDescent="0.35">
      <c r="A2038" s="256"/>
      <c r="B2038" s="256"/>
      <c r="C2038" s="256"/>
      <c r="D2038" s="256"/>
      <c r="E2038" s="256"/>
      <c r="F2038" s="256"/>
      <c r="G2038" s="256"/>
      <c r="H2038" s="256"/>
      <c r="I2038" s="256"/>
      <c r="J2038" s="256"/>
      <c r="K2038" s="256"/>
    </row>
    <row r="2039" spans="1:11" ht="12.75" x14ac:dyDescent="0.35">
      <c r="A2039" s="256"/>
      <c r="B2039" s="256"/>
      <c r="C2039" s="256"/>
      <c r="D2039" s="256"/>
      <c r="E2039" s="256"/>
      <c r="F2039" s="256"/>
      <c r="G2039" s="256"/>
      <c r="H2039" s="256"/>
      <c r="I2039" s="256"/>
      <c r="J2039" s="256"/>
      <c r="K2039" s="256"/>
    </row>
    <row r="2040" spans="1:11" ht="12.75" x14ac:dyDescent="0.35">
      <c r="A2040" s="256"/>
      <c r="B2040" s="256"/>
      <c r="C2040" s="256"/>
      <c r="D2040" s="256"/>
      <c r="E2040" s="256"/>
      <c r="F2040" s="256"/>
      <c r="G2040" s="256"/>
      <c r="H2040" s="256"/>
      <c r="I2040" s="256"/>
      <c r="J2040" s="256"/>
      <c r="K2040" s="256"/>
    </row>
    <row r="2041" spans="1:11" ht="12.75" x14ac:dyDescent="0.35">
      <c r="A2041" s="256"/>
      <c r="B2041" s="256"/>
      <c r="C2041" s="256"/>
      <c r="D2041" s="256"/>
      <c r="E2041" s="256"/>
      <c r="F2041" s="256"/>
      <c r="G2041" s="256"/>
      <c r="H2041" s="256"/>
      <c r="I2041" s="256"/>
      <c r="J2041" s="256"/>
      <c r="K2041" s="256"/>
    </row>
    <row r="2042" spans="1:11" ht="12.75" x14ac:dyDescent="0.35">
      <c r="A2042" s="256"/>
      <c r="B2042" s="256"/>
      <c r="C2042" s="256"/>
      <c r="D2042" s="256"/>
      <c r="E2042" s="256"/>
      <c r="F2042" s="256"/>
      <c r="G2042" s="256"/>
      <c r="H2042" s="256"/>
      <c r="I2042" s="256"/>
      <c r="J2042" s="256"/>
      <c r="K2042" s="256"/>
    </row>
    <row r="2043" spans="1:11" ht="12.75" x14ac:dyDescent="0.35">
      <c r="A2043" s="256"/>
      <c r="B2043" s="256"/>
      <c r="C2043" s="256"/>
      <c r="D2043" s="256"/>
      <c r="E2043" s="256"/>
      <c r="F2043" s="256"/>
      <c r="G2043" s="256"/>
      <c r="H2043" s="256"/>
      <c r="I2043" s="256"/>
      <c r="J2043" s="256"/>
      <c r="K2043" s="256"/>
    </row>
    <row r="2044" spans="1:11" ht="12.75" x14ac:dyDescent="0.35">
      <c r="A2044" s="256"/>
      <c r="B2044" s="256"/>
      <c r="C2044" s="256"/>
      <c r="D2044" s="256"/>
      <c r="E2044" s="256"/>
      <c r="F2044" s="256"/>
      <c r="G2044" s="256"/>
      <c r="H2044" s="256"/>
      <c r="I2044" s="256"/>
      <c r="J2044" s="256"/>
      <c r="K2044" s="256"/>
    </row>
    <row r="2045" spans="1:11" ht="12.75" x14ac:dyDescent="0.35">
      <c r="A2045" s="256"/>
      <c r="B2045" s="256"/>
      <c r="C2045" s="256"/>
      <c r="D2045" s="256"/>
      <c r="E2045" s="256"/>
      <c r="F2045" s="256"/>
      <c r="G2045" s="256"/>
      <c r="H2045" s="256"/>
      <c r="I2045" s="256"/>
      <c r="J2045" s="256"/>
      <c r="K2045" s="256"/>
    </row>
    <row r="2046" spans="1:11" ht="12.75" x14ac:dyDescent="0.35">
      <c r="A2046" s="256"/>
      <c r="B2046" s="256"/>
      <c r="C2046" s="256"/>
      <c r="D2046" s="256"/>
      <c r="E2046" s="256"/>
      <c r="F2046" s="256"/>
      <c r="G2046" s="256"/>
      <c r="H2046" s="256"/>
      <c r="I2046" s="256"/>
      <c r="J2046" s="256"/>
      <c r="K2046" s="256"/>
    </row>
    <row r="2047" spans="1:11" ht="12.75" x14ac:dyDescent="0.35">
      <c r="A2047" s="256"/>
      <c r="B2047" s="256"/>
      <c r="C2047" s="256"/>
      <c r="D2047" s="256"/>
      <c r="E2047" s="256"/>
      <c r="F2047" s="256"/>
      <c r="G2047" s="256"/>
      <c r="H2047" s="256"/>
      <c r="I2047" s="256"/>
      <c r="J2047" s="256"/>
      <c r="K2047" s="256"/>
    </row>
    <row r="2048" spans="1:11" ht="12.75" x14ac:dyDescent="0.35">
      <c r="A2048" s="256"/>
      <c r="B2048" s="256"/>
      <c r="C2048" s="256"/>
      <c r="D2048" s="256"/>
      <c r="E2048" s="256"/>
      <c r="F2048" s="256"/>
      <c r="G2048" s="256"/>
      <c r="H2048" s="256"/>
      <c r="I2048" s="256"/>
      <c r="J2048" s="256"/>
      <c r="K2048" s="256"/>
    </row>
    <row r="2049" spans="1:11" ht="12.75" x14ac:dyDescent="0.35">
      <c r="A2049" s="256"/>
      <c r="B2049" s="256"/>
      <c r="C2049" s="256"/>
      <c r="D2049" s="256"/>
      <c r="E2049" s="256"/>
      <c r="F2049" s="256"/>
      <c r="G2049" s="256"/>
      <c r="H2049" s="256"/>
      <c r="I2049" s="256"/>
      <c r="J2049" s="256"/>
      <c r="K2049" s="256"/>
    </row>
    <row r="2050" spans="1:11" ht="12.75" x14ac:dyDescent="0.35">
      <c r="A2050" s="256"/>
      <c r="B2050" s="256"/>
      <c r="C2050" s="256"/>
      <c r="D2050" s="256"/>
      <c r="E2050" s="256"/>
      <c r="F2050" s="256"/>
      <c r="G2050" s="256"/>
      <c r="H2050" s="256"/>
      <c r="I2050" s="256"/>
      <c r="J2050" s="256"/>
      <c r="K2050" s="256"/>
    </row>
    <row r="2051" spans="1:11" ht="12.75" x14ac:dyDescent="0.35">
      <c r="A2051" s="256"/>
      <c r="B2051" s="256"/>
      <c r="C2051" s="256"/>
      <c r="D2051" s="256"/>
      <c r="E2051" s="256"/>
      <c r="F2051" s="256"/>
      <c r="G2051" s="256"/>
      <c r="H2051" s="256"/>
      <c r="I2051" s="256"/>
      <c r="J2051" s="256"/>
      <c r="K2051" s="256"/>
    </row>
    <row r="2052" spans="1:11" ht="12.75" x14ac:dyDescent="0.35">
      <c r="A2052" s="256"/>
      <c r="B2052" s="256"/>
      <c r="C2052" s="256"/>
      <c r="D2052" s="256"/>
      <c r="E2052" s="256"/>
      <c r="F2052" s="256"/>
      <c r="G2052" s="256"/>
      <c r="H2052" s="256"/>
      <c r="I2052" s="256"/>
      <c r="J2052" s="256"/>
      <c r="K2052" s="256"/>
    </row>
    <row r="2053" spans="1:11" ht="12.75" x14ac:dyDescent="0.35">
      <c r="A2053" s="256"/>
      <c r="B2053" s="256"/>
      <c r="C2053" s="256"/>
      <c r="D2053" s="256"/>
      <c r="E2053" s="256"/>
      <c r="F2053" s="256"/>
      <c r="G2053" s="256"/>
      <c r="H2053" s="256"/>
      <c r="I2053" s="256"/>
      <c r="J2053" s="256"/>
      <c r="K2053" s="256"/>
    </row>
    <row r="2054" spans="1:11" ht="12.75" x14ac:dyDescent="0.35">
      <c r="A2054" s="256"/>
      <c r="B2054" s="256"/>
      <c r="C2054" s="256"/>
      <c r="D2054" s="256"/>
      <c r="E2054" s="256"/>
      <c r="F2054" s="256"/>
      <c r="G2054" s="256"/>
      <c r="H2054" s="256"/>
      <c r="I2054" s="256"/>
      <c r="J2054" s="256"/>
      <c r="K2054" s="256"/>
    </row>
    <row r="2055" spans="1:11" ht="12.75" x14ac:dyDescent="0.35">
      <c r="A2055" s="256"/>
      <c r="B2055" s="256"/>
      <c r="C2055" s="256"/>
      <c r="D2055" s="256"/>
      <c r="E2055" s="256"/>
      <c r="F2055" s="256"/>
      <c r="G2055" s="256"/>
      <c r="H2055" s="256"/>
      <c r="I2055" s="256"/>
      <c r="J2055" s="256"/>
      <c r="K2055" s="256"/>
    </row>
    <row r="2056" spans="1:11" ht="12.75" x14ac:dyDescent="0.35">
      <c r="A2056" s="256"/>
      <c r="B2056" s="256"/>
      <c r="C2056" s="256"/>
      <c r="D2056" s="256"/>
      <c r="E2056" s="256"/>
      <c r="F2056" s="256"/>
      <c r="G2056" s="256"/>
      <c r="H2056" s="256"/>
      <c r="I2056" s="256"/>
      <c r="J2056" s="256"/>
      <c r="K2056" s="256"/>
    </row>
    <row r="2057" spans="1:11" ht="12.75" x14ac:dyDescent="0.35">
      <c r="A2057" s="256"/>
      <c r="B2057" s="256"/>
      <c r="C2057" s="256"/>
      <c r="D2057" s="256"/>
      <c r="E2057" s="256"/>
      <c r="F2057" s="256"/>
      <c r="G2057" s="256"/>
      <c r="H2057" s="256"/>
      <c r="I2057" s="256"/>
      <c r="J2057" s="256"/>
      <c r="K2057" s="256"/>
    </row>
    <row r="2058" spans="1:11" ht="12.75" x14ac:dyDescent="0.35">
      <c r="A2058" s="256"/>
      <c r="B2058" s="256"/>
      <c r="C2058" s="256"/>
      <c r="D2058" s="256"/>
      <c r="E2058" s="256"/>
      <c r="F2058" s="256"/>
      <c r="G2058" s="256"/>
      <c r="H2058" s="256"/>
      <c r="I2058" s="256"/>
      <c r="J2058" s="256"/>
      <c r="K2058" s="256"/>
    </row>
    <row r="2059" spans="1:11" ht="12.75" x14ac:dyDescent="0.35">
      <c r="A2059" s="256"/>
      <c r="B2059" s="256"/>
      <c r="C2059" s="256"/>
      <c r="D2059" s="256"/>
      <c r="E2059" s="256"/>
      <c r="F2059" s="256"/>
      <c r="G2059" s="256"/>
      <c r="H2059" s="256"/>
      <c r="I2059" s="256"/>
      <c r="J2059" s="256"/>
      <c r="K2059" s="256"/>
    </row>
    <row r="2060" spans="1:11" ht="12.75" x14ac:dyDescent="0.35">
      <c r="A2060" s="256"/>
      <c r="B2060" s="256"/>
      <c r="C2060" s="256"/>
      <c r="D2060" s="256"/>
      <c r="E2060" s="256"/>
      <c r="F2060" s="256"/>
      <c r="G2060" s="256"/>
      <c r="H2060" s="256"/>
      <c r="I2060" s="256"/>
      <c r="J2060" s="256"/>
      <c r="K2060" s="256"/>
    </row>
    <row r="2061" spans="1:11" ht="12.75" x14ac:dyDescent="0.35">
      <c r="A2061" s="256"/>
      <c r="B2061" s="256"/>
      <c r="C2061" s="256"/>
      <c r="D2061" s="256"/>
      <c r="E2061" s="256"/>
      <c r="F2061" s="256"/>
      <c r="G2061" s="256"/>
      <c r="H2061" s="256"/>
      <c r="I2061" s="256"/>
      <c r="J2061" s="256"/>
      <c r="K2061" s="256"/>
    </row>
    <row r="2062" spans="1:11" ht="12.75" x14ac:dyDescent="0.35">
      <c r="A2062" s="256"/>
      <c r="B2062" s="256"/>
      <c r="C2062" s="256"/>
      <c r="D2062" s="256"/>
      <c r="E2062" s="256"/>
      <c r="F2062" s="256"/>
      <c r="G2062" s="256"/>
      <c r="H2062" s="256"/>
      <c r="I2062" s="256"/>
      <c r="J2062" s="256"/>
      <c r="K2062" s="256"/>
    </row>
    <row r="2063" spans="1:11" ht="12.75" x14ac:dyDescent="0.35">
      <c r="A2063" s="256"/>
      <c r="B2063" s="256"/>
      <c r="C2063" s="256"/>
      <c r="D2063" s="256"/>
      <c r="E2063" s="256"/>
      <c r="F2063" s="256"/>
      <c r="G2063" s="256"/>
      <c r="H2063" s="256"/>
      <c r="I2063" s="256"/>
      <c r="J2063" s="256"/>
      <c r="K2063" s="256"/>
    </row>
  </sheetData>
  <phoneticPr fontId="39" type="noConversion"/>
  <printOptions gridLines="1"/>
  <pageMargins left="0.25" right="0.25" top="0.65" bottom="0" header="0.19" footer="0"/>
  <pageSetup scale="78" orientation="portrait" horizontalDpi="300" verticalDpi="300" r:id="rId1"/>
  <headerFooter alignWithMargins="0">
    <oddHeader>&amp;L2/15/12 9:01 PM_x000D_K. Dow File&amp;CTOWN OF TOPSFIELD FINANCE COMMITTEE_x000D_BUDGET WORKSHEETS TAX RECAP SUMMARY_x000D_&amp;R&amp;P_x000D_&amp;"Arial,Bold"&amp;12VERSION 2.0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336"/>
  <sheetViews>
    <sheetView tabSelected="1" topLeftCell="A34" zoomScaleNormal="100" workbookViewId="0">
      <selection activeCell="AB47" sqref="AB47"/>
    </sheetView>
  </sheetViews>
  <sheetFormatPr defaultColWidth="4" defaultRowHeight="27" customHeight="1" outlineLevelRow="1" outlineLevelCol="1" x14ac:dyDescent="0.3"/>
  <cols>
    <col min="1" max="1" width="33.33203125" style="1393" customWidth="1"/>
    <col min="2" max="3" width="10.86328125" style="1216" hidden="1" customWidth="1"/>
    <col min="4" max="4" width="11" style="1216" hidden="1" customWidth="1"/>
    <col min="5" max="5" width="10.46484375" style="1216" hidden="1" customWidth="1"/>
    <col min="6" max="16" width="11.86328125" style="1216" hidden="1" customWidth="1"/>
    <col min="17" max="18" width="10" style="1216" hidden="1" customWidth="1"/>
    <col min="19" max="19" width="8.1328125" style="1216" hidden="1" customWidth="1"/>
    <col min="20" max="20" width="10.86328125" style="1216" hidden="1" customWidth="1"/>
    <col min="21" max="21" width="8.33203125" style="1216" hidden="1" customWidth="1"/>
    <col min="22" max="22" width="12" style="1216" hidden="1" customWidth="1"/>
    <col min="23" max="23" width="11.6640625" style="1216" hidden="1" customWidth="1"/>
    <col min="24" max="25" width="10.6640625" style="1216" customWidth="1" outlineLevel="1"/>
    <col min="26" max="26" width="11.46484375" style="1216" customWidth="1" outlineLevel="1"/>
    <col min="27" max="28" width="10.6640625" style="1216" customWidth="1"/>
    <col min="29" max="29" width="9.33203125" style="1216" customWidth="1"/>
    <col min="30" max="30" width="8.46484375" style="1216" customWidth="1"/>
    <col min="31" max="31" width="8.53125" style="1393" customWidth="1"/>
    <col min="32" max="32" width="11.86328125" style="1221" hidden="1" customWidth="1" outlineLevel="1"/>
    <col min="33" max="33" width="9" style="1221" hidden="1" customWidth="1" outlineLevel="1"/>
    <col min="34" max="34" width="7.33203125" style="1221" hidden="1" customWidth="1" outlineLevel="1"/>
    <col min="35" max="35" width="17.33203125" style="1221" hidden="1" customWidth="1" outlineLevel="1"/>
    <col min="36" max="36" width="16.86328125" style="1221" hidden="1" customWidth="1" outlineLevel="1"/>
    <col min="37" max="37" width="7.53125" style="1221" hidden="1" customWidth="1" outlineLevel="1"/>
    <col min="38" max="38" width="9.1328125" style="1221" hidden="1" customWidth="1" outlineLevel="1"/>
    <col min="39" max="39" width="8.6640625" style="1221" hidden="1" customWidth="1" outlineLevel="1"/>
    <col min="40" max="40" width="15.1328125" style="1221" customWidth="1" collapsed="1"/>
    <col min="41" max="41" width="18.6640625" style="1221" hidden="1" customWidth="1"/>
    <col min="42" max="44" width="10.6640625" style="1221" hidden="1" customWidth="1"/>
    <col min="45" max="45" width="9.6640625" style="1221" hidden="1" customWidth="1"/>
    <col min="46" max="46" width="18.53125" style="1221" customWidth="1"/>
    <col min="47" max="47" width="12.6640625" style="1221" customWidth="1"/>
    <col min="48" max="48" width="11.1328125" style="1221" customWidth="1"/>
    <col min="49" max="56" width="6.6640625" style="1221" customWidth="1"/>
    <col min="57" max="57" width="8.53125" style="1221" customWidth="1"/>
    <col min="58" max="16384" width="4" style="1221"/>
  </cols>
  <sheetData>
    <row r="1" spans="1:56" ht="11.25" customHeight="1" thickBot="1" x14ac:dyDescent="0.35">
      <c r="AF1" s="1393"/>
      <c r="AG1" s="1393"/>
      <c r="AH1" s="1393"/>
      <c r="AI1" s="1393"/>
      <c r="AJ1" s="1393"/>
      <c r="AK1" s="1393"/>
      <c r="AL1" s="1393"/>
      <c r="AM1" s="1393"/>
    </row>
    <row r="2" spans="1:56" ht="16.5" customHeight="1" x14ac:dyDescent="0.35">
      <c r="A2" s="1210"/>
      <c r="B2" s="1211"/>
      <c r="C2" s="1211"/>
      <c r="D2" s="1211"/>
      <c r="E2" s="1211"/>
      <c r="F2" s="1211"/>
      <c r="G2" s="1212"/>
      <c r="H2" s="1213"/>
      <c r="I2" s="1212"/>
      <c r="J2" s="1212"/>
      <c r="K2" s="1214"/>
      <c r="L2" s="1215"/>
      <c r="M2" s="1215"/>
      <c r="N2" s="1215"/>
      <c r="O2" s="1215"/>
      <c r="Q2" s="1215"/>
      <c r="R2" s="1217"/>
      <c r="S2" s="1215"/>
      <c r="T2" s="1215"/>
      <c r="U2" s="1215"/>
      <c r="V2" s="1215"/>
      <c r="W2" s="1215"/>
      <c r="X2" s="1215"/>
      <c r="Y2" s="1215"/>
      <c r="Z2" s="1215"/>
      <c r="AA2" s="1215"/>
      <c r="AB2" s="1215"/>
      <c r="AC2" s="1215"/>
      <c r="AD2" s="1215"/>
      <c r="AE2" s="1218"/>
      <c r="AF2" s="2178" t="s">
        <v>1136</v>
      </c>
      <c r="AG2" s="2179" t="s">
        <v>1137</v>
      </c>
      <c r="AH2" s="2179" t="s">
        <v>1138</v>
      </c>
      <c r="AI2" s="2179" t="s">
        <v>1108</v>
      </c>
      <c r="AJ2" s="2180" t="s">
        <v>1144</v>
      </c>
      <c r="AK2" s="1219"/>
      <c r="AL2" s="1219"/>
      <c r="AM2" s="1219"/>
      <c r="AN2" s="1219"/>
      <c r="AO2" s="1219"/>
      <c r="AP2" s="1220"/>
    </row>
    <row r="3" spans="1:56" ht="14.25" customHeight="1" thickBot="1" x14ac:dyDescent="0.4">
      <c r="A3" s="1210"/>
      <c r="B3" s="1222"/>
      <c r="C3" s="1223"/>
      <c r="D3" s="1223"/>
      <c r="E3" s="1223"/>
      <c r="F3" s="1223"/>
      <c r="G3" s="1224"/>
      <c r="H3" s="1225"/>
      <c r="I3" s="1224"/>
      <c r="J3" s="1224"/>
      <c r="K3" s="1226"/>
      <c r="L3" s="1227"/>
      <c r="M3" s="1227"/>
      <c r="N3" s="1227"/>
      <c r="O3" s="1227"/>
      <c r="Q3" s="1227"/>
      <c r="R3" s="1228"/>
      <c r="S3" s="1227"/>
      <c r="T3" s="1227"/>
      <c r="U3" s="1227"/>
      <c r="V3" s="1227"/>
      <c r="W3" s="1227"/>
      <c r="X3" s="1227"/>
      <c r="Y3" s="1227"/>
      <c r="Z3" s="1227"/>
      <c r="AA3" s="1227"/>
      <c r="AB3" s="1227"/>
      <c r="AC3" s="1227"/>
      <c r="AD3" s="1227"/>
      <c r="AE3" s="1230"/>
      <c r="AF3" s="2181"/>
      <c r="AG3" s="2182">
        <v>30385855</v>
      </c>
      <c r="AH3" s="2183">
        <v>0.03</v>
      </c>
      <c r="AI3" s="2184">
        <f>AG3*(1+AH3)</f>
        <v>31297430.650000002</v>
      </c>
      <c r="AJ3" s="2193" t="e">
        <f>AI3*'Masco Calculation'!#REF!</f>
        <v>#REF!</v>
      </c>
      <c r="AK3" s="1231"/>
      <c r="AL3" s="1231"/>
      <c r="AM3" s="1231"/>
      <c r="AN3" s="1231"/>
      <c r="AO3" s="1229"/>
      <c r="AP3" s="1232">
        <f>AO3-AO4</f>
        <v>0</v>
      </c>
    </row>
    <row r="4" spans="1:56" ht="14.25" customHeight="1" thickBot="1" x14ac:dyDescent="0.45">
      <c r="A4" s="1210"/>
      <c r="B4" s="1222"/>
      <c r="C4" s="1223"/>
      <c r="D4" s="1223"/>
      <c r="E4" s="1223"/>
      <c r="F4" s="1223"/>
      <c r="G4" s="1224"/>
      <c r="H4" s="1225"/>
      <c r="I4" s="1224"/>
      <c r="J4" s="1224"/>
      <c r="K4" s="1233"/>
      <c r="L4" s="1234"/>
      <c r="M4" s="1234"/>
      <c r="N4" s="1234"/>
      <c r="O4" s="1234"/>
      <c r="Q4" s="1234"/>
      <c r="R4" s="1235"/>
      <c r="S4" s="1234"/>
      <c r="T4" s="1234"/>
      <c r="U4" s="1234"/>
      <c r="V4" s="1234"/>
      <c r="W4" s="1234"/>
      <c r="X4" s="1234"/>
      <c r="Y4" s="1234"/>
      <c r="Z4" s="1234"/>
      <c r="AA4" s="1234"/>
      <c r="AB4" s="1234"/>
      <c r="AC4" s="1234"/>
      <c r="AD4" s="1234"/>
      <c r="AE4" s="1236"/>
      <c r="AF4" s="2147" t="s">
        <v>1135</v>
      </c>
      <c r="AG4" s="2148" t="s">
        <v>1139</v>
      </c>
      <c r="AH4" s="2148" t="s">
        <v>1140</v>
      </c>
      <c r="AI4" s="2148" t="s">
        <v>1141</v>
      </c>
      <c r="AJ4" s="2148" t="s">
        <v>1142</v>
      </c>
      <c r="AK4" s="2148" t="s">
        <v>620</v>
      </c>
      <c r="AL4" s="2148" t="s">
        <v>1134</v>
      </c>
      <c r="AM4" s="2149" t="s">
        <v>1143</v>
      </c>
      <c r="AN4" s="1231"/>
      <c r="AO4" s="1229"/>
      <c r="AP4" s="1237"/>
    </row>
    <row r="5" spans="1:56" s="1242" customFormat="1" ht="12" customHeight="1" x14ac:dyDescent="0.35">
      <c r="A5" s="1238"/>
      <c r="B5" s="1239"/>
      <c r="C5" s="1239"/>
      <c r="D5" s="1239"/>
      <c r="E5" s="1239"/>
      <c r="F5" s="1239"/>
      <c r="G5" s="1239"/>
      <c r="H5" s="1239"/>
      <c r="I5" s="1239"/>
      <c r="J5" s="1239"/>
      <c r="K5" s="1239"/>
      <c r="L5" s="1240"/>
      <c r="M5" s="1240"/>
      <c r="N5" s="1240"/>
      <c r="O5" s="1240" t="s">
        <v>178</v>
      </c>
      <c r="P5" s="1241" t="s">
        <v>178</v>
      </c>
      <c r="Q5" s="1240" t="s">
        <v>178</v>
      </c>
      <c r="R5" s="1240" t="s">
        <v>178</v>
      </c>
      <c r="S5" s="1240" t="s">
        <v>178</v>
      </c>
      <c r="T5" s="1240" t="s">
        <v>178</v>
      </c>
      <c r="U5" s="1548" t="s">
        <v>920</v>
      </c>
      <c r="V5" s="1240" t="s">
        <v>178</v>
      </c>
      <c r="W5" s="1240" t="s">
        <v>178</v>
      </c>
      <c r="X5" s="1240" t="s">
        <v>178</v>
      </c>
      <c r="Y5" s="1240" t="s">
        <v>178</v>
      </c>
      <c r="Z5" s="1240" t="s">
        <v>178</v>
      </c>
      <c r="AA5" s="1240" t="s">
        <v>178</v>
      </c>
      <c r="AB5" s="1240" t="s">
        <v>178</v>
      </c>
      <c r="AC5" s="2614" t="s">
        <v>348</v>
      </c>
      <c r="AD5" s="2615"/>
      <c r="AE5" s="2126"/>
      <c r="AF5" s="2171" t="s">
        <v>1145</v>
      </c>
      <c r="AG5" s="2618" t="s">
        <v>1153</v>
      </c>
      <c r="AH5" s="2618" t="s">
        <v>1155</v>
      </c>
      <c r="AI5" s="2620" t="s">
        <v>1157</v>
      </c>
      <c r="AJ5" s="2158" t="s">
        <v>1148</v>
      </c>
      <c r="AK5" s="2158" t="s">
        <v>1150</v>
      </c>
      <c r="AL5" s="2622" t="s">
        <v>1159</v>
      </c>
      <c r="AM5" s="2616" t="s">
        <v>1160</v>
      </c>
      <c r="AN5" s="2125"/>
      <c r="AO5" s="1229"/>
      <c r="AP5" s="1237"/>
      <c r="AT5"/>
    </row>
    <row r="6" spans="1:56" s="1242" customFormat="1" ht="12" customHeight="1" x14ac:dyDescent="0.35">
      <c r="A6" s="1238"/>
      <c r="B6" s="1243" t="s">
        <v>349</v>
      </c>
      <c r="C6" s="1243" t="s">
        <v>349</v>
      </c>
      <c r="D6" s="1243" t="s">
        <v>349</v>
      </c>
      <c r="E6" s="1243" t="s">
        <v>349</v>
      </c>
      <c r="F6" s="1243" t="s">
        <v>349</v>
      </c>
      <c r="G6" s="1243" t="s">
        <v>349</v>
      </c>
      <c r="H6" s="1243" t="s">
        <v>349</v>
      </c>
      <c r="I6" s="1243" t="s">
        <v>349</v>
      </c>
      <c r="J6" s="1243" t="s">
        <v>349</v>
      </c>
      <c r="K6" s="1243" t="s">
        <v>349</v>
      </c>
      <c r="L6" s="1241" t="s">
        <v>349</v>
      </c>
      <c r="M6" s="1241" t="s">
        <v>349</v>
      </c>
      <c r="N6" s="1241" t="s">
        <v>349</v>
      </c>
      <c r="O6" s="1241" t="s">
        <v>349</v>
      </c>
      <c r="P6" s="1241" t="s">
        <v>349</v>
      </c>
      <c r="Q6" s="1241" t="s">
        <v>349</v>
      </c>
      <c r="R6" s="1241" t="s">
        <v>349</v>
      </c>
      <c r="S6" s="1241" t="s">
        <v>349</v>
      </c>
      <c r="T6" s="1241" t="s">
        <v>349</v>
      </c>
      <c r="U6" s="1549" t="s">
        <v>921</v>
      </c>
      <c r="V6" s="1241" t="s">
        <v>349</v>
      </c>
      <c r="W6" s="1241" t="s">
        <v>349</v>
      </c>
      <c r="X6" s="1241" t="s">
        <v>349</v>
      </c>
      <c r="Y6" s="1241" t="s">
        <v>349</v>
      </c>
      <c r="Z6" s="1241" t="s">
        <v>349</v>
      </c>
      <c r="AA6" s="1241" t="s">
        <v>349</v>
      </c>
      <c r="AB6" s="1241" t="s">
        <v>349</v>
      </c>
      <c r="AC6" s="2612" t="s">
        <v>1055</v>
      </c>
      <c r="AD6" s="2613"/>
      <c r="AE6" s="2127" t="s">
        <v>350</v>
      </c>
      <c r="AF6" s="2172" t="s">
        <v>1151</v>
      </c>
      <c r="AG6" s="2619"/>
      <c r="AH6" s="2619"/>
      <c r="AI6" s="2621"/>
      <c r="AJ6" s="2159" t="s">
        <v>1149</v>
      </c>
      <c r="AK6" s="2159" t="s">
        <v>1147</v>
      </c>
      <c r="AL6" s="2623"/>
      <c r="AM6" s="2617"/>
      <c r="AN6" s="2125"/>
      <c r="AO6" s="1229"/>
      <c r="AP6" s="1237"/>
    </row>
    <row r="7" spans="1:56" s="1242" customFormat="1" ht="12" customHeight="1" thickBot="1" x14ac:dyDescent="0.3">
      <c r="A7" s="1244"/>
      <c r="B7" s="1245">
        <v>2000</v>
      </c>
      <c r="C7" s="1245">
        <v>2001</v>
      </c>
      <c r="D7" s="1245">
        <v>2002</v>
      </c>
      <c r="E7" s="1245">
        <v>2003</v>
      </c>
      <c r="F7" s="1245">
        <v>2004</v>
      </c>
      <c r="G7" s="1245">
        <v>2005</v>
      </c>
      <c r="H7" s="1245">
        <v>2006</v>
      </c>
      <c r="I7" s="1245">
        <v>2007</v>
      </c>
      <c r="J7" s="1245">
        <v>2008</v>
      </c>
      <c r="K7" s="1245">
        <v>2009</v>
      </c>
      <c r="L7" s="1241">
        <v>2010</v>
      </c>
      <c r="M7" s="1246">
        <v>2011</v>
      </c>
      <c r="N7" s="1246">
        <v>2012</v>
      </c>
      <c r="O7" s="1246">
        <v>2013</v>
      </c>
      <c r="P7" s="1246">
        <v>2014</v>
      </c>
      <c r="Q7" s="1246">
        <v>2015</v>
      </c>
      <c r="R7" s="1246">
        <v>2016</v>
      </c>
      <c r="S7" s="1246">
        <v>2017</v>
      </c>
      <c r="T7" s="1246">
        <v>2018</v>
      </c>
      <c r="U7" s="1550" t="s">
        <v>923</v>
      </c>
      <c r="V7" s="1246">
        <v>2019</v>
      </c>
      <c r="W7" s="1246">
        <v>2020</v>
      </c>
      <c r="X7" s="1246">
        <v>2021</v>
      </c>
      <c r="Y7" s="1246">
        <v>2022</v>
      </c>
      <c r="Z7" s="1246">
        <v>2023</v>
      </c>
      <c r="AA7" s="1246">
        <v>2024</v>
      </c>
      <c r="AB7" s="1246">
        <v>2025</v>
      </c>
      <c r="AC7" s="1246" t="s">
        <v>157</v>
      </c>
      <c r="AD7" s="1246" t="s">
        <v>158</v>
      </c>
      <c r="AE7" s="2128" t="s">
        <v>938</v>
      </c>
      <c r="AF7" s="2173" t="e">
        <f>#REF!</f>
        <v>#REF!</v>
      </c>
      <c r="AG7" s="2619"/>
      <c r="AH7" s="2619"/>
      <c r="AI7" s="2621"/>
      <c r="AJ7" s="2159"/>
      <c r="AK7" s="2159"/>
      <c r="AL7" s="2623"/>
      <c r="AM7" s="2617"/>
      <c r="AN7" s="2125"/>
      <c r="AV7" s="1615">
        <f>V7</f>
        <v>2019</v>
      </c>
      <c r="AW7" s="1615">
        <f>W7</f>
        <v>2020</v>
      </c>
      <c r="AX7" s="1615">
        <f>X7</f>
        <v>2021</v>
      </c>
      <c r="AY7" s="1615">
        <f>Y7</f>
        <v>2022</v>
      </c>
      <c r="AZ7" s="1615">
        <f>Z7</f>
        <v>2023</v>
      </c>
      <c r="BA7" s="1615">
        <f t="shared" ref="BA7:BB7" si="0">AA7</f>
        <v>2024</v>
      </c>
      <c r="BB7" s="1615">
        <f t="shared" si="0"/>
        <v>2025</v>
      </c>
      <c r="BD7" s="1242" t="s">
        <v>1233</v>
      </c>
    </row>
    <row r="8" spans="1:56" ht="12" customHeight="1" x14ac:dyDescent="0.3">
      <c r="A8" s="1247" t="s">
        <v>351</v>
      </c>
      <c r="B8" s="1248"/>
      <c r="C8" s="1248"/>
      <c r="D8" s="1248"/>
      <c r="E8" s="1248"/>
      <c r="F8" s="1248"/>
      <c r="G8" s="1248"/>
      <c r="H8" s="1249"/>
      <c r="I8" s="1250"/>
      <c r="J8" s="1251"/>
      <c r="K8" s="1250"/>
      <c r="L8" s="1251"/>
      <c r="M8" s="1252"/>
      <c r="N8" s="1252"/>
      <c r="O8" s="1252"/>
      <c r="P8" s="1252"/>
      <c r="Q8" s="1252"/>
      <c r="R8" s="1252"/>
      <c r="S8" s="1252"/>
      <c r="T8" s="1252"/>
      <c r="U8" s="1551"/>
      <c r="V8" s="1252"/>
      <c r="W8" s="1252"/>
      <c r="X8" s="1252"/>
      <c r="Y8" s="1252"/>
      <c r="Z8" s="1252"/>
      <c r="AA8" s="1252"/>
      <c r="AB8" s="1252"/>
      <c r="AC8" s="1252"/>
      <c r="AD8" s="1252"/>
      <c r="AE8" s="2129"/>
      <c r="AF8" s="2150"/>
      <c r="AG8" s="1242"/>
      <c r="AH8" s="1242"/>
      <c r="AI8" s="2151"/>
      <c r="AJ8" s="2151"/>
      <c r="AK8" s="2151"/>
      <c r="AL8" s="2124"/>
      <c r="AM8" s="2191" t="s">
        <v>1161</v>
      </c>
      <c r="AN8" s="2124"/>
      <c r="AO8" s="1253" t="s">
        <v>12</v>
      </c>
      <c r="AP8" s="1254" t="s">
        <v>120</v>
      </c>
      <c r="AQ8" s="1254" t="s">
        <v>72</v>
      </c>
      <c r="AR8" s="1254" t="s">
        <v>104</v>
      </c>
      <c r="AS8" s="1255" t="s">
        <v>105</v>
      </c>
    </row>
    <row r="9" spans="1:56" ht="12" customHeight="1" x14ac:dyDescent="0.3">
      <c r="A9" s="1247" t="s">
        <v>352</v>
      </c>
      <c r="B9" s="1248"/>
      <c r="C9" s="1248"/>
      <c r="D9" s="1248"/>
      <c r="E9" s="1248"/>
      <c r="F9" s="1248"/>
      <c r="G9" s="1248"/>
      <c r="H9" s="1249"/>
      <c r="I9" s="1249"/>
      <c r="J9" s="1248"/>
      <c r="K9" s="1249"/>
      <c r="L9" s="1248"/>
      <c r="M9" s="1256"/>
      <c r="N9" s="1256"/>
      <c r="O9" s="1256"/>
      <c r="P9" s="1256"/>
      <c r="Q9" s="1256"/>
      <c r="R9" s="1256"/>
      <c r="S9" s="1256"/>
      <c r="T9" s="1256"/>
      <c r="U9" s="1552"/>
      <c r="V9" s="1256"/>
      <c r="W9" s="1256"/>
      <c r="X9" s="1256"/>
      <c r="Y9" s="1256"/>
      <c r="Z9" s="1256"/>
      <c r="AA9" s="1256"/>
      <c r="AB9" s="1256"/>
      <c r="AC9" s="1256"/>
      <c r="AD9" s="1256"/>
      <c r="AE9" s="2130"/>
      <c r="AF9" s="2150"/>
      <c r="AG9" s="1242"/>
      <c r="AH9" s="1242"/>
      <c r="AI9" s="2151"/>
      <c r="AJ9" s="2151"/>
      <c r="AK9" s="2151"/>
      <c r="AL9" s="2124"/>
      <c r="AM9" s="2191" t="s">
        <v>1162</v>
      </c>
      <c r="AN9" s="2124"/>
      <c r="AO9" s="1257" t="s">
        <v>454</v>
      </c>
      <c r="AP9" s="1258"/>
      <c r="AQ9" s="1259" t="s">
        <v>121</v>
      </c>
      <c r="AR9" s="1258"/>
      <c r="AS9" s="1260"/>
    </row>
    <row r="10" spans="1:56" ht="12" customHeight="1" x14ac:dyDescent="0.3">
      <c r="A10" s="1261" t="s">
        <v>212</v>
      </c>
      <c r="B10" s="1248">
        <v>707217</v>
      </c>
      <c r="C10" s="1248">
        <v>761942</v>
      </c>
      <c r="D10" s="1248">
        <v>789744</v>
      </c>
      <c r="E10" s="1248">
        <v>794773</v>
      </c>
      <c r="F10" s="1248">
        <v>825640</v>
      </c>
      <c r="G10" s="1248">
        <v>846554</v>
      </c>
      <c r="H10" s="1249">
        <v>902538</v>
      </c>
      <c r="I10" s="1249">
        <f>SUM(BUDGET!J120)</f>
        <v>973767.8</v>
      </c>
      <c r="J10" s="1248">
        <f>BUDGET!L120</f>
        <v>1012972.2500000001</v>
      </c>
      <c r="K10" s="1249">
        <f>BUDGET!M120</f>
        <v>1041980.4890000001</v>
      </c>
      <c r="L10" s="1262">
        <v>999386</v>
      </c>
      <c r="M10" s="1256">
        <f>BUDGET!Q120</f>
        <v>993857</v>
      </c>
      <c r="N10" s="1256">
        <f>BUDGET!S120</f>
        <v>1006005</v>
      </c>
      <c r="O10" s="1256">
        <v>1047394</v>
      </c>
      <c r="P10" s="1256">
        <v>1079135</v>
      </c>
      <c r="Q10" s="1256">
        <v>1128773</v>
      </c>
      <c r="R10" s="1256">
        <v>1219221</v>
      </c>
      <c r="S10" s="1256">
        <f>BUDGET!AC120</f>
        <v>1256977</v>
      </c>
      <c r="T10" s="1256">
        <f>BUDGET!AE120</f>
        <v>1426424.01</v>
      </c>
      <c r="U10" s="1552"/>
      <c r="V10" s="1256">
        <f>BUDGET!AH120</f>
        <v>1485270</v>
      </c>
      <c r="W10" s="1256">
        <f>BUDGET!AJ120</f>
        <v>1648459</v>
      </c>
      <c r="X10" s="1256">
        <f>BUDGET!AL120</f>
        <v>1664254</v>
      </c>
      <c r="Y10" s="1256">
        <f>BUDGET!AN120</f>
        <v>1705960</v>
      </c>
      <c r="Z10" s="1256">
        <f>BUDGET!AP120</f>
        <v>1758942</v>
      </c>
      <c r="AA10" s="1256">
        <f>BUDGET!AR120</f>
        <v>1790386</v>
      </c>
      <c r="AB10" s="1256">
        <f>BUDGET!AT120</f>
        <v>1838689</v>
      </c>
      <c r="AC10" s="1256">
        <f>AB10-AA10</f>
        <v>48303</v>
      </c>
      <c r="AD10" s="1263">
        <f>IF(AC10&gt;0,AC10/AA10,"")</f>
        <v>2.6979098362029195E-2</v>
      </c>
      <c r="AE10" s="2131"/>
      <c r="AF10" s="2162" t="e">
        <f>SUM(#REF!)</f>
        <v>#REF!</v>
      </c>
      <c r="AG10" s="2163" t="e">
        <f>SUM(#REF!)</f>
        <v>#REF!</v>
      </c>
      <c r="AH10" s="2163">
        <v>300000</v>
      </c>
      <c r="AI10" s="2164"/>
      <c r="AJ10" s="1256" t="e">
        <f>AA10+SUM(AF10:AI10)</f>
        <v>#REF!</v>
      </c>
      <c r="AK10" s="1263" t="e">
        <f>AJ10/Z10-1</f>
        <v>#REF!</v>
      </c>
      <c r="AM10" s="2187"/>
      <c r="AN10" s="2452"/>
      <c r="AO10" s="1264" t="s">
        <v>106</v>
      </c>
      <c r="AP10" s="1265"/>
      <c r="AQ10" s="1265"/>
      <c r="AR10" s="1265"/>
      <c r="AS10" s="1266"/>
      <c r="AU10" s="1221" t="s">
        <v>1234</v>
      </c>
      <c r="AV10" s="1614">
        <f>V10/T10-1</f>
        <v>4.1254206033730423E-2</v>
      </c>
      <c r="AW10" s="1614">
        <f t="shared" ref="AW10:AW19" si="1">W10/V10-1</f>
        <v>0.10987160583597588</v>
      </c>
      <c r="AX10" s="1614">
        <f t="shared" ref="AX10:AX19" si="2">X10/W10-1</f>
        <v>9.5816759773825755E-3</v>
      </c>
      <c r="AY10" s="1614">
        <f t="shared" ref="AY10:AY19" si="3">Y10/X10-1</f>
        <v>2.5059876677478332E-2</v>
      </c>
      <c r="AZ10" s="1614">
        <f t="shared" ref="AZ10:AZ19" si="4">Z10/Y10-1</f>
        <v>3.1057000164130377E-2</v>
      </c>
      <c r="BA10" s="1614">
        <f t="shared" ref="BA10:BA19" si="5">AA10/Z10-1</f>
        <v>1.7876655398529451E-2</v>
      </c>
      <c r="BB10" s="1614">
        <f t="shared" ref="BB10:BB19" si="6">AB10/AA10-1</f>
        <v>2.6979098362029275E-2</v>
      </c>
      <c r="BC10" s="1221">
        <f>AB10/V10</f>
        <v>1.2379493290782146</v>
      </c>
      <c r="BD10" s="2077">
        <f>POWER(BC10,1/6)-1</f>
        <v>3.621643968022803E-2</v>
      </c>
    </row>
    <row r="11" spans="1:56" ht="12" customHeight="1" x14ac:dyDescent="0.3">
      <c r="A11" s="77" t="s">
        <v>939</v>
      </c>
      <c r="B11" s="1248">
        <v>1280973</v>
      </c>
      <c r="C11" s="1248">
        <v>1414966</v>
      </c>
      <c r="D11" s="1248">
        <v>1530851</v>
      </c>
      <c r="E11" s="1248">
        <v>1580050</v>
      </c>
      <c r="F11" s="1248">
        <v>1618436</v>
      </c>
      <c r="G11" s="1248">
        <v>1673596</v>
      </c>
      <c r="H11" s="1249">
        <v>1830570</v>
      </c>
      <c r="I11" s="1249">
        <f>SUM(BUDGET!J170)</f>
        <v>1998243</v>
      </c>
      <c r="J11" s="1248">
        <f>BUDGET!L170</f>
        <v>2022927.2700000003</v>
      </c>
      <c r="K11" s="1249">
        <f>BUDGET!M170</f>
        <v>2100331</v>
      </c>
      <c r="L11" s="1262">
        <v>2056994</v>
      </c>
      <c r="M11" s="1256">
        <f>BUDGET!Q170</f>
        <v>2077627</v>
      </c>
      <c r="N11" s="1256">
        <f>BUDGET!S170</f>
        <v>2063925</v>
      </c>
      <c r="O11" s="1256">
        <v>2087872</v>
      </c>
      <c r="P11" s="1256">
        <v>2005455</v>
      </c>
      <c r="Q11" s="1256">
        <v>2119289</v>
      </c>
      <c r="R11" s="1256">
        <v>2344822</v>
      </c>
      <c r="S11" s="1256">
        <f>BUDGET!AC170</f>
        <v>2456239</v>
      </c>
      <c r="T11" s="1256">
        <f>BUDGET!AE170</f>
        <v>2473539</v>
      </c>
      <c r="U11" s="1553">
        <f>T11+15662</f>
        <v>2489201</v>
      </c>
      <c r="V11" s="1256">
        <f>BUDGET!AH170</f>
        <v>2613676</v>
      </c>
      <c r="W11" s="1256">
        <f>BUDGET!AJ170</f>
        <v>2696952.46</v>
      </c>
      <c r="X11" s="1256">
        <f>BUDGET!AL170</f>
        <v>2871188</v>
      </c>
      <c r="Y11" s="1256">
        <f>BUDGET!AN170</f>
        <v>2926406</v>
      </c>
      <c r="Z11" s="1256">
        <f>BUDGET!AP170</f>
        <v>3082797</v>
      </c>
      <c r="AA11" s="1256">
        <f>BUDGET!AR170</f>
        <v>3095942</v>
      </c>
      <c r="AB11" s="1256">
        <f>BUDGET!AT170</f>
        <v>3200089</v>
      </c>
      <c r="AC11" s="1256">
        <f t="shared" ref="AC11:AC56" si="7">AB11-AA11</f>
        <v>104147</v>
      </c>
      <c r="AD11" s="1263">
        <f t="shared" ref="AD11:AD56" si="8">IF(AC11&gt;0,AC11/AA11,"")</f>
        <v>3.3639842090064993E-2</v>
      </c>
      <c r="AE11" s="2132"/>
      <c r="AF11" s="2162" t="e">
        <f>SUM(#REF!)</f>
        <v>#REF!</v>
      </c>
      <c r="AG11" s="2163" t="e">
        <f>SUM(#REF!)</f>
        <v>#REF!</v>
      </c>
      <c r="AH11" s="2165"/>
      <c r="AI11" s="2166"/>
      <c r="AJ11" s="1256" t="e">
        <f t="shared" ref="AJ11:AJ19" si="9">AA11+SUM(AF11:AI11)</f>
        <v>#REF!</v>
      </c>
      <c r="AK11" s="1263" t="e">
        <f t="shared" ref="AK11:AK19" si="10">AJ11/Z11-1</f>
        <v>#REF!</v>
      </c>
      <c r="AL11" s="2152"/>
      <c r="AM11" s="2188"/>
      <c r="AN11" s="2124"/>
      <c r="AO11" s="1268" t="s">
        <v>107</v>
      </c>
      <c r="AP11" s="1269">
        <f>'STATE RECEIPTS'!L31</f>
        <v>1701576</v>
      </c>
      <c r="AQ11" s="1269">
        <f>'STATE RECEIPTS'!J31</f>
        <v>1789682</v>
      </c>
      <c r="AR11" s="1269">
        <f>AP11-AQ11</f>
        <v>-88106</v>
      </c>
      <c r="AS11" s="1270">
        <f>AR11/AQ11*100</f>
        <v>-4.9229974934094436</v>
      </c>
      <c r="AU11" s="1221" t="s">
        <v>1235</v>
      </c>
      <c r="AV11" s="1813">
        <f>V11/U11-1</f>
        <v>5.0006005943272536E-2</v>
      </c>
      <c r="AW11" s="1813">
        <f t="shared" si="1"/>
        <v>3.1861814547786249E-2</v>
      </c>
      <c r="AX11" s="1813">
        <f t="shared" si="2"/>
        <v>6.4604601892018554E-2</v>
      </c>
      <c r="AY11" s="1813">
        <f t="shared" si="3"/>
        <v>1.9231760511676743E-2</v>
      </c>
      <c r="AZ11" s="1813">
        <f t="shared" si="4"/>
        <v>5.3441320172252338E-2</v>
      </c>
      <c r="BA11" s="1813">
        <f t="shared" si="5"/>
        <v>4.2639849461381107E-3</v>
      </c>
      <c r="BB11" s="1813">
        <f t="shared" si="6"/>
        <v>3.3639842090064986E-2</v>
      </c>
      <c r="BC11" s="1221">
        <f t="shared" ref="BC11:BC16" si="11">AB11/V11</f>
        <v>1.2243633105250995</v>
      </c>
      <c r="BD11" s="2077">
        <f t="shared" ref="BD11:BD19" si="12">POWER(BC11,1/6)-1</f>
        <v>3.4312367881994543E-2</v>
      </c>
    </row>
    <row r="12" spans="1:56" ht="12" customHeight="1" x14ac:dyDescent="0.3">
      <c r="A12" s="1271" t="s">
        <v>353</v>
      </c>
      <c r="B12" s="1248">
        <v>3778140</v>
      </c>
      <c r="C12" s="1248">
        <v>4303130</v>
      </c>
      <c r="D12" s="1248">
        <v>4761226</v>
      </c>
      <c r="E12" s="1248">
        <v>4998311</v>
      </c>
      <c r="F12" s="1248">
        <v>5123312</v>
      </c>
      <c r="G12" s="1248">
        <v>5292163</v>
      </c>
      <c r="H12" s="1249">
        <v>5446878</v>
      </c>
      <c r="I12" s="1249">
        <f>SUM(BUDGET!J183)</f>
        <v>5757223</v>
      </c>
      <c r="J12" s="1248">
        <f>BUDGET!L183</f>
        <v>5906006.9800000004</v>
      </c>
      <c r="K12" s="1249">
        <f>BUDGET!M183</f>
        <v>6107838</v>
      </c>
      <c r="L12" s="1262">
        <v>5784941</v>
      </c>
      <c r="M12" s="1256">
        <f>BUDGET!Q183</f>
        <v>5781593</v>
      </c>
      <c r="N12" s="1256">
        <f>BUDGET!S183</f>
        <v>5974481</v>
      </c>
      <c r="O12" s="1256">
        <v>6093970.6200000001</v>
      </c>
      <c r="P12" s="1256">
        <v>6339065.0323999999</v>
      </c>
      <c r="Q12" s="1256">
        <v>6866919</v>
      </c>
      <c r="R12" s="1256">
        <v>7172203</v>
      </c>
      <c r="S12" s="1256">
        <f>BUDGET!AC183</f>
        <v>7602224</v>
      </c>
      <c r="T12" s="1256">
        <f>BUDGET!AE183</f>
        <v>7827171</v>
      </c>
      <c r="U12" s="1553"/>
      <c r="V12" s="1256">
        <f>BUDGET!AH183</f>
        <v>8108071</v>
      </c>
      <c r="W12" s="1256">
        <f>BUDGET!AJ183</f>
        <v>8913230</v>
      </c>
      <c r="X12" s="1256">
        <f>BUDGET!AL183</f>
        <v>9117902</v>
      </c>
      <c r="Y12" s="1256">
        <f>BUDGET!AN183-1</f>
        <v>9368643.3050000016</v>
      </c>
      <c r="Z12" s="1256">
        <f>BUDGET!AP183</f>
        <v>9735522.6341500022</v>
      </c>
      <c r="AA12" s="1256">
        <f>BUDGET!AR183</f>
        <v>11119268</v>
      </c>
      <c r="AB12" s="1256">
        <f>BUDGET!AT183</f>
        <v>11419452</v>
      </c>
      <c r="AC12" s="1256">
        <f t="shared" si="7"/>
        <v>300184</v>
      </c>
      <c r="AD12" s="1263">
        <f t="shared" si="8"/>
        <v>2.699674115238521E-2</v>
      </c>
      <c r="AE12" s="2133"/>
      <c r="AF12" s="2162"/>
      <c r="AG12" s="2163"/>
      <c r="AH12" s="2165"/>
      <c r="AI12" s="2168" t="e">
        <f>AH58*(-1)-AI19</f>
        <v>#REF!</v>
      </c>
      <c r="AJ12" s="1256" t="e">
        <f t="shared" si="9"/>
        <v>#REF!</v>
      </c>
      <c r="AK12" s="1263" t="e">
        <f t="shared" si="10"/>
        <v>#REF!</v>
      </c>
      <c r="AL12" s="2160">
        <v>11150237</v>
      </c>
      <c r="AM12" s="2189" t="e">
        <f>AL12-AJ12</f>
        <v>#REF!</v>
      </c>
      <c r="AN12" s="2250"/>
      <c r="AO12" s="1268" t="s">
        <v>108</v>
      </c>
      <c r="AP12" s="1269">
        <f>'SCH. A LOCAL RECEIPTS'!X32</f>
        <v>1241100</v>
      </c>
      <c r="AQ12" s="1269">
        <f>'SCH. A LOCAL RECEIPTS'!V32</f>
        <v>1214700</v>
      </c>
      <c r="AR12" s="1269">
        <f>AP12-AQ12</f>
        <v>26400</v>
      </c>
      <c r="AS12" s="1270">
        <f>AR12/AQ12*100</f>
        <v>2.1733761422573474</v>
      </c>
      <c r="AU12" s="1221" t="s">
        <v>1236</v>
      </c>
      <c r="AV12" s="1614">
        <f>V12/T12-1</f>
        <v>3.5887806718417181E-2</v>
      </c>
      <c r="AW12" s="1614">
        <f t="shared" si="1"/>
        <v>9.930339781188402E-2</v>
      </c>
      <c r="AX12" s="1614">
        <f t="shared" si="2"/>
        <v>2.2962719463090364E-2</v>
      </c>
      <c r="AY12" s="1614">
        <f t="shared" si="3"/>
        <v>2.7499890325647369E-2</v>
      </c>
      <c r="AZ12" s="1614">
        <f t="shared" si="4"/>
        <v>3.9160347683874219E-2</v>
      </c>
      <c r="BA12" s="1614">
        <f t="shared" si="5"/>
        <v>0.14213364991789268</v>
      </c>
      <c r="BB12" s="1614">
        <f t="shared" si="6"/>
        <v>2.6996741152385262E-2</v>
      </c>
      <c r="BC12" s="1221">
        <f t="shared" si="11"/>
        <v>1.4084055258026231</v>
      </c>
      <c r="BD12" s="2077">
        <f t="shared" si="12"/>
        <v>5.8736665100800778E-2</v>
      </c>
    </row>
    <row r="13" spans="1:56" ht="12" customHeight="1" x14ac:dyDescent="0.3">
      <c r="A13" s="1261" t="s">
        <v>770</v>
      </c>
      <c r="B13" s="1248">
        <v>522181</v>
      </c>
      <c r="C13" s="1248">
        <v>579363</v>
      </c>
      <c r="D13" s="1248">
        <v>623154</v>
      </c>
      <c r="E13" s="1248">
        <v>625842</v>
      </c>
      <c r="F13" s="1248">
        <v>528838</v>
      </c>
      <c r="G13" s="1248">
        <v>544006</v>
      </c>
      <c r="H13" s="1249">
        <v>608210</v>
      </c>
      <c r="I13" s="1249">
        <f>SUM(BUDGET!J247)</f>
        <v>682959</v>
      </c>
      <c r="J13" s="1248">
        <f>BUDGET!L247</f>
        <v>858748.66</v>
      </c>
      <c r="K13" s="1272">
        <f>BUDGET!M247</f>
        <v>958762</v>
      </c>
      <c r="L13" s="1262">
        <v>756485</v>
      </c>
      <c r="M13" s="1256">
        <f>BUDGET!Q247</f>
        <v>752713</v>
      </c>
      <c r="N13" s="1256">
        <f>BUDGET!S247</f>
        <v>727623</v>
      </c>
      <c r="O13" s="1256">
        <v>737379</v>
      </c>
      <c r="P13" s="1256">
        <v>789031</v>
      </c>
      <c r="Q13" s="1256">
        <v>818739</v>
      </c>
      <c r="R13" s="1256">
        <v>873586</v>
      </c>
      <c r="S13" s="1256">
        <f>BUDGET!AC247</f>
        <v>904639</v>
      </c>
      <c r="T13" s="1256">
        <f>BUDGET!AE247</f>
        <v>935637</v>
      </c>
      <c r="U13" s="1553">
        <f>T13+702188</f>
        <v>1637825</v>
      </c>
      <c r="V13" s="1256">
        <f>BUDGET!AH247</f>
        <v>1680330</v>
      </c>
      <c r="W13" s="1256">
        <f>BUDGET!AJ247</f>
        <v>1726163</v>
      </c>
      <c r="X13" s="1256">
        <f>BUDGET!AL247</f>
        <v>1724420</v>
      </c>
      <c r="Y13" s="1256">
        <f>BUDGET!AN247</f>
        <v>1659650</v>
      </c>
      <c r="Z13" s="1256">
        <f>BUDGET!AP247</f>
        <v>1718252</v>
      </c>
      <c r="AA13" s="1256">
        <f>BUDGET!AR247</f>
        <v>1899213</v>
      </c>
      <c r="AB13" s="1256">
        <f>BUDGET!AT247</f>
        <v>2048741</v>
      </c>
      <c r="AC13" s="1256">
        <f t="shared" si="7"/>
        <v>149528</v>
      </c>
      <c r="AD13" s="1263">
        <f t="shared" si="8"/>
        <v>7.8731558808832924E-2</v>
      </c>
      <c r="AE13" s="2134"/>
      <c r="AF13" s="2162" t="e">
        <f>SUM(#REF!)</f>
        <v>#REF!</v>
      </c>
      <c r="AG13" s="2163" t="e">
        <f>SUM(#REF!)</f>
        <v>#REF!</v>
      </c>
      <c r="AH13" s="2165"/>
      <c r="AI13" s="2166"/>
      <c r="AJ13" s="1256" t="e">
        <f t="shared" si="9"/>
        <v>#REF!</v>
      </c>
      <c r="AK13" s="1263" t="e">
        <f t="shared" si="10"/>
        <v>#REF!</v>
      </c>
      <c r="AL13" s="2161"/>
      <c r="AM13" s="2190"/>
      <c r="AN13" s="2124"/>
      <c r="AO13" s="1268" t="s">
        <v>129</v>
      </c>
      <c r="AP13" s="1269">
        <f>M41</f>
        <v>430057</v>
      </c>
      <c r="AQ13" s="1269">
        <f>M41</f>
        <v>430057</v>
      </c>
      <c r="AR13" s="1269">
        <f>AP13-AQ13</f>
        <v>0</v>
      </c>
      <c r="AS13" s="1270">
        <f>AR13/AQ13*100</f>
        <v>0</v>
      </c>
      <c r="AU13" s="1221" t="s">
        <v>1237</v>
      </c>
      <c r="AV13" s="1813">
        <f>V13/U13-1</f>
        <v>2.5952101109703474E-2</v>
      </c>
      <c r="AW13" s="1813">
        <f t="shared" si="1"/>
        <v>2.7276189796052064E-2</v>
      </c>
      <c r="AX13" s="1813">
        <f t="shared" si="2"/>
        <v>-1.009754003532648E-3</v>
      </c>
      <c r="AY13" s="1813">
        <f t="shared" si="3"/>
        <v>-3.7560455109544089E-2</v>
      </c>
      <c r="AZ13" s="1813">
        <f t="shared" si="4"/>
        <v>3.530985448739199E-2</v>
      </c>
      <c r="BA13" s="1813">
        <f t="shared" si="5"/>
        <v>0.10531691509743624</v>
      </c>
      <c r="BB13" s="1813">
        <f t="shared" si="6"/>
        <v>7.8731558808832869E-2</v>
      </c>
      <c r="BC13" s="1221">
        <f t="shared" si="11"/>
        <v>1.2192491950985818</v>
      </c>
      <c r="BD13" s="2077">
        <f t="shared" si="12"/>
        <v>3.3591064768088819E-2</v>
      </c>
    </row>
    <row r="14" spans="1:56" ht="12" customHeight="1" x14ac:dyDescent="0.3">
      <c r="A14" s="1261" t="s">
        <v>345</v>
      </c>
      <c r="B14" s="1248">
        <v>394429</v>
      </c>
      <c r="C14" s="1248">
        <v>404841</v>
      </c>
      <c r="D14" s="1248">
        <v>409581</v>
      </c>
      <c r="E14" s="1248">
        <v>444348</v>
      </c>
      <c r="F14" s="1248">
        <v>479217</v>
      </c>
      <c r="G14" s="1248">
        <v>499207</v>
      </c>
      <c r="H14" s="1249">
        <v>504472</v>
      </c>
      <c r="I14" s="1249">
        <f>SUM(BUDGET!J296)</f>
        <v>520989</v>
      </c>
      <c r="J14" s="1248">
        <f>BUDGET!L296</f>
        <v>535862.62</v>
      </c>
      <c r="K14" s="1249">
        <f>BUDGET!M296</f>
        <v>568124</v>
      </c>
      <c r="L14" s="1262">
        <v>534542</v>
      </c>
      <c r="M14" s="1256">
        <f>BUDGET!Q296</f>
        <v>550046</v>
      </c>
      <c r="N14" s="1256">
        <f>BUDGET!S296</f>
        <v>571667</v>
      </c>
      <c r="O14" s="1256">
        <v>598359</v>
      </c>
      <c r="P14" s="1256">
        <v>619100</v>
      </c>
      <c r="Q14" s="1256">
        <v>625243</v>
      </c>
      <c r="R14" s="1256">
        <v>642742</v>
      </c>
      <c r="S14" s="1256">
        <f>BUDGET!AC296</f>
        <v>654199</v>
      </c>
      <c r="T14" s="1256">
        <f>BUDGET!AE296</f>
        <v>666739</v>
      </c>
      <c r="U14" s="1553">
        <f>T14-411453</f>
        <v>255286</v>
      </c>
      <c r="V14" s="1256">
        <f>BUDGET!AH296</f>
        <v>263776</v>
      </c>
      <c r="W14" s="1256">
        <f>BUDGET!AJ296</f>
        <v>280180</v>
      </c>
      <c r="X14" s="1256">
        <f>BUDGET!AL296</f>
        <v>278498</v>
      </c>
      <c r="Y14" s="1256">
        <f>BUDGET!AN296</f>
        <v>293530</v>
      </c>
      <c r="Z14" s="1256">
        <f>BUDGET!AP296</f>
        <v>299442</v>
      </c>
      <c r="AA14" s="1256">
        <f>BUDGET!AR296</f>
        <v>313297</v>
      </c>
      <c r="AB14" s="1256">
        <f>BUDGET!AT296</f>
        <v>323502</v>
      </c>
      <c r="AC14" s="1256">
        <f t="shared" si="7"/>
        <v>10205</v>
      </c>
      <c r="AD14" s="1263">
        <f t="shared" si="8"/>
        <v>3.2572926009505357E-2</v>
      </c>
      <c r="AE14" s="2133"/>
      <c r="AF14" s="2162" t="e">
        <f>SUM(#REF!)</f>
        <v>#REF!</v>
      </c>
      <c r="AG14" s="2163" t="e">
        <f>SUM(#REF!)</f>
        <v>#REF!</v>
      </c>
      <c r="AH14" s="2165"/>
      <c r="AI14" s="2166"/>
      <c r="AJ14" s="1256" t="e">
        <f t="shared" si="9"/>
        <v>#REF!</v>
      </c>
      <c r="AK14" s="1263" t="e">
        <f t="shared" si="10"/>
        <v>#REF!</v>
      </c>
      <c r="AL14" s="2161"/>
      <c r="AM14" s="2190"/>
      <c r="AN14" s="2124"/>
      <c r="AO14" s="1268" t="s">
        <v>110</v>
      </c>
      <c r="AP14" s="1269">
        <f>SUM(AP11:AP13)</f>
        <v>3372733</v>
      </c>
      <c r="AQ14" s="1269">
        <f>SUM(AQ11:AQ13)</f>
        <v>3434439</v>
      </c>
      <c r="AR14" s="1269">
        <f>SUM(AR11:AR13)</f>
        <v>-61706</v>
      </c>
      <c r="AS14" s="1270">
        <f>AR14/AQ14*100</f>
        <v>-1.7966835340502481</v>
      </c>
      <c r="AU14" s="1221" t="s">
        <v>1238</v>
      </c>
      <c r="AV14" s="1614">
        <f>V14/U14-1</f>
        <v>3.3256817843516639E-2</v>
      </c>
      <c r="AW14" s="1614">
        <f t="shared" si="1"/>
        <v>6.2189130171054208E-2</v>
      </c>
      <c r="AX14" s="1614">
        <f t="shared" si="2"/>
        <v>-6.0032836033978576E-3</v>
      </c>
      <c r="AY14" s="1614">
        <f t="shared" si="3"/>
        <v>5.3975252964114651E-2</v>
      </c>
      <c r="AZ14" s="1614">
        <f t="shared" si="4"/>
        <v>2.0141041801519544E-2</v>
      </c>
      <c r="BA14" s="1614">
        <f t="shared" si="5"/>
        <v>4.626939440693012E-2</v>
      </c>
      <c r="BB14" s="1614">
        <f t="shared" si="6"/>
        <v>3.2572926009505343E-2</v>
      </c>
      <c r="BC14" s="1221">
        <f t="shared" si="11"/>
        <v>1.2264269683367706</v>
      </c>
      <c r="BD14" s="2077">
        <f t="shared" si="12"/>
        <v>3.460271869916931E-2</v>
      </c>
    </row>
    <row r="15" spans="1:56" ht="12" customHeight="1" x14ac:dyDescent="0.3">
      <c r="A15" s="1261" t="s">
        <v>346</v>
      </c>
      <c r="B15" s="1248">
        <v>481275</v>
      </c>
      <c r="C15" s="1248">
        <v>553235</v>
      </c>
      <c r="D15" s="1248">
        <v>598058</v>
      </c>
      <c r="E15" s="1248">
        <v>615787</v>
      </c>
      <c r="F15" s="1248">
        <v>623705</v>
      </c>
      <c r="G15" s="1248">
        <v>633465</v>
      </c>
      <c r="H15" s="1249">
        <v>640301</v>
      </c>
      <c r="I15" s="1249">
        <f>SUM(BUDGET!J350)</f>
        <v>668229</v>
      </c>
      <c r="J15" s="1248">
        <f>BUDGET!L350</f>
        <v>675182.40999999992</v>
      </c>
      <c r="K15" s="1249">
        <f>BUDGET!M350</f>
        <v>710980</v>
      </c>
      <c r="L15" s="1262">
        <v>699158</v>
      </c>
      <c r="M15" s="1256">
        <f>BUDGET!Q350</f>
        <v>705871</v>
      </c>
      <c r="N15" s="1256">
        <f>BUDGET!S350</f>
        <v>714094</v>
      </c>
      <c r="O15" s="1256">
        <v>731015</v>
      </c>
      <c r="P15" s="1256">
        <v>754932</v>
      </c>
      <c r="Q15" s="1256">
        <v>785156</v>
      </c>
      <c r="R15" s="1256">
        <v>846521</v>
      </c>
      <c r="S15" s="1256">
        <f>BUDGET!AC350</f>
        <v>873781</v>
      </c>
      <c r="T15" s="1256">
        <f>BUDGET!AE350</f>
        <v>893979</v>
      </c>
      <c r="U15" s="1553">
        <f>T15-306397</f>
        <v>587582</v>
      </c>
      <c r="V15" s="1256">
        <f>BUDGET!AH350</f>
        <v>609774</v>
      </c>
      <c r="W15" s="1256">
        <f>BUDGET!AJ350</f>
        <v>638658</v>
      </c>
      <c r="X15" s="1256">
        <f>BUDGET!AL350</f>
        <v>665336</v>
      </c>
      <c r="Y15" s="1256">
        <f>BUDGET!AN350</f>
        <v>687835</v>
      </c>
      <c r="Z15" s="1256">
        <f>BUDGET!AP350</f>
        <v>702767</v>
      </c>
      <c r="AA15" s="1256">
        <f>BUDGET!AR350</f>
        <v>720841</v>
      </c>
      <c r="AB15" s="1256">
        <f>BUDGET!AT350</f>
        <v>742257</v>
      </c>
      <c r="AC15" s="1256">
        <f t="shared" si="7"/>
        <v>21416</v>
      </c>
      <c r="AD15" s="1263">
        <f t="shared" si="8"/>
        <v>2.9709741815462772E-2</v>
      </c>
      <c r="AE15" s="2133"/>
      <c r="AF15" s="2162" t="e">
        <f>SUM(#REF!)</f>
        <v>#REF!</v>
      </c>
      <c r="AG15" s="2163" t="e">
        <f>SUM(#REF!)</f>
        <v>#REF!</v>
      </c>
      <c r="AH15" s="2165"/>
      <c r="AI15" s="2166"/>
      <c r="AJ15" s="1256" t="e">
        <f t="shared" si="9"/>
        <v>#REF!</v>
      </c>
      <c r="AK15" s="1263" t="e">
        <f t="shared" si="10"/>
        <v>#REF!</v>
      </c>
      <c r="AL15" s="2161"/>
      <c r="AM15" s="2190"/>
      <c r="AN15" s="2124"/>
      <c r="AO15" s="1273" t="s">
        <v>111</v>
      </c>
      <c r="AP15" s="1274" t="s">
        <v>73</v>
      </c>
      <c r="AQ15" s="1274"/>
      <c r="AR15" s="1274"/>
      <c r="AS15" s="1275" t="s">
        <v>112</v>
      </c>
      <c r="AU15" s="1221" t="s">
        <v>1239</v>
      </c>
      <c r="AV15" s="1813">
        <f>V15/U15-1</f>
        <v>3.7768345524539448E-2</v>
      </c>
      <c r="AW15" s="1813">
        <f t="shared" si="1"/>
        <v>4.7368369264678467E-2</v>
      </c>
      <c r="AX15" s="1813">
        <f t="shared" si="2"/>
        <v>4.1771965590347238E-2</v>
      </c>
      <c r="AY15" s="1813">
        <f t="shared" si="3"/>
        <v>3.3815996729471998E-2</v>
      </c>
      <c r="AZ15" s="1813">
        <f t="shared" si="4"/>
        <v>2.1708694672414097E-2</v>
      </c>
      <c r="BA15" s="1813">
        <f t="shared" si="5"/>
        <v>2.5718339079666475E-2</v>
      </c>
      <c r="BB15" s="1813">
        <f t="shared" si="6"/>
        <v>2.970974181546282E-2</v>
      </c>
      <c r="BC15" s="1221">
        <f t="shared" si="11"/>
        <v>1.217265741077842</v>
      </c>
      <c r="BD15" s="2077">
        <f t="shared" si="12"/>
        <v>3.331063654186206E-2</v>
      </c>
    </row>
    <row r="16" spans="1:56" ht="12" customHeight="1" x14ac:dyDescent="0.3">
      <c r="A16" s="1261" t="s">
        <v>207</v>
      </c>
      <c r="B16" s="1248">
        <v>433586</v>
      </c>
      <c r="C16" s="1248">
        <v>968085</v>
      </c>
      <c r="D16" s="1248">
        <v>1140960</v>
      </c>
      <c r="E16" s="1248">
        <v>1187579</v>
      </c>
      <c r="F16" s="1248">
        <v>1065810</v>
      </c>
      <c r="G16" s="1248">
        <v>1078047</v>
      </c>
      <c r="H16" s="1249">
        <v>1079268</v>
      </c>
      <c r="I16" s="1249">
        <f>SUM(BUDGET!J386)</f>
        <v>1094667</v>
      </c>
      <c r="J16" s="1248">
        <f>BUDGET!L386</f>
        <v>1074439.3799999999</v>
      </c>
      <c r="K16" s="1249">
        <f>BUDGET!M386</f>
        <v>1112580</v>
      </c>
      <c r="L16" s="1262">
        <v>1117578</v>
      </c>
      <c r="M16" s="1256">
        <f>BUDGET!Q386</f>
        <v>1141042</v>
      </c>
      <c r="N16" s="1256">
        <f>BUDGET!S386</f>
        <v>1187482.5</v>
      </c>
      <c r="O16" s="1256">
        <v>670220.32000000007</v>
      </c>
      <c r="P16" s="1256">
        <v>669208.75</v>
      </c>
      <c r="Q16" s="1256">
        <v>654468.75</v>
      </c>
      <c r="R16" s="1256">
        <v>644404.75</v>
      </c>
      <c r="S16" s="1256">
        <f>BUDGET!AC386</f>
        <v>653485.75</v>
      </c>
      <c r="T16" s="1256">
        <f>BUDGET!AE386</f>
        <v>672874.5</v>
      </c>
      <c r="U16" s="1552"/>
      <c r="V16" s="1256">
        <f>BUDGET!AH386</f>
        <v>1139566.26</v>
      </c>
      <c r="W16" s="1256">
        <f>BUDGET!AJ386</f>
        <v>1349145.74</v>
      </c>
      <c r="X16" s="1256">
        <f>BUDGET!AK386</f>
        <v>1370827.76</v>
      </c>
      <c r="Y16" s="1256">
        <f>BUDGET!AM386+1.24</f>
        <v>1312064</v>
      </c>
      <c r="Z16" s="1256">
        <f>BUDGET!AO386+1.24</f>
        <v>1096864</v>
      </c>
      <c r="AA16" s="1256">
        <f>BUDGET!AR386+1</f>
        <v>1098563.76</v>
      </c>
      <c r="AB16" s="1256">
        <f>BUDGET!AT386</f>
        <v>1084139</v>
      </c>
      <c r="AC16" s="1256">
        <f t="shared" si="7"/>
        <v>-14424.760000000009</v>
      </c>
      <c r="AD16" s="1263">
        <f>IF(AC16&lt;&gt;0,AC16/AA16,"")</f>
        <v>-1.3130562399036365E-2</v>
      </c>
      <c r="AE16" s="2134"/>
      <c r="AF16" s="2162"/>
      <c r="AG16" s="2165"/>
      <c r="AH16" s="2165"/>
      <c r="AI16" s="2166"/>
      <c r="AJ16" s="1256">
        <f t="shared" si="9"/>
        <v>1098563.76</v>
      </c>
      <c r="AK16" s="1263">
        <f t="shared" si="10"/>
        <v>1.5496542871313856E-3</v>
      </c>
      <c r="AL16" s="2161"/>
      <c r="AM16" s="2190"/>
      <c r="AN16" s="2124"/>
      <c r="AO16" s="1273" t="s">
        <v>113</v>
      </c>
      <c r="AP16" s="1276"/>
      <c r="AQ16" s="1274"/>
      <c r="AR16" s="1274"/>
      <c r="AS16" s="1277"/>
      <c r="AU16" s="1267" t="s">
        <v>1240</v>
      </c>
      <c r="AV16" s="1614">
        <f>V16/T16-1</f>
        <v>0.69357920384856309</v>
      </c>
      <c r="AW16" s="1614">
        <f t="shared" si="1"/>
        <v>0.1839116226554478</v>
      </c>
      <c r="AX16" s="1614">
        <f t="shared" si="2"/>
        <v>1.6070924998807135E-2</v>
      </c>
      <c r="AY16" s="1614">
        <f t="shared" si="3"/>
        <v>-4.2867354830923521E-2</v>
      </c>
      <c r="AZ16" s="1614">
        <f t="shared" si="4"/>
        <v>-0.16401638944441732</v>
      </c>
      <c r="BA16" s="1614">
        <f t="shared" si="5"/>
        <v>1.5496542871313856E-3</v>
      </c>
      <c r="BB16" s="1614">
        <f t="shared" si="6"/>
        <v>-1.3130562399036316E-2</v>
      </c>
      <c r="BC16" s="1221">
        <f t="shared" si="11"/>
        <v>0.95136109066619789</v>
      </c>
      <c r="BD16" s="2077">
        <f t="shared" si="12"/>
        <v>-8.2758306549151062E-3</v>
      </c>
    </row>
    <row r="17" spans="1:56" ht="12" customHeight="1" x14ac:dyDescent="0.3">
      <c r="A17" s="1261" t="s">
        <v>343</v>
      </c>
      <c r="B17" s="1248">
        <v>968416</v>
      </c>
      <c r="C17" s="1248">
        <v>981428</v>
      </c>
      <c r="D17" s="1248">
        <v>1205897</v>
      </c>
      <c r="E17" s="1248">
        <f>SUM(1348448+4000)</f>
        <v>1352448</v>
      </c>
      <c r="F17" s="1248">
        <v>1443857</v>
      </c>
      <c r="G17" s="1248">
        <v>1506681</v>
      </c>
      <c r="H17" s="1249">
        <v>1736641</v>
      </c>
      <c r="I17" s="1249">
        <f>SUM(BUDGET!J412)</f>
        <v>1942423</v>
      </c>
      <c r="J17" s="1248">
        <f>BUDGET!L412</f>
        <v>2124530.9699999997</v>
      </c>
      <c r="K17" s="1272">
        <f>BUDGET!M412</f>
        <v>2337018</v>
      </c>
      <c r="L17" s="1262">
        <v>2453559</v>
      </c>
      <c r="M17" s="1256">
        <f>BUDGET!Q412</f>
        <v>2654823</v>
      </c>
      <c r="N17" s="1256">
        <f>BUDGET!S412</f>
        <v>2913098</v>
      </c>
      <c r="O17" s="1256">
        <v>3021535.1</v>
      </c>
      <c r="P17" s="1256">
        <v>3196667</v>
      </c>
      <c r="Q17" s="1256">
        <v>3260183</v>
      </c>
      <c r="R17" s="1256">
        <v>3425062</v>
      </c>
      <c r="S17" s="1256">
        <f>BUDGET!AC412</f>
        <v>3750934</v>
      </c>
      <c r="T17" s="1256">
        <f>BUDGET!AE412</f>
        <v>3962622</v>
      </c>
      <c r="U17" s="1552"/>
      <c r="V17" s="1256">
        <f>BUDGET!AH412</f>
        <v>3934577</v>
      </c>
      <c r="W17" s="1256">
        <f>BUDGET!AJ412</f>
        <v>4156770</v>
      </c>
      <c r="X17" s="1256">
        <f>BUDGET!AL412</f>
        <v>4249683</v>
      </c>
      <c r="Y17" s="1256">
        <f>BUDGET!AN412</f>
        <v>4273832</v>
      </c>
      <c r="Z17" s="1256">
        <f>BUDGET!AP412</f>
        <v>4335833</v>
      </c>
      <c r="AA17" s="1256">
        <f>BUDGET!AR412</f>
        <v>4655917</v>
      </c>
      <c r="AB17" s="1256">
        <f>BUDGET!AT412</f>
        <v>4832026</v>
      </c>
      <c r="AC17" s="1256">
        <f t="shared" si="7"/>
        <v>176109</v>
      </c>
      <c r="AD17" s="1263">
        <f t="shared" si="8"/>
        <v>3.7824772219951515E-2</v>
      </c>
      <c r="AE17" s="2134"/>
      <c r="AF17" s="2162" t="e">
        <f>SUM(#REF!)</f>
        <v>#REF!</v>
      </c>
      <c r="AG17" s="2165"/>
      <c r="AH17" s="2165"/>
      <c r="AI17" s="2166"/>
      <c r="AJ17" s="1256" t="e">
        <f t="shared" si="9"/>
        <v>#REF!</v>
      </c>
      <c r="AK17" s="1263" t="e">
        <f t="shared" si="10"/>
        <v>#REF!</v>
      </c>
      <c r="AL17" s="2161"/>
      <c r="AM17" s="2190"/>
      <c r="AN17" s="2524"/>
      <c r="AO17" s="2437">
        <f t="shared" ref="AO17:AS17" si="13">SUM(AB10:AB15)+AB17</f>
        <v>24404756</v>
      </c>
      <c r="AP17" s="2437">
        <f t="shared" si="13"/>
        <v>809892</v>
      </c>
      <c r="AQ17" s="2437">
        <f t="shared" si="13"/>
        <v>0.26645468045823195</v>
      </c>
      <c r="AR17" s="2437">
        <f t="shared" si="13"/>
        <v>0</v>
      </c>
      <c r="AS17" s="2437" t="e">
        <f t="shared" si="13"/>
        <v>#REF!</v>
      </c>
      <c r="AT17" s="2437"/>
      <c r="AU17" s="1267" t="s">
        <v>119</v>
      </c>
      <c r="AV17" s="1813">
        <f>V17/T17-1</f>
        <v>-7.0773846205870461E-3</v>
      </c>
      <c r="AW17" s="1813">
        <f t="shared" si="1"/>
        <v>5.6471890116777557E-2</v>
      </c>
      <c r="AX17" s="1813">
        <f t="shared" si="2"/>
        <v>2.2352210971499531E-2</v>
      </c>
      <c r="AY17" s="1813">
        <f t="shared" si="3"/>
        <v>5.6825414978012301E-3</v>
      </c>
      <c r="AZ17" s="1813">
        <f t="shared" si="4"/>
        <v>1.4507121477868035E-2</v>
      </c>
      <c r="BA17" s="1813">
        <f t="shared" si="5"/>
        <v>7.3822953974472805E-2</v>
      </c>
      <c r="BB17" s="1813">
        <f t="shared" si="6"/>
        <v>3.7824772219951619E-2</v>
      </c>
      <c r="BC17" s="1221">
        <f t="shared" ref="BC17:BC19" si="14">AB17/V17</f>
        <v>1.2280928801240896</v>
      </c>
      <c r="BD17" s="2077">
        <f t="shared" si="12"/>
        <v>3.4836810933975837E-2</v>
      </c>
    </row>
    <row r="18" spans="1:56" ht="12" customHeight="1" x14ac:dyDescent="0.3">
      <c r="A18" s="1261" t="s">
        <v>206</v>
      </c>
      <c r="B18" s="1248">
        <f t="shared" ref="B18:N18" si="15">SUM(B10:B17)</f>
        <v>8566217</v>
      </c>
      <c r="C18" s="1248">
        <f t="shared" si="15"/>
        <v>9966990</v>
      </c>
      <c r="D18" s="1248">
        <f t="shared" si="15"/>
        <v>11059471</v>
      </c>
      <c r="E18" s="1248">
        <f t="shared" si="15"/>
        <v>11599138</v>
      </c>
      <c r="F18" s="1249">
        <f t="shared" si="15"/>
        <v>11708815</v>
      </c>
      <c r="G18" s="1279">
        <f t="shared" si="15"/>
        <v>12073719</v>
      </c>
      <c r="H18" s="1280">
        <f t="shared" si="15"/>
        <v>12748878</v>
      </c>
      <c r="I18" s="1280">
        <f t="shared" si="15"/>
        <v>13638500.800000001</v>
      </c>
      <c r="J18" s="1281">
        <f t="shared" si="15"/>
        <v>14210670.539999999</v>
      </c>
      <c r="K18" s="1280">
        <f t="shared" si="15"/>
        <v>14937613.489</v>
      </c>
      <c r="L18" s="1281">
        <f t="shared" si="15"/>
        <v>14402643</v>
      </c>
      <c r="M18" s="1282">
        <f t="shared" si="15"/>
        <v>14657572</v>
      </c>
      <c r="N18" s="1283">
        <f t="shared" si="15"/>
        <v>15158375.5</v>
      </c>
      <c r="O18" s="1283">
        <v>14987746.040000001</v>
      </c>
      <c r="P18" s="1283">
        <v>15452593.782400001</v>
      </c>
      <c r="Q18" s="1283">
        <v>16258770.75</v>
      </c>
      <c r="R18" s="1283">
        <v>17168561.75</v>
      </c>
      <c r="S18" s="1283">
        <f>SUM(S9:S17)</f>
        <v>18152478.75</v>
      </c>
      <c r="T18" s="1283">
        <f>SUM(T9:T17)</f>
        <v>18858985.509999998</v>
      </c>
      <c r="U18" s="1554"/>
      <c r="V18" s="1283">
        <f t="shared" ref="V18:Z18" si="16">SUM(V9:V17)</f>
        <v>19835040.259999998</v>
      </c>
      <c r="W18" s="1283">
        <f t="shared" si="16"/>
        <v>21409558.199999999</v>
      </c>
      <c r="X18" s="1283">
        <f t="shared" si="16"/>
        <v>21942108.760000002</v>
      </c>
      <c r="Y18" s="1283">
        <f t="shared" si="16"/>
        <v>22227920.305</v>
      </c>
      <c r="Z18" s="1283">
        <f t="shared" si="16"/>
        <v>22730419.634150002</v>
      </c>
      <c r="AA18" s="1283">
        <f>SUM(AA9:AA17)</f>
        <v>24693427.760000002</v>
      </c>
      <c r="AB18" s="1283">
        <f>SUM(AB9:AB17)</f>
        <v>25488895</v>
      </c>
      <c r="AC18" s="1283">
        <f>AB18-AA18</f>
        <v>795467.23999999836</v>
      </c>
      <c r="AD18" s="1284">
        <f t="shared" si="8"/>
        <v>3.2213722927869386E-2</v>
      </c>
      <c r="AE18" s="2134"/>
      <c r="AF18" s="2167"/>
      <c r="AG18" s="2165"/>
      <c r="AH18" s="2165"/>
      <c r="AI18" s="2166"/>
      <c r="AJ18" s="1283">
        <f t="shared" si="9"/>
        <v>24693427.760000002</v>
      </c>
      <c r="AK18" s="1284">
        <f t="shared" si="10"/>
        <v>8.6360399739422E-2</v>
      </c>
      <c r="AL18" s="2161"/>
      <c r="AM18" s="2190"/>
      <c r="AN18" s="2124"/>
      <c r="AO18" s="1268" t="s">
        <v>114</v>
      </c>
      <c r="AP18" s="1269">
        <f>BUDGET!P63</f>
        <v>0</v>
      </c>
      <c r="AQ18" s="1269">
        <f>BUDGET!N63</f>
        <v>8500</v>
      </c>
      <c r="AR18" s="1269">
        <f>AP18-AQ18</f>
        <v>-8500</v>
      </c>
      <c r="AS18" s="1285" t="str">
        <f>BUDGET!AV63</f>
        <v/>
      </c>
      <c r="AT18" s="1267">
        <f>AN17</f>
        <v>0</v>
      </c>
      <c r="AU18" s="1267" t="s">
        <v>308</v>
      </c>
      <c r="AV18" s="2445">
        <f>V18/T18-1</f>
        <v>5.1755421811128022E-2</v>
      </c>
      <c r="AW18" s="2445">
        <f t="shared" si="1"/>
        <v>7.9380627382704461E-2</v>
      </c>
      <c r="AX18" s="2445">
        <f t="shared" si="2"/>
        <v>2.4874430150548577E-2</v>
      </c>
      <c r="AY18" s="2445">
        <f t="shared" si="3"/>
        <v>1.3025709977384947E-2</v>
      </c>
      <c r="AZ18" s="2445">
        <f t="shared" si="4"/>
        <v>2.2606673150477707E-2</v>
      </c>
      <c r="BA18" s="2445">
        <f t="shared" si="5"/>
        <v>8.6360399739422E-2</v>
      </c>
      <c r="BB18" s="2445">
        <f t="shared" si="6"/>
        <v>3.2213722927869393E-2</v>
      </c>
      <c r="BC18" s="1221">
        <f t="shared" si="14"/>
        <v>1.2850437743452305</v>
      </c>
      <c r="BD18" s="2077">
        <f t="shared" si="12"/>
        <v>4.2684666605313781E-2</v>
      </c>
    </row>
    <row r="19" spans="1:56" ht="12" customHeight="1" x14ac:dyDescent="0.3">
      <c r="A19" s="1261" t="s">
        <v>224</v>
      </c>
      <c r="B19" s="1248"/>
      <c r="C19" s="1248">
        <v>3433357</v>
      </c>
      <c r="D19" s="1248">
        <v>3616957</v>
      </c>
      <c r="E19" s="1248">
        <v>4018785</v>
      </c>
      <c r="F19" s="1248">
        <v>4249115</v>
      </c>
      <c r="G19" s="1248">
        <v>4815270</v>
      </c>
      <c r="H19" s="1249">
        <v>4809032</v>
      </c>
      <c r="I19" s="1249">
        <f>SUM(BUDGET!J438)</f>
        <v>5088714.5</v>
      </c>
      <c r="J19" s="1248">
        <f>BUDGET!L438</f>
        <v>5392582</v>
      </c>
      <c r="K19" s="1286">
        <f>BUDGET!M438</f>
        <v>5735134</v>
      </c>
      <c r="L19" s="1287">
        <v>5870454</v>
      </c>
      <c r="M19" s="1288">
        <f>BUDGET!Q438</f>
        <v>6013061</v>
      </c>
      <c r="N19" s="1288">
        <f>BUDGET!S438</f>
        <v>6121408</v>
      </c>
      <c r="O19" s="1288">
        <v>6173071</v>
      </c>
      <c r="P19" s="1288">
        <v>6237692</v>
      </c>
      <c r="Q19" s="1288">
        <v>6421520</v>
      </c>
      <c r="R19" s="1288">
        <v>6923501</v>
      </c>
      <c r="S19" s="1288">
        <f>BUDGET!AB438</f>
        <v>7025349</v>
      </c>
      <c r="T19" s="1288">
        <f>BUDGET!AE438</f>
        <v>7207467</v>
      </c>
      <c r="U19" s="1555"/>
      <c r="V19" s="1288">
        <f>BUDGET!AH438</f>
        <v>7579412.79</v>
      </c>
      <c r="W19" s="1288">
        <f>BUDGET!AI438</f>
        <v>7693568</v>
      </c>
      <c r="X19" s="1288">
        <f>BUDGET!AK438</f>
        <v>7825842.2695999723</v>
      </c>
      <c r="Y19" s="1288">
        <f>BUDGET!AN438</f>
        <v>8476833</v>
      </c>
      <c r="Z19" s="1288">
        <f>BUDGET!AP438</f>
        <v>8776844</v>
      </c>
      <c r="AA19" s="1288">
        <f>BUDGET!AR438</f>
        <v>9123180</v>
      </c>
      <c r="AB19" s="1288">
        <f>BUDGET!AT438</f>
        <v>9760623</v>
      </c>
      <c r="AC19" s="1288">
        <f t="shared" si="7"/>
        <v>637443</v>
      </c>
      <c r="AD19" s="2082">
        <f t="shared" si="8"/>
        <v>6.9870702978566679E-2</v>
      </c>
      <c r="AE19" s="2134"/>
      <c r="AF19" s="2167"/>
      <c r="AG19" s="2165"/>
      <c r="AH19" s="2165"/>
      <c r="AI19" s="2169" t="e">
        <f>AJ3-AA19</f>
        <v>#REF!</v>
      </c>
      <c r="AJ19" s="1288" t="e">
        <f t="shared" si="9"/>
        <v>#REF!</v>
      </c>
      <c r="AK19" s="2082" t="e">
        <f t="shared" si="10"/>
        <v>#REF!</v>
      </c>
      <c r="AL19" s="2160">
        <v>9123180</v>
      </c>
      <c r="AM19" s="2189" t="e">
        <f>AL19-AJ19</f>
        <v>#REF!</v>
      </c>
      <c r="AN19" s="2438"/>
      <c r="AO19" s="1268"/>
      <c r="AP19" s="1274"/>
      <c r="AQ19" s="1274"/>
      <c r="AR19" s="1274"/>
      <c r="AS19" s="1277"/>
      <c r="AT19" s="2438"/>
      <c r="AU19" s="1267" t="s">
        <v>1136</v>
      </c>
      <c r="AV19" s="1813">
        <f>V19/T19-1</f>
        <v>5.1605618173485857E-2</v>
      </c>
      <c r="AW19" s="1813">
        <f t="shared" si="1"/>
        <v>1.5061220857453872E-2</v>
      </c>
      <c r="AX19" s="1813">
        <f t="shared" si="2"/>
        <v>1.7192838173390124E-2</v>
      </c>
      <c r="AY19" s="1813">
        <f t="shared" si="3"/>
        <v>8.31847497014917E-2</v>
      </c>
      <c r="AZ19" s="1813">
        <f t="shared" si="4"/>
        <v>3.5391873356476422E-2</v>
      </c>
      <c r="BA19" s="1813">
        <f t="shared" si="5"/>
        <v>3.9460197765848415E-2</v>
      </c>
      <c r="BB19" s="1813">
        <f t="shared" si="6"/>
        <v>6.987070297856679E-2</v>
      </c>
      <c r="BC19" s="1221">
        <f t="shared" si="14"/>
        <v>1.2877808968100812</v>
      </c>
      <c r="BD19" s="2077">
        <f t="shared" si="12"/>
        <v>4.3054488773659472E-2</v>
      </c>
    </row>
    <row r="20" spans="1:56" s="86" customFormat="1" ht="12" customHeight="1" outlineLevel="1" x14ac:dyDescent="0.3">
      <c r="A20" s="381" t="s">
        <v>92</v>
      </c>
      <c r="B20" s="1399">
        <v>4940983</v>
      </c>
      <c r="C20" s="1399">
        <v>4370070</v>
      </c>
      <c r="D20" s="1399">
        <v>1290924</v>
      </c>
      <c r="E20" s="1399">
        <v>1267089</v>
      </c>
      <c r="F20" s="1399">
        <v>1233413</v>
      </c>
      <c r="G20" s="1399">
        <v>1190590</v>
      </c>
      <c r="H20" s="1400">
        <f>150000+603740+46517+750+54450+25500+53247+15000+34500+150000</f>
        <v>1133704</v>
      </c>
      <c r="I20" s="1400">
        <v>1304107.8799999999</v>
      </c>
      <c r="J20" s="1399">
        <v>1319169</v>
      </c>
      <c r="K20" s="1400">
        <v>1287548</v>
      </c>
      <c r="L20" s="1399">
        <v>1504914</v>
      </c>
      <c r="M20" s="1401">
        <v>1362180</v>
      </c>
      <c r="N20" s="1401">
        <v>1538597</v>
      </c>
      <c r="O20" s="1401">
        <v>2503112</v>
      </c>
      <c r="P20" s="1401">
        <v>2626345</v>
      </c>
      <c r="Q20" s="1401">
        <v>2320875</v>
      </c>
      <c r="R20" s="1406">
        <v>2573057</v>
      </c>
      <c r="S20" s="1406">
        <v>2079377</v>
      </c>
      <c r="T20" s="1406">
        <f>2326529.08 +500000</f>
        <v>2826529.08</v>
      </c>
      <c r="U20" s="1556" t="s">
        <v>965</v>
      </c>
      <c r="V20" s="1406">
        <v>2632492</v>
      </c>
      <c r="W20" s="1406">
        <v>3646596</v>
      </c>
      <c r="X20" s="1406">
        <v>3333633</v>
      </c>
      <c r="Y20" s="1406">
        <v>4059661.0000000037</v>
      </c>
      <c r="Z20" s="1406">
        <v>4321515.25</v>
      </c>
      <c r="AA20" s="2121">
        <v>5508709.0000000037</v>
      </c>
      <c r="AB20" s="2121">
        <f>'PROJECTED SCH. B'!C69</f>
        <v>5231385.6000000015</v>
      </c>
      <c r="AC20" s="1406">
        <f t="shared" si="7"/>
        <v>-277323.40000000224</v>
      </c>
      <c r="AD20" s="2082">
        <f>IF(AC20&lt;0,AC20/AA20,"")</f>
        <v>-5.0342720953312665E-2</v>
      </c>
      <c r="AE20" s="2135"/>
      <c r="AF20" s="2150"/>
      <c r="AG20" s="1242"/>
      <c r="AH20" s="1242"/>
      <c r="AI20" s="2151"/>
      <c r="AJ20" s="2151"/>
      <c r="AK20" s="2151"/>
      <c r="AL20" s="1242"/>
      <c r="AM20" s="1242"/>
      <c r="AN20" s="2438">
        <f>SUM(AB10:AB19)/SUM(AA10:AA19)-1</f>
        <v>3.8085389287420446E-2</v>
      </c>
      <c r="AO20" s="1402" t="s">
        <v>443</v>
      </c>
      <c r="AP20" s="1403"/>
      <c r="AQ20" s="1403"/>
      <c r="AR20" s="1403"/>
      <c r="AS20" s="1404"/>
      <c r="AU20" s="1267"/>
    </row>
    <row r="21" spans="1:56" ht="12" customHeight="1" outlineLevel="1" x14ac:dyDescent="0.3">
      <c r="A21" s="1261" t="s">
        <v>490</v>
      </c>
      <c r="B21" s="1248">
        <v>318259</v>
      </c>
      <c r="C21" s="1248">
        <v>78715</v>
      </c>
      <c r="D21" s="1248">
        <v>373024</v>
      </c>
      <c r="E21" s="1248">
        <v>292873</v>
      </c>
      <c r="F21" s="1248">
        <v>24186</v>
      </c>
      <c r="G21" s="1248">
        <v>113167</v>
      </c>
      <c r="H21" s="1249">
        <v>435926.92</v>
      </c>
      <c r="I21" s="1249">
        <v>260864</v>
      </c>
      <c r="J21" s="1248">
        <v>145865</v>
      </c>
      <c r="K21" s="1249">
        <v>171687</v>
      </c>
      <c r="L21" s="1248">
        <v>568780</v>
      </c>
      <c r="M21" s="1256">
        <v>82006</v>
      </c>
      <c r="N21" s="1256">
        <v>212997</v>
      </c>
      <c r="O21" s="1256">
        <v>57175</v>
      </c>
      <c r="P21" s="1256">
        <v>128790</v>
      </c>
      <c r="Q21" s="1256">
        <v>369970</v>
      </c>
      <c r="R21" s="1256">
        <v>423489</v>
      </c>
      <c r="S21" s="1256">
        <v>199846</v>
      </c>
      <c r="T21" s="1289">
        <v>0</v>
      </c>
      <c r="U21" s="1289"/>
      <c r="V21" s="1289">
        <v>250962</v>
      </c>
      <c r="W21" s="1289">
        <v>395400</v>
      </c>
      <c r="X21" s="1289">
        <v>19410</v>
      </c>
      <c r="Y21" s="1289"/>
      <c r="Z21" s="1289"/>
      <c r="AA21" s="1289"/>
      <c r="AB21" s="1289"/>
      <c r="AC21" s="1289">
        <f t="shared" si="7"/>
        <v>0</v>
      </c>
      <c r="AD21" s="2083" t="str">
        <f t="shared" si="8"/>
        <v/>
      </c>
      <c r="AE21" s="2136"/>
      <c r="AF21" s="2150"/>
      <c r="AG21" s="1242"/>
      <c r="AH21" s="1242"/>
      <c r="AI21" s="2151"/>
      <c r="AJ21" s="2151"/>
      <c r="AK21" s="2151"/>
      <c r="AL21" s="1242"/>
      <c r="AM21" s="1242"/>
      <c r="AN21" s="2438"/>
      <c r="AO21" s="1290" t="s">
        <v>68</v>
      </c>
      <c r="AP21" s="1269">
        <f>BUDGET!S127</f>
        <v>1357007</v>
      </c>
      <c r="AQ21" s="1269">
        <f>BUDGET!Q127</f>
        <v>1376229</v>
      </c>
      <c r="AR21" s="1269">
        <f>AP21-AQ21</f>
        <v>-19222</v>
      </c>
      <c r="AS21" s="1270">
        <f>AR21/AQ21*100</f>
        <v>-1.3967152268990117</v>
      </c>
      <c r="AU21" s="1267"/>
      <c r="AV21" s="1267"/>
      <c r="AW21" s="1267"/>
      <c r="AX21" s="1267"/>
    </row>
    <row r="22" spans="1:56" ht="12" customHeight="1" outlineLevel="1" x14ac:dyDescent="0.45">
      <c r="A22" s="1291" t="s">
        <v>377</v>
      </c>
      <c r="B22" s="1292">
        <f t="shared" ref="B22:N22" si="17">SUM(B18:B21)</f>
        <v>13825459</v>
      </c>
      <c r="C22" s="1292">
        <f t="shared" si="17"/>
        <v>17849132</v>
      </c>
      <c r="D22" s="1292">
        <f t="shared" si="17"/>
        <v>16340376</v>
      </c>
      <c r="E22" s="1292">
        <f>SUM(E18:E21)</f>
        <v>17177885</v>
      </c>
      <c r="F22" s="1293">
        <v>17215530</v>
      </c>
      <c r="G22" s="1279">
        <f>SUM(G18:G21)</f>
        <v>18192746</v>
      </c>
      <c r="H22" s="1280">
        <f>SUM(H18:H21)</f>
        <v>19127540.920000002</v>
      </c>
      <c r="I22" s="1280">
        <f t="shared" si="17"/>
        <v>20292187.18</v>
      </c>
      <c r="J22" s="1281">
        <f t="shared" si="17"/>
        <v>21068286.539999999</v>
      </c>
      <c r="K22" s="1280">
        <f t="shared" si="17"/>
        <v>22131982.489</v>
      </c>
      <c r="L22" s="1281">
        <f t="shared" si="17"/>
        <v>22346791</v>
      </c>
      <c r="M22" s="1282">
        <f t="shared" si="17"/>
        <v>22114819</v>
      </c>
      <c r="N22" s="1283">
        <f t="shared" si="17"/>
        <v>23031377.5</v>
      </c>
      <c r="O22" s="1283">
        <v>23721104.039999999</v>
      </c>
      <c r="P22" s="1283">
        <v>24445420.782400001</v>
      </c>
      <c r="Q22" s="1283">
        <v>25371135.75</v>
      </c>
      <c r="R22" s="1283">
        <v>27088608.75</v>
      </c>
      <c r="S22" s="1283">
        <f>SUM(S18:S21)</f>
        <v>27457050.75</v>
      </c>
      <c r="T22" s="1283">
        <f>SUM(T18:T21)</f>
        <v>28892981.589999996</v>
      </c>
      <c r="U22" s="1283"/>
      <c r="V22" s="1283">
        <f t="shared" ref="V22:AB22" si="18">SUM(V18:V21)</f>
        <v>30297907.049999997</v>
      </c>
      <c r="W22" s="1283">
        <f t="shared" si="18"/>
        <v>33145122.199999999</v>
      </c>
      <c r="X22" s="1283">
        <f t="shared" si="18"/>
        <v>33120994.029599972</v>
      </c>
      <c r="Y22" s="1283">
        <f t="shared" si="18"/>
        <v>34764414.305000007</v>
      </c>
      <c r="Z22" s="1283">
        <f t="shared" si="18"/>
        <v>35828778.884149998</v>
      </c>
      <c r="AA22" s="1283">
        <f t="shared" si="18"/>
        <v>39325316.760000005</v>
      </c>
      <c r="AB22" s="1283">
        <f t="shared" si="18"/>
        <v>40480903.600000001</v>
      </c>
      <c r="AC22" s="1283">
        <f t="shared" si="7"/>
        <v>1155586.8399999961</v>
      </c>
      <c r="AD22" s="1284">
        <f t="shared" si="8"/>
        <v>2.9385315496693178E-2</v>
      </c>
      <c r="AE22" s="2137"/>
      <c r="AF22" s="2150"/>
      <c r="AG22" s="1242"/>
      <c r="AH22" s="1242"/>
      <c r="AI22" s="2151"/>
      <c r="AJ22" s="2151"/>
      <c r="AK22" s="2151"/>
      <c r="AL22" s="1242"/>
      <c r="AM22" s="1242"/>
      <c r="AN22" s="2124"/>
      <c r="AO22" s="1290" t="s">
        <v>69</v>
      </c>
      <c r="AP22" s="1269">
        <f>BUDGET!S133</f>
        <v>588467</v>
      </c>
      <c r="AQ22" s="1269">
        <f>BUDGET!Q133</f>
        <v>585967</v>
      </c>
      <c r="AR22" s="1269">
        <f>AP22-AQ22</f>
        <v>2500</v>
      </c>
      <c r="AS22" s="1270">
        <f>AR22/AQ22*100</f>
        <v>0.42664518650367678</v>
      </c>
      <c r="AT22" s="2605"/>
      <c r="AU22" s="1267"/>
      <c r="AV22" s="1267"/>
      <c r="AW22" s="1267"/>
      <c r="AX22" s="1267"/>
    </row>
    <row r="23" spans="1:56" ht="12" customHeight="1" outlineLevel="1" x14ac:dyDescent="0.3">
      <c r="A23" s="1247" t="s">
        <v>378</v>
      </c>
      <c r="B23" s="1248"/>
      <c r="C23" s="1248"/>
      <c r="D23" s="1248"/>
      <c r="E23" s="1248"/>
      <c r="F23" s="1248"/>
      <c r="G23" s="1248"/>
      <c r="H23" s="1249"/>
      <c r="I23" s="1249"/>
      <c r="J23" s="1248"/>
      <c r="K23" s="1249"/>
      <c r="L23" s="1248"/>
      <c r="M23" s="1256"/>
      <c r="N23" s="1256"/>
      <c r="O23" s="1256"/>
      <c r="P23" s="1256"/>
      <c r="Q23" s="1256"/>
      <c r="R23" s="1256"/>
      <c r="S23" s="1256"/>
      <c r="T23" s="1256"/>
      <c r="U23" s="1256"/>
      <c r="V23" s="1256"/>
      <c r="W23" s="1256"/>
      <c r="X23" s="1256"/>
      <c r="Y23" s="1256"/>
      <c r="Z23" s="1256"/>
      <c r="AA23" s="1256"/>
      <c r="AB23" s="1256"/>
      <c r="AC23" s="1256">
        <f t="shared" si="7"/>
        <v>0</v>
      </c>
      <c r="AD23" s="1263" t="str">
        <f t="shared" si="8"/>
        <v/>
      </c>
      <c r="AE23" s="2136"/>
      <c r="AF23" s="2150"/>
      <c r="AG23" s="1242"/>
      <c r="AH23" s="1242"/>
      <c r="AI23" s="2151"/>
      <c r="AJ23" s="2151"/>
      <c r="AK23" s="2151"/>
      <c r="AL23" s="1242"/>
      <c r="AM23" s="1242"/>
      <c r="AN23" s="2124"/>
      <c r="AO23" s="1290" t="s">
        <v>70</v>
      </c>
      <c r="AP23" s="1269">
        <f>BUDGET!S137</f>
        <v>0</v>
      </c>
      <c r="AQ23" s="1269">
        <f>BUDGET!Q137</f>
        <v>0</v>
      </c>
      <c r="AR23" s="1269">
        <f>AP23-AQ23</f>
        <v>0</v>
      </c>
      <c r="AS23" s="1270" t="e">
        <f>AR23/AQ23*100</f>
        <v>#DIV/0!</v>
      </c>
      <c r="AT23" s="2606"/>
      <c r="AU23" s="1267"/>
      <c r="AV23" s="1267"/>
      <c r="AW23" s="1267"/>
      <c r="AX23" s="1267"/>
    </row>
    <row r="24" spans="1:56" ht="12" customHeight="1" outlineLevel="1" x14ac:dyDescent="0.3">
      <c r="A24" s="1261" t="s">
        <v>379</v>
      </c>
      <c r="B24" s="1248">
        <v>0</v>
      </c>
      <c r="C24" s="1248">
        <v>0</v>
      </c>
      <c r="D24" s="1248">
        <v>0</v>
      </c>
      <c r="E24" s="1248">
        <v>0</v>
      </c>
      <c r="F24" s="1248">
        <v>0</v>
      </c>
      <c r="G24" s="1248">
        <v>0</v>
      </c>
      <c r="H24" s="1249"/>
      <c r="I24" s="1249">
        <v>0</v>
      </c>
      <c r="J24" s="1248">
        <v>0</v>
      </c>
      <c r="K24" s="1249"/>
      <c r="L24" s="1248"/>
      <c r="M24" s="1256"/>
      <c r="N24" s="1256">
        <v>10000</v>
      </c>
      <c r="O24" s="1256">
        <v>4975</v>
      </c>
      <c r="P24" s="1256"/>
      <c r="Q24" s="1256"/>
      <c r="R24" s="1256"/>
      <c r="S24" s="1256"/>
      <c r="T24" s="1256"/>
      <c r="U24" s="1256"/>
      <c r="V24" s="1256"/>
      <c r="W24" s="1256"/>
      <c r="X24" s="1256"/>
      <c r="Y24" s="1256"/>
      <c r="Z24" s="1256"/>
      <c r="AA24" s="1256"/>
      <c r="AB24" s="1256"/>
      <c r="AC24" s="1256">
        <f t="shared" si="7"/>
        <v>0</v>
      </c>
      <c r="AD24" s="1263" t="str">
        <f t="shared" si="8"/>
        <v/>
      </c>
      <c r="AE24" s="2138"/>
      <c r="AF24" s="2150"/>
      <c r="AG24" s="1242"/>
      <c r="AH24" s="1242"/>
      <c r="AI24" s="2151"/>
      <c r="AJ24" s="2151"/>
      <c r="AK24" s="2151"/>
      <c r="AL24" s="1242"/>
      <c r="AM24" s="1242"/>
      <c r="AN24" s="2124"/>
      <c r="AO24" s="1278" t="s">
        <v>208</v>
      </c>
      <c r="AP24" s="1274"/>
      <c r="AQ24" s="1274"/>
      <c r="AR24" s="1274"/>
      <c r="AS24" s="1275"/>
      <c r="AU24" s="1267"/>
      <c r="AV24" s="1267"/>
      <c r="AW24" s="1267"/>
      <c r="AX24" s="1267"/>
    </row>
    <row r="25" spans="1:56" ht="12" customHeight="1" outlineLevel="1" x14ac:dyDescent="0.3">
      <c r="A25" s="1261" t="s">
        <v>383</v>
      </c>
      <c r="B25" s="1248">
        <v>0</v>
      </c>
      <c r="C25" s="1248">
        <v>0</v>
      </c>
      <c r="D25" s="1248">
        <v>0</v>
      </c>
      <c r="E25" s="1248">
        <v>0</v>
      </c>
      <c r="F25" s="1248">
        <v>0</v>
      </c>
      <c r="G25" s="1248">
        <v>0</v>
      </c>
      <c r="H25" s="1249"/>
      <c r="I25" s="1249">
        <v>0</v>
      </c>
      <c r="J25" s="1248">
        <v>0</v>
      </c>
      <c r="K25" s="1249"/>
      <c r="L25" s="1248"/>
      <c r="M25" s="1256"/>
      <c r="N25" s="1256"/>
      <c r="O25" s="1256"/>
      <c r="P25" s="1256"/>
      <c r="Q25" s="1256"/>
      <c r="R25" s="1256"/>
      <c r="S25" s="1256"/>
      <c r="T25" s="1256"/>
      <c r="U25" s="1256"/>
      <c r="V25" s="1256"/>
      <c r="W25" s="1256"/>
      <c r="X25" s="1256"/>
      <c r="Y25" s="1256"/>
      <c r="Z25" s="1256"/>
      <c r="AA25" s="1256"/>
      <c r="AB25" s="1256"/>
      <c r="AC25" s="1256">
        <f t="shared" si="7"/>
        <v>0</v>
      </c>
      <c r="AD25" s="1263" t="str">
        <f t="shared" si="8"/>
        <v/>
      </c>
      <c r="AE25" s="2136"/>
      <c r="AF25" s="2150"/>
      <c r="AG25" s="1242"/>
      <c r="AH25" s="1242"/>
      <c r="AI25" s="2151"/>
      <c r="AJ25" s="2151"/>
      <c r="AK25" s="2151"/>
      <c r="AL25" s="1242"/>
      <c r="AM25" s="1242"/>
      <c r="AN25" s="2124"/>
      <c r="AO25" s="1290" t="s">
        <v>209</v>
      </c>
      <c r="AP25" s="1269">
        <f>BUDGET!S224+BUDGET!S225+BUDGET!S228</f>
        <v>0</v>
      </c>
      <c r="AQ25" s="1269">
        <f>BUDGET!Q224+BUDGET!Q225+BUDGET!Q228</f>
        <v>340122</v>
      </c>
      <c r="AR25" s="1269">
        <f>AP25-AQ25</f>
        <v>-340122</v>
      </c>
      <c r="AS25" s="1270">
        <f>AR25/AQ25*100</f>
        <v>-100</v>
      </c>
      <c r="AU25" s="1267"/>
      <c r="AV25" s="1267"/>
      <c r="AW25" s="1267"/>
      <c r="AX25" s="1267"/>
    </row>
    <row r="26" spans="1:56" ht="12" customHeight="1" outlineLevel="1" x14ac:dyDescent="0.3">
      <c r="A26" s="1261" t="s">
        <v>243</v>
      </c>
      <c r="B26" s="1248">
        <v>0</v>
      </c>
      <c r="C26" s="1248">
        <v>0</v>
      </c>
      <c r="D26" s="1248">
        <v>0</v>
      </c>
      <c r="E26" s="1248">
        <v>0</v>
      </c>
      <c r="F26" s="1248">
        <v>0</v>
      </c>
      <c r="G26" s="1248">
        <v>0</v>
      </c>
      <c r="H26" s="1249"/>
      <c r="I26" s="1249">
        <v>0</v>
      </c>
      <c r="J26" s="1248">
        <v>0</v>
      </c>
      <c r="K26" s="1249"/>
      <c r="L26" s="1248"/>
      <c r="M26" s="1256"/>
      <c r="N26" s="1256"/>
      <c r="O26" s="1256"/>
      <c r="P26" s="1256"/>
      <c r="Q26" s="1256"/>
      <c r="R26" s="1256"/>
      <c r="S26" s="1256"/>
      <c r="T26" s="1256"/>
      <c r="U26" s="1256"/>
      <c r="V26" s="1256"/>
      <c r="W26" s="1256"/>
      <c r="X26" s="1256"/>
      <c r="Y26" s="1256"/>
      <c r="Z26" s="1256"/>
      <c r="AA26" s="1256"/>
      <c r="AB26" s="1256"/>
      <c r="AC26" s="1256">
        <f t="shared" si="7"/>
        <v>0</v>
      </c>
      <c r="AD26" s="1263" t="str">
        <f t="shared" si="8"/>
        <v/>
      </c>
      <c r="AE26" s="2136" t="s">
        <v>160</v>
      </c>
      <c r="AF26" s="2150"/>
      <c r="AG26" s="1242"/>
      <c r="AH26" s="1242"/>
      <c r="AI26" s="2151"/>
      <c r="AJ26" s="2151"/>
      <c r="AK26" s="2151"/>
      <c r="AL26" s="1242"/>
      <c r="AM26" s="1242"/>
      <c r="AN26" s="2124"/>
      <c r="AO26" s="1290" t="s">
        <v>49</v>
      </c>
      <c r="AP26" s="1269">
        <f>BUDGET!S227</f>
        <v>0</v>
      </c>
      <c r="AQ26" s="1269">
        <f>BUDGET!Q227</f>
        <v>75085</v>
      </c>
      <c r="AR26" s="1269">
        <f>AP26-AQ26</f>
        <v>-75085</v>
      </c>
      <c r="AS26" s="1270">
        <f t="shared" ref="AS26:AS35" si="19">AR26/AQ26*100</f>
        <v>-100</v>
      </c>
      <c r="AU26" s="1267"/>
      <c r="AV26" s="1267">
        <f>AU26/2</f>
        <v>0</v>
      </c>
    </row>
    <row r="27" spans="1:56" ht="12" customHeight="1" outlineLevel="1" x14ac:dyDescent="0.3">
      <c r="A27" s="1261" t="s">
        <v>543</v>
      </c>
      <c r="B27" s="1248">
        <v>0</v>
      </c>
      <c r="C27" s="1248">
        <v>0</v>
      </c>
      <c r="D27" s="1248">
        <v>0</v>
      </c>
      <c r="E27" s="1248">
        <v>0</v>
      </c>
      <c r="F27" s="1248">
        <v>0</v>
      </c>
      <c r="G27" s="1248">
        <v>0</v>
      </c>
      <c r="H27" s="1249"/>
      <c r="I27" s="1249">
        <v>0</v>
      </c>
      <c r="J27" s="1248">
        <v>0</v>
      </c>
      <c r="K27" s="1249"/>
      <c r="L27" s="1248"/>
      <c r="M27" s="1256"/>
      <c r="N27" s="1256">
        <v>31.46</v>
      </c>
      <c r="O27" s="1256"/>
      <c r="P27" s="1256"/>
      <c r="Q27" s="1256"/>
      <c r="R27" s="1256"/>
      <c r="S27" s="1256"/>
      <c r="T27" s="1256"/>
      <c r="U27" s="1256"/>
      <c r="V27" s="1256"/>
      <c r="W27" s="1256"/>
      <c r="X27" s="1256"/>
      <c r="Y27" s="1256"/>
      <c r="Z27" s="1256"/>
      <c r="AA27" s="1256"/>
      <c r="AB27" s="1256"/>
      <c r="AC27" s="1256">
        <f t="shared" si="7"/>
        <v>0</v>
      </c>
      <c r="AD27" s="1263" t="str">
        <f t="shared" si="8"/>
        <v/>
      </c>
      <c r="AE27" s="2136"/>
      <c r="AF27" s="2150"/>
      <c r="AG27" s="1242"/>
      <c r="AH27" s="1242"/>
      <c r="AI27" s="2151"/>
      <c r="AJ27" s="2151"/>
      <c r="AK27" s="2151"/>
      <c r="AL27" s="1242"/>
      <c r="AM27" s="1242"/>
      <c r="AN27" s="2124"/>
      <c r="AO27" s="1268" t="s">
        <v>10</v>
      </c>
      <c r="AP27" s="1269">
        <f>BUDGET!S229</f>
        <v>0</v>
      </c>
      <c r="AQ27" s="1269">
        <f>BUDGET!Q229</f>
        <v>50000</v>
      </c>
      <c r="AR27" s="1269">
        <f>AP27-AQ27</f>
        <v>-50000</v>
      </c>
      <c r="AS27" s="1270">
        <f t="shared" si="19"/>
        <v>-100</v>
      </c>
      <c r="AU27" s="1267"/>
    </row>
    <row r="28" spans="1:56" ht="12" customHeight="1" outlineLevel="1" x14ac:dyDescent="0.3">
      <c r="A28" s="1261" t="s">
        <v>679</v>
      </c>
      <c r="B28" s="1248">
        <v>13031</v>
      </c>
      <c r="C28" s="1248">
        <v>14781</v>
      </c>
      <c r="D28" s="1248">
        <v>17889</v>
      </c>
      <c r="E28" s="1248">
        <v>15097</v>
      </c>
      <c r="F28" s="1248">
        <f>(4771+9165)</f>
        <v>13936</v>
      </c>
      <c r="G28" s="1248">
        <v>15183</v>
      </c>
      <c r="H28" s="1249">
        <v>15947</v>
      </c>
      <c r="I28" s="1249">
        <v>15864</v>
      </c>
      <c r="J28" s="1248">
        <v>15659</v>
      </c>
      <c r="K28" s="1249">
        <v>15536</v>
      </c>
      <c r="L28" s="1248">
        <v>13427</v>
      </c>
      <c r="M28" s="1256">
        <v>12881</v>
      </c>
      <c r="N28" s="1256">
        <v>12714</v>
      </c>
      <c r="O28" s="1256">
        <v>12346</v>
      </c>
      <c r="P28" s="1256">
        <v>12091</v>
      </c>
      <c r="Q28" s="1256">
        <v>13838</v>
      </c>
      <c r="R28" s="1256">
        <v>11311</v>
      </c>
      <c r="S28" s="1256">
        <v>11311</v>
      </c>
      <c r="T28" s="1422">
        <v>11144</v>
      </c>
      <c r="U28" s="1422"/>
      <c r="V28" s="1422">
        <v>10770</v>
      </c>
      <c r="W28" s="1422">
        <v>10985</v>
      </c>
      <c r="X28" s="1422">
        <v>11043</v>
      </c>
      <c r="Y28" s="1422">
        <v>13487</v>
      </c>
      <c r="Z28" s="1422">
        <v>13314</v>
      </c>
      <c r="AA28" s="1422">
        <v>16338</v>
      </c>
      <c r="AB28" s="1422">
        <v>17713</v>
      </c>
      <c r="AC28" s="1422">
        <f t="shared" si="7"/>
        <v>1375</v>
      </c>
      <c r="AD28" s="2084">
        <f t="shared" si="8"/>
        <v>8.4159627861427347E-2</v>
      </c>
      <c r="AE28" s="2139"/>
      <c r="AF28" s="2150"/>
      <c r="AG28" s="1242"/>
      <c r="AH28" s="1242"/>
      <c r="AI28" s="2151"/>
      <c r="AJ28" s="2151"/>
      <c r="AK28" s="2151"/>
      <c r="AL28" s="1242"/>
      <c r="AM28" s="1242"/>
      <c r="AN28" s="2124"/>
      <c r="AO28" s="1268" t="s">
        <v>162</v>
      </c>
      <c r="AP28" s="1269">
        <f>BUDGET!S235</f>
        <v>242866</v>
      </c>
      <c r="AQ28" s="1269">
        <f>BUDGET!Q235</f>
        <v>242866</v>
      </c>
      <c r="AR28" s="1269">
        <f>AP28-AQ28</f>
        <v>0</v>
      </c>
      <c r="AS28" s="1270">
        <f t="shared" si="19"/>
        <v>0</v>
      </c>
      <c r="AU28" s="1267"/>
    </row>
    <row r="29" spans="1:56" ht="12" customHeight="1" outlineLevel="1" x14ac:dyDescent="0.3">
      <c r="A29" s="1261" t="s">
        <v>680</v>
      </c>
      <c r="B29" s="1248">
        <v>0</v>
      </c>
      <c r="C29" s="1248">
        <v>0</v>
      </c>
      <c r="D29" s="1248">
        <v>0</v>
      </c>
      <c r="E29" s="1248">
        <v>0</v>
      </c>
      <c r="F29" s="1248">
        <v>0</v>
      </c>
      <c r="G29" s="1248">
        <v>0</v>
      </c>
      <c r="H29" s="1249"/>
      <c r="I29" s="1249">
        <v>0</v>
      </c>
      <c r="J29" s="1248">
        <v>0</v>
      </c>
      <c r="K29" s="1249"/>
      <c r="L29" s="1248"/>
      <c r="M29" s="1256"/>
      <c r="N29" s="1256">
        <v>17337</v>
      </c>
      <c r="O29" s="1256"/>
      <c r="P29" s="1256"/>
      <c r="Q29" s="1256"/>
      <c r="R29" s="1256"/>
      <c r="S29" s="1256"/>
      <c r="T29" s="1256"/>
      <c r="U29" s="1256"/>
      <c r="V29" s="1256"/>
      <c r="W29" s="1256"/>
      <c r="X29" s="1256"/>
      <c r="Y29" s="1256"/>
      <c r="Z29" s="1256"/>
      <c r="AA29" s="1256"/>
      <c r="AB29" s="1256"/>
      <c r="AC29" s="1256">
        <f t="shared" si="7"/>
        <v>0</v>
      </c>
      <c r="AD29" s="1263" t="str">
        <f t="shared" si="8"/>
        <v/>
      </c>
      <c r="AE29" s="2136"/>
      <c r="AF29" s="2150"/>
      <c r="AG29" s="1242"/>
      <c r="AH29" s="1242"/>
      <c r="AI29" s="2151"/>
      <c r="AJ29" s="2151"/>
      <c r="AK29" s="2151"/>
      <c r="AL29" s="1242"/>
      <c r="AM29" s="1242"/>
      <c r="AN29" s="2124"/>
      <c r="AO29" s="1268" t="s">
        <v>210</v>
      </c>
      <c r="AP29" s="1269">
        <f>BUDGET!S321</f>
        <v>232005</v>
      </c>
      <c r="AQ29" s="1269">
        <f>BUDGET!Q321</f>
        <v>230740</v>
      </c>
      <c r="AR29" s="1269">
        <f>AP29-AQ29</f>
        <v>1265</v>
      </c>
      <c r="AS29" s="1270">
        <f t="shared" si="19"/>
        <v>0.54823610990725491</v>
      </c>
      <c r="AU29" s="1267"/>
    </row>
    <row r="30" spans="1:56" ht="12" customHeight="1" outlineLevel="1" x14ac:dyDescent="0.3">
      <c r="A30" s="1261" t="s">
        <v>687</v>
      </c>
      <c r="B30" s="1248">
        <v>0</v>
      </c>
      <c r="C30" s="1248">
        <v>0</v>
      </c>
      <c r="D30" s="1248">
        <v>0</v>
      </c>
      <c r="E30" s="1248">
        <v>0</v>
      </c>
      <c r="F30" s="1248">
        <v>0</v>
      </c>
      <c r="G30" s="1248">
        <v>0</v>
      </c>
      <c r="H30" s="1249"/>
      <c r="I30" s="1249">
        <v>0</v>
      </c>
      <c r="J30" s="1248">
        <v>0</v>
      </c>
      <c r="K30" s="1249"/>
      <c r="L30" s="1248"/>
      <c r="M30" s="1256"/>
      <c r="N30" s="1256"/>
      <c r="O30" s="1256"/>
      <c r="P30" s="1256"/>
      <c r="Q30" s="1256"/>
      <c r="R30" s="1256"/>
      <c r="S30" s="1256"/>
      <c r="T30" s="1256"/>
      <c r="U30" s="1256"/>
      <c r="V30" s="1256"/>
      <c r="W30" s="1256"/>
      <c r="X30" s="1256"/>
      <c r="Y30" s="1256"/>
      <c r="Z30" s="1256"/>
      <c r="AA30" s="1256"/>
      <c r="AB30" s="1256"/>
      <c r="AC30" s="1256">
        <f t="shared" si="7"/>
        <v>0</v>
      </c>
      <c r="AD30" s="1263" t="str">
        <f t="shared" si="8"/>
        <v/>
      </c>
      <c r="AE30" s="2136"/>
      <c r="AF30" s="2150"/>
      <c r="AG30" s="1242"/>
      <c r="AH30" s="1242"/>
      <c r="AI30" s="2151"/>
      <c r="AJ30" s="2151"/>
      <c r="AK30" s="2151"/>
      <c r="AL30" s="1242"/>
      <c r="AM30" s="1242"/>
      <c r="AN30" s="2124"/>
      <c r="AO30" s="1278" t="s">
        <v>211</v>
      </c>
      <c r="AP30" s="1274"/>
      <c r="AQ30" s="1274"/>
      <c r="AR30" s="1274"/>
      <c r="AS30" s="1275"/>
      <c r="AU30" s="1267"/>
    </row>
    <row r="31" spans="1:56" ht="12" customHeight="1" outlineLevel="1" x14ac:dyDescent="0.3">
      <c r="A31" s="1261" t="s">
        <v>824</v>
      </c>
      <c r="B31" s="1248">
        <v>0</v>
      </c>
      <c r="C31" s="1248">
        <v>0</v>
      </c>
      <c r="D31" s="1248">
        <v>0</v>
      </c>
      <c r="E31" s="1248">
        <v>0</v>
      </c>
      <c r="F31" s="1248">
        <v>0</v>
      </c>
      <c r="G31" s="1248">
        <v>0</v>
      </c>
      <c r="H31" s="1249"/>
      <c r="I31" s="1249">
        <v>0</v>
      </c>
      <c r="J31" s="1248">
        <v>0</v>
      </c>
      <c r="K31" s="1249"/>
      <c r="L31" s="1248"/>
      <c r="M31" s="1256"/>
      <c r="N31" s="1256"/>
      <c r="O31" s="1256"/>
      <c r="P31" s="1256"/>
      <c r="Q31" s="1256"/>
      <c r="R31" s="1256"/>
      <c r="S31" s="1256"/>
      <c r="T31" s="1256"/>
      <c r="U31" s="1256"/>
      <c r="V31" s="1256"/>
      <c r="W31" s="1256"/>
      <c r="X31" s="1256"/>
      <c r="Y31" s="1256"/>
      <c r="Z31" s="1256"/>
      <c r="AA31" s="1256"/>
      <c r="AB31" s="1256"/>
      <c r="AC31" s="1256">
        <f t="shared" si="7"/>
        <v>0</v>
      </c>
      <c r="AD31" s="1263" t="str">
        <f t="shared" si="8"/>
        <v/>
      </c>
      <c r="AE31" s="2136"/>
      <c r="AF31" s="2150"/>
      <c r="AG31" s="1242"/>
      <c r="AH31" s="1242"/>
      <c r="AI31" s="2151"/>
      <c r="AJ31" s="2151"/>
      <c r="AK31" s="2151"/>
      <c r="AL31" s="1242"/>
      <c r="AM31" s="1242"/>
      <c r="AN31" s="2124"/>
      <c r="AO31" s="1268" t="s">
        <v>96</v>
      </c>
      <c r="AP31" s="1269">
        <f>BUDGET!S183</f>
        <v>5974481</v>
      </c>
      <c r="AQ31" s="1269">
        <f>BUDGET!Q183</f>
        <v>5781593</v>
      </c>
      <c r="AR31" s="1269">
        <f>AP31-AQ31</f>
        <v>192888</v>
      </c>
      <c r="AS31" s="1270">
        <f t="shared" si="19"/>
        <v>3.3362431426771137</v>
      </c>
      <c r="AU31" s="1267"/>
    </row>
    <row r="32" spans="1:56" ht="12" customHeight="1" outlineLevel="1" x14ac:dyDescent="0.3">
      <c r="A32" s="1261" t="s">
        <v>702</v>
      </c>
      <c r="B32" s="1248">
        <v>0</v>
      </c>
      <c r="C32" s="1248">
        <v>0</v>
      </c>
      <c r="D32" s="1248">
        <v>101235.31</v>
      </c>
      <c r="E32" s="1248">
        <v>0</v>
      </c>
      <c r="F32" s="1248">
        <v>82068.62</v>
      </c>
      <c r="G32" s="1248">
        <v>0</v>
      </c>
      <c r="H32" s="1249">
        <v>159831.54</v>
      </c>
      <c r="I32" s="1249">
        <v>19939</v>
      </c>
      <c r="J32" s="1248"/>
      <c r="K32" s="1249">
        <v>32557</v>
      </c>
      <c r="L32" s="1248">
        <v>136021</v>
      </c>
      <c r="M32" s="1256">
        <v>0</v>
      </c>
      <c r="N32" s="1256">
        <v>15275.84</v>
      </c>
      <c r="O32" s="1256"/>
      <c r="P32" s="1256"/>
      <c r="Q32" s="1256"/>
      <c r="R32" s="1256"/>
      <c r="S32" s="1256"/>
      <c r="T32" s="1256"/>
      <c r="U32" s="1256"/>
      <c r="V32" s="1256"/>
      <c r="W32" s="1256"/>
      <c r="X32" s="1256"/>
      <c r="Y32" s="1256"/>
      <c r="Z32" s="1256"/>
      <c r="AA32" s="1256"/>
      <c r="AB32" s="1256"/>
      <c r="AC32" s="1256">
        <f t="shared" si="7"/>
        <v>0</v>
      </c>
      <c r="AD32" s="1263"/>
      <c r="AE32" s="2140"/>
      <c r="AF32" s="2150"/>
      <c r="AG32" s="1242"/>
      <c r="AH32" s="1242"/>
      <c r="AI32" s="2151"/>
      <c r="AJ32" s="2151"/>
      <c r="AK32" s="2151"/>
      <c r="AL32" s="1242"/>
      <c r="AM32" s="1242"/>
      <c r="AN32" s="2124"/>
      <c r="AO32" s="1268" t="s">
        <v>97</v>
      </c>
      <c r="AP32" s="1269">
        <f>BUDGET!S438</f>
        <v>6121408</v>
      </c>
      <c r="AQ32" s="1269">
        <f>BUDGET!Q438</f>
        <v>6013061</v>
      </c>
      <c r="AR32" s="1269">
        <f>AP32-AQ32</f>
        <v>108347</v>
      </c>
      <c r="AS32" s="1270">
        <f t="shared" si="19"/>
        <v>1.8018609822850626</v>
      </c>
      <c r="AU32" s="1267"/>
    </row>
    <row r="33" spans="1:47" ht="12" customHeight="1" outlineLevel="1" x14ac:dyDescent="0.3">
      <c r="A33" s="1261" t="s">
        <v>827</v>
      </c>
      <c r="B33" s="1248">
        <v>0</v>
      </c>
      <c r="C33" s="1248">
        <v>0</v>
      </c>
      <c r="D33" s="1248">
        <v>0</v>
      </c>
      <c r="E33" s="1248">
        <v>0</v>
      </c>
      <c r="F33" s="1248">
        <v>0</v>
      </c>
      <c r="G33" s="1248">
        <v>0</v>
      </c>
      <c r="H33" s="1249"/>
      <c r="I33" s="1249">
        <v>0</v>
      </c>
      <c r="J33" s="1248">
        <v>0</v>
      </c>
      <c r="K33" s="1249"/>
      <c r="L33" s="1248"/>
      <c r="M33" s="1256"/>
      <c r="N33" s="1256"/>
      <c r="O33" s="1256"/>
      <c r="P33" s="1256"/>
      <c r="Q33" s="1256"/>
      <c r="R33" s="1256"/>
      <c r="S33" s="1256"/>
      <c r="T33" s="1256"/>
      <c r="U33" s="1256"/>
      <c r="V33" s="1256">
        <v>0</v>
      </c>
      <c r="W33" s="1256"/>
      <c r="X33" s="1256"/>
      <c r="Y33" s="1256"/>
      <c r="Z33" s="1256"/>
      <c r="AA33" s="1256"/>
      <c r="AB33" s="1256"/>
      <c r="AC33" s="1256">
        <f t="shared" si="7"/>
        <v>0</v>
      </c>
      <c r="AD33" s="1263" t="str">
        <f t="shared" si="8"/>
        <v/>
      </c>
      <c r="AE33" s="2136"/>
      <c r="AF33" s="2150"/>
      <c r="AG33" s="1242"/>
      <c r="AH33" s="1242"/>
      <c r="AI33" s="2151"/>
      <c r="AJ33" s="2151"/>
      <c r="AK33" s="2151"/>
      <c r="AL33" s="1242"/>
      <c r="AM33" s="1242"/>
      <c r="AN33" s="2124"/>
      <c r="AO33" s="1268" t="s">
        <v>98</v>
      </c>
      <c r="AP33" s="1269">
        <f>BUDGET!S433</f>
        <v>76238</v>
      </c>
      <c r="AQ33" s="1269">
        <f>BUDGET!Q433</f>
        <v>88184</v>
      </c>
      <c r="AR33" s="1269">
        <f>AP33-AQ33</f>
        <v>-11946</v>
      </c>
      <c r="AS33" s="1270">
        <f t="shared" si="19"/>
        <v>-13.546675133811123</v>
      </c>
      <c r="AU33" s="1267"/>
    </row>
    <row r="34" spans="1:47" ht="12" customHeight="1" outlineLevel="1" x14ac:dyDescent="0.3">
      <c r="A34" s="1261" t="s">
        <v>700</v>
      </c>
      <c r="B34" s="1248">
        <f t="shared" ref="B34:G34" si="20">SUM(B24:B33)</f>
        <v>13031</v>
      </c>
      <c r="C34" s="1248">
        <f t="shared" si="20"/>
        <v>14781</v>
      </c>
      <c r="D34" s="1248">
        <f t="shared" si="20"/>
        <v>119124.31</v>
      </c>
      <c r="E34" s="1248">
        <f t="shared" si="20"/>
        <v>15097</v>
      </c>
      <c r="F34" s="1248">
        <f t="shared" si="20"/>
        <v>96004.62</v>
      </c>
      <c r="G34" s="1248">
        <f t="shared" si="20"/>
        <v>15183</v>
      </c>
      <c r="H34" s="1249">
        <f t="shared" ref="H34:O34" si="21">SUM(H24:H33)</f>
        <v>175778.54</v>
      </c>
      <c r="I34" s="1249">
        <f t="shared" si="21"/>
        <v>35803</v>
      </c>
      <c r="J34" s="1248">
        <f t="shared" si="21"/>
        <v>15659</v>
      </c>
      <c r="K34" s="1249">
        <f t="shared" si="21"/>
        <v>48093</v>
      </c>
      <c r="L34" s="1248">
        <f t="shared" si="21"/>
        <v>149448</v>
      </c>
      <c r="M34" s="1256">
        <f t="shared" si="21"/>
        <v>12881</v>
      </c>
      <c r="N34" s="1256">
        <f t="shared" si="21"/>
        <v>55358.3</v>
      </c>
      <c r="O34" s="1256">
        <f t="shared" si="21"/>
        <v>17321</v>
      </c>
      <c r="P34" s="1256">
        <v>12091</v>
      </c>
      <c r="Q34" s="1256">
        <v>13838</v>
      </c>
      <c r="R34" s="1256">
        <v>11311</v>
      </c>
      <c r="S34" s="1256">
        <f>SUM(S24:S33)</f>
        <v>11311</v>
      </c>
      <c r="T34" s="1256">
        <f>SUM(T24:T33)</f>
        <v>11144</v>
      </c>
      <c r="U34" s="1256"/>
      <c r="V34" s="1256">
        <f t="shared" ref="V34:AA34" si="22">SUM(V24:V33)</f>
        <v>10770</v>
      </c>
      <c r="W34" s="1256">
        <f t="shared" si="22"/>
        <v>10985</v>
      </c>
      <c r="X34" s="1256">
        <f t="shared" si="22"/>
        <v>11043</v>
      </c>
      <c r="Y34" s="1256">
        <f t="shared" si="22"/>
        <v>13487</v>
      </c>
      <c r="Z34" s="1256">
        <f t="shared" si="22"/>
        <v>13314</v>
      </c>
      <c r="AA34" s="1256">
        <f t="shared" si="22"/>
        <v>16338</v>
      </c>
      <c r="AB34" s="1256">
        <f t="shared" ref="AB34" si="23">SUM(AB24:AB33)</f>
        <v>17713</v>
      </c>
      <c r="AC34" s="1256">
        <f t="shared" si="7"/>
        <v>1375</v>
      </c>
      <c r="AD34" s="1263"/>
      <c r="AE34" s="2136"/>
      <c r="AF34" s="2150"/>
      <c r="AG34" s="1242"/>
      <c r="AH34" s="1242"/>
      <c r="AI34" s="2151"/>
      <c r="AJ34" s="2151"/>
      <c r="AK34" s="2151"/>
      <c r="AL34" s="1242"/>
      <c r="AM34" s="1242"/>
      <c r="AN34" s="2124"/>
      <c r="AO34" s="1278" t="s">
        <v>234</v>
      </c>
      <c r="AP34" s="1274"/>
      <c r="AQ34" s="1274"/>
      <c r="AR34" s="1274"/>
      <c r="AS34" s="1275"/>
      <c r="AU34" s="1267"/>
    </row>
    <row r="35" spans="1:47" ht="12" customHeight="1" outlineLevel="1" x14ac:dyDescent="0.3">
      <c r="A35" s="1247" t="s">
        <v>701</v>
      </c>
      <c r="B35" s="1248">
        <v>162695</v>
      </c>
      <c r="C35" s="1248">
        <v>151969</v>
      </c>
      <c r="D35" s="1248">
        <v>145247</v>
      </c>
      <c r="E35" s="1248">
        <v>137909</v>
      </c>
      <c r="F35" s="1249">
        <v>168507</v>
      </c>
      <c r="G35" s="1294">
        <v>149579</v>
      </c>
      <c r="H35" s="1294">
        <v>149015</v>
      </c>
      <c r="I35" s="1295">
        <v>153542</v>
      </c>
      <c r="J35" s="1281">
        <v>183228</v>
      </c>
      <c r="K35" s="1280">
        <v>168364</v>
      </c>
      <c r="L35" s="1281">
        <v>179472</v>
      </c>
      <c r="M35" s="1282">
        <v>196937</v>
      </c>
      <c r="N35" s="1296">
        <v>215973</v>
      </c>
      <c r="O35" s="1296">
        <v>209673</v>
      </c>
      <c r="P35" s="1296">
        <v>306842</v>
      </c>
      <c r="Q35" s="1296">
        <v>283024</v>
      </c>
      <c r="R35" s="1296">
        <v>296148</v>
      </c>
      <c r="S35" s="1296">
        <v>294285</v>
      </c>
      <c r="T35" s="1421">
        <v>294285</v>
      </c>
      <c r="U35" s="1297"/>
      <c r="V35" s="1421">
        <v>300530</v>
      </c>
      <c r="W35" s="1421">
        <f>315376 -106162</f>
        <v>209214</v>
      </c>
      <c r="X35" s="1421">
        <v>201552</v>
      </c>
      <c r="Y35" s="1421">
        <v>209306</v>
      </c>
      <c r="Z35" s="1421">
        <v>212302</v>
      </c>
      <c r="AA35" s="1421">
        <v>253174</v>
      </c>
      <c r="AB35" s="1421">
        <v>224377</v>
      </c>
      <c r="AC35" s="1421">
        <f t="shared" si="7"/>
        <v>-28797</v>
      </c>
      <c r="AD35" s="2085" t="str">
        <f t="shared" si="8"/>
        <v/>
      </c>
      <c r="AE35" s="2141"/>
      <c r="AF35" s="2150"/>
      <c r="AG35" s="1242"/>
      <c r="AH35" s="1242"/>
      <c r="AI35" s="2151"/>
      <c r="AJ35" s="2151"/>
      <c r="AK35" s="2151"/>
      <c r="AL35" s="1242"/>
      <c r="AM35" s="1242"/>
      <c r="AN35" s="2124"/>
      <c r="AO35" s="1268" t="s">
        <v>235</v>
      </c>
      <c r="AP35" s="1269">
        <f>BUDGET!S386</f>
        <v>1187482.5</v>
      </c>
      <c r="AQ35" s="1269">
        <f>BUDGET!Q386</f>
        <v>1141042</v>
      </c>
      <c r="AR35" s="1269">
        <f>AP35-AQ35</f>
        <v>46440.5</v>
      </c>
      <c r="AS35" s="1270">
        <f t="shared" si="19"/>
        <v>4.0700079401108811</v>
      </c>
      <c r="AU35" s="1267"/>
    </row>
    <row r="36" spans="1:47" ht="12" customHeight="1" outlineLevel="1" x14ac:dyDescent="0.3">
      <c r="A36" s="1247" t="s">
        <v>518</v>
      </c>
      <c r="B36" s="1248">
        <v>100706.68</v>
      </c>
      <c r="C36" s="1248">
        <v>103939</v>
      </c>
      <c r="D36" s="1248">
        <v>81491.83</v>
      </c>
      <c r="E36" s="1248">
        <v>112759.53</v>
      </c>
      <c r="F36" s="1249">
        <v>122618.06</v>
      </c>
      <c r="G36" s="1294">
        <v>121237.71</v>
      </c>
      <c r="H36" s="1294">
        <v>128794.31</v>
      </c>
      <c r="I36" s="1295">
        <v>130000</v>
      </c>
      <c r="J36" s="1281">
        <v>114971</v>
      </c>
      <c r="K36" s="1280">
        <v>234007</v>
      </c>
      <c r="L36" s="1298">
        <v>136571</v>
      </c>
      <c r="M36" s="1282">
        <v>151782</v>
      </c>
      <c r="N36" s="1296">
        <v>154809</v>
      </c>
      <c r="O36" s="1296">
        <v>146159</v>
      </c>
      <c r="P36" s="1296">
        <v>168079</v>
      </c>
      <c r="Q36" s="1296">
        <v>173105</v>
      </c>
      <c r="R36" s="1296">
        <v>178355.04</v>
      </c>
      <c r="S36" s="1296">
        <v>178355.04</v>
      </c>
      <c r="T36" s="1421">
        <v>175000</v>
      </c>
      <c r="U36" s="1297"/>
      <c r="V36" s="1421">
        <v>140000</v>
      </c>
      <c r="W36" s="1421">
        <v>140000</v>
      </c>
      <c r="X36" s="1421">
        <v>140000</v>
      </c>
      <c r="Y36" s="1421">
        <v>140000</v>
      </c>
      <c r="Z36" s="1421">
        <v>150000</v>
      </c>
      <c r="AA36" s="1421">
        <v>150000</v>
      </c>
      <c r="AB36" s="1421">
        <v>165000</v>
      </c>
      <c r="AC36" s="1421">
        <f t="shared" si="7"/>
        <v>15000</v>
      </c>
      <c r="AD36" s="2085">
        <f t="shared" si="8"/>
        <v>0.1</v>
      </c>
      <c r="AE36" s="2141"/>
      <c r="AF36" s="2150"/>
      <c r="AG36" s="1242"/>
      <c r="AH36" s="1242"/>
      <c r="AI36" s="2151"/>
      <c r="AJ36" s="2151"/>
      <c r="AK36" s="2151"/>
      <c r="AL36" s="1242"/>
      <c r="AM36" s="1242"/>
      <c r="AN36" s="2124"/>
      <c r="AO36" s="1268" t="s">
        <v>236</v>
      </c>
      <c r="AP36" s="1269">
        <f>BUDGET!S394</f>
        <v>0</v>
      </c>
      <c r="AQ36" s="1269">
        <f>BUDGET!Q394</f>
        <v>362253</v>
      </c>
      <c r="AR36" s="1269">
        <f>AP36-AQ36</f>
        <v>-362253</v>
      </c>
      <c r="AS36" s="1270">
        <f>AR36/AQ36*100</f>
        <v>-100</v>
      </c>
      <c r="AU36" s="1267"/>
    </row>
    <row r="37" spans="1:47" ht="12" customHeight="1" outlineLevel="1" x14ac:dyDescent="0.3">
      <c r="A37" s="1299" t="s">
        <v>653</v>
      </c>
      <c r="B37" s="1292">
        <f t="shared" ref="B37:G37" si="24">SUM(B22+B34+B35+B36)</f>
        <v>14101891.68</v>
      </c>
      <c r="C37" s="1292">
        <f t="shared" si="24"/>
        <v>18119821</v>
      </c>
      <c r="D37" s="1292">
        <f t="shared" si="24"/>
        <v>16686239.140000001</v>
      </c>
      <c r="E37" s="1292">
        <f t="shared" si="24"/>
        <v>17443650.530000001</v>
      </c>
      <c r="F37" s="1293">
        <f t="shared" si="24"/>
        <v>17602659.68</v>
      </c>
      <c r="G37" s="1279">
        <f t="shared" si="24"/>
        <v>18478745.710000001</v>
      </c>
      <c r="H37" s="1280">
        <f t="shared" ref="H37:O37" si="25">SUM(H22+H34+H35+H36)</f>
        <v>19581128.77</v>
      </c>
      <c r="I37" s="1280">
        <f t="shared" si="25"/>
        <v>20611532.18</v>
      </c>
      <c r="J37" s="1281">
        <f t="shared" si="25"/>
        <v>21382144.539999999</v>
      </c>
      <c r="K37" s="1280">
        <f t="shared" si="25"/>
        <v>22582446.489</v>
      </c>
      <c r="L37" s="1281">
        <f t="shared" si="25"/>
        <v>22812282</v>
      </c>
      <c r="M37" s="1282">
        <f t="shared" si="25"/>
        <v>22476419</v>
      </c>
      <c r="N37" s="1283">
        <f t="shared" si="25"/>
        <v>23457517.800000001</v>
      </c>
      <c r="O37" s="1282">
        <f t="shared" si="25"/>
        <v>24094257.039999999</v>
      </c>
      <c r="P37" s="1281">
        <v>24932432.782400001</v>
      </c>
      <c r="Q37" s="1281">
        <v>25841103</v>
      </c>
      <c r="R37" s="1281">
        <v>27574422.789999999</v>
      </c>
      <c r="S37" s="1281">
        <f>SUM(S22+S34+S35+S36)</f>
        <v>27941001.789999999</v>
      </c>
      <c r="T37" s="1281">
        <f>SUM(T22+T34+T35+T36)</f>
        <v>29373410.589999996</v>
      </c>
      <c r="U37" s="1281"/>
      <c r="V37" s="1281">
        <f t="shared" ref="V37:AA37" si="26">SUM(V22+V34+V35+V36)</f>
        <v>30749207.049999997</v>
      </c>
      <c r="W37" s="1281">
        <f t="shared" si="26"/>
        <v>33505321.199999999</v>
      </c>
      <c r="X37" s="1281">
        <f t="shared" si="26"/>
        <v>33473589.029599972</v>
      </c>
      <c r="Y37" s="1281">
        <f t="shared" si="26"/>
        <v>35127207.305000007</v>
      </c>
      <c r="Z37" s="1281">
        <f t="shared" si="26"/>
        <v>36204394.884149998</v>
      </c>
      <c r="AA37" s="1281">
        <f t="shared" si="26"/>
        <v>39744828.760000005</v>
      </c>
      <c r="AB37" s="1281">
        <f t="shared" ref="AB37" si="27">SUM(AB22+AB34+AB35+AB36)</f>
        <v>40887993.600000001</v>
      </c>
      <c r="AC37" s="1281">
        <f>AB37-AA37</f>
        <v>1143164.8399999961</v>
      </c>
      <c r="AD37" s="2086">
        <f>IF(AC37&gt;0,AC37/AA37,"")</f>
        <v>2.8762605744335229E-2</v>
      </c>
      <c r="AE37" s="2137"/>
      <c r="AF37" s="2150"/>
      <c r="AG37" s="1242"/>
      <c r="AH37" s="1242"/>
      <c r="AI37" s="2151"/>
      <c r="AJ37" s="2151"/>
      <c r="AK37" s="2151"/>
      <c r="AL37" s="1242"/>
      <c r="AM37" s="1242"/>
      <c r="AN37" s="2124"/>
      <c r="AO37" s="1268" t="s">
        <v>230</v>
      </c>
      <c r="AP37" s="1269">
        <f>BUDGET!S396</f>
        <v>0</v>
      </c>
      <c r="AQ37" s="1269">
        <f>BUDGET!Q396</f>
        <v>1575476</v>
      </c>
      <c r="AR37" s="1269">
        <f>AP37-AQ37</f>
        <v>-1575476</v>
      </c>
      <c r="AS37" s="1270">
        <f>AR37/AQ37*100</f>
        <v>-100</v>
      </c>
      <c r="AU37" s="1267"/>
    </row>
    <row r="38" spans="1:47" ht="12" customHeight="1" outlineLevel="1" x14ac:dyDescent="0.3">
      <c r="A38" s="1261"/>
      <c r="B38" s="1248"/>
      <c r="C38" s="1248"/>
      <c r="D38" s="1248"/>
      <c r="E38" s="1248"/>
      <c r="F38" s="1248"/>
      <c r="G38" s="1248"/>
      <c r="H38" s="1249"/>
      <c r="I38" s="1300"/>
      <c r="J38" s="1301"/>
      <c r="K38" s="1302"/>
      <c r="L38" s="1301"/>
      <c r="M38" s="1303"/>
      <c r="N38" s="1303"/>
      <c r="O38" s="1303"/>
      <c r="P38" s="1303"/>
      <c r="Q38" s="1303"/>
      <c r="R38" s="1303"/>
      <c r="S38" s="1303"/>
      <c r="T38" s="1303"/>
      <c r="U38" s="1303"/>
      <c r="V38" s="1303"/>
      <c r="W38" s="1303"/>
      <c r="X38" s="1303"/>
      <c r="Y38" s="1303"/>
      <c r="Z38" s="1303"/>
      <c r="AA38" s="1303"/>
      <c r="AB38" s="1303"/>
      <c r="AC38" s="1303">
        <f t="shared" si="7"/>
        <v>0</v>
      </c>
      <c r="AD38" s="2087" t="str">
        <f t="shared" si="8"/>
        <v/>
      </c>
      <c r="AE38" s="2136"/>
      <c r="AF38" s="2150"/>
      <c r="AG38" s="1242"/>
      <c r="AH38" s="1242"/>
      <c r="AI38" s="2151"/>
      <c r="AJ38" s="2151"/>
      <c r="AK38" s="2151"/>
      <c r="AL38" s="1242"/>
      <c r="AM38" s="1242"/>
      <c r="AN38" s="2124"/>
      <c r="AO38" s="1268"/>
      <c r="AP38" s="1274"/>
      <c r="AQ38" s="1274"/>
      <c r="AR38" s="1274"/>
      <c r="AS38" s="1277"/>
      <c r="AU38" s="1267"/>
    </row>
    <row r="39" spans="1:47" ht="12" customHeight="1" outlineLevel="1" x14ac:dyDescent="0.3">
      <c r="A39" s="1247" t="s">
        <v>793</v>
      </c>
      <c r="B39" s="1248"/>
      <c r="C39" s="1248"/>
      <c r="D39" s="1248"/>
      <c r="E39" s="1248"/>
      <c r="F39" s="1248"/>
      <c r="G39" s="1248"/>
      <c r="H39" s="1249"/>
      <c r="I39" s="1249"/>
      <c r="J39" s="1248"/>
      <c r="K39" s="1249"/>
      <c r="L39" s="1248"/>
      <c r="M39" s="1256"/>
      <c r="N39" s="1256"/>
      <c r="O39" s="1256"/>
      <c r="P39" s="1256"/>
      <c r="Q39" s="1256"/>
      <c r="R39" s="1256"/>
      <c r="S39" s="1256"/>
      <c r="T39" s="1256"/>
      <c r="U39" s="1256"/>
      <c r="V39" s="1256"/>
      <c r="W39" s="1256"/>
      <c r="X39" s="1256"/>
      <c r="Y39" s="1256"/>
      <c r="Z39" s="1256"/>
      <c r="AA39" s="1256"/>
      <c r="AB39" s="1256"/>
      <c r="AC39" s="1256">
        <f t="shared" si="7"/>
        <v>0</v>
      </c>
      <c r="AD39" s="1263" t="str">
        <f t="shared" si="8"/>
        <v/>
      </c>
      <c r="AE39" s="2136"/>
      <c r="AF39" s="2150"/>
      <c r="AG39" s="1242"/>
      <c r="AH39" s="1242"/>
      <c r="AI39" s="2151"/>
      <c r="AJ39" s="2151"/>
      <c r="AK39" s="2151"/>
      <c r="AL39" s="1242"/>
      <c r="AM39" s="1242"/>
      <c r="AN39" s="2124"/>
      <c r="AO39" s="1268" t="s">
        <v>74</v>
      </c>
      <c r="AP39" s="1269">
        <f>BUDGET!S391</f>
        <v>733580</v>
      </c>
      <c r="AQ39" s="1269">
        <f>BUDGET!Q391</f>
        <v>667094</v>
      </c>
      <c r="AR39" s="1269">
        <f>AP39-AQ39</f>
        <v>66486</v>
      </c>
      <c r="AS39" s="1270">
        <f>AR39/AQ39*100</f>
        <v>9.9665114661501981</v>
      </c>
      <c r="AU39" s="1267"/>
    </row>
    <row r="40" spans="1:47" ht="12" customHeight="1" outlineLevel="1" thickBot="1" x14ac:dyDescent="0.35">
      <c r="A40" s="1261" t="s">
        <v>673</v>
      </c>
      <c r="B40" s="1248">
        <v>1339963</v>
      </c>
      <c r="C40" s="1248">
        <v>1527117</v>
      </c>
      <c r="D40" s="1248">
        <v>1707847</v>
      </c>
      <c r="E40" s="1248">
        <v>2146007</v>
      </c>
      <c r="F40" s="1248">
        <v>1835756</v>
      </c>
      <c r="G40" s="1248">
        <v>1862835</v>
      </c>
      <c r="H40" s="1249">
        <f>'STATE RECEIPTS'!B35</f>
        <v>1466931</v>
      </c>
      <c r="I40" s="1249">
        <f>'STATE RECEIPTS'!D35</f>
        <v>1889700</v>
      </c>
      <c r="J40" s="1248">
        <f>'STATE RECEIPTS'!F35</f>
        <v>2032751</v>
      </c>
      <c r="K40" s="1249">
        <f>'STATE RECEIPTS'!H35</f>
        <v>2077053</v>
      </c>
      <c r="L40" s="1248">
        <f>'STATE RECEIPTS'!J35-213</f>
        <v>1789469</v>
      </c>
      <c r="M40" s="1256">
        <f>'STATE RECEIPTS'!L31</f>
        <v>1701576</v>
      </c>
      <c r="N40" s="1256">
        <f>'STATE RECEIPTS'!N35</f>
        <v>1672971</v>
      </c>
      <c r="O40" s="1256">
        <f>'STATE RECEIPTS'!P35</f>
        <v>1723117</v>
      </c>
      <c r="P40" s="1256">
        <v>1751296</v>
      </c>
      <c r="Q40" s="1256">
        <v>1798149</v>
      </c>
      <c r="R40" s="1256">
        <v>1829084</v>
      </c>
      <c r="S40" s="1256">
        <f>'STATE RECEIPTS'!X35</f>
        <v>1866488</v>
      </c>
      <c r="T40" s="1256">
        <f>'STATE RECEIPTS'!Z35</f>
        <v>1887064</v>
      </c>
      <c r="U40" s="1256"/>
      <c r="V40" s="1256">
        <f>'STATE RECEIPTS'!AD35</f>
        <v>1927465</v>
      </c>
      <c r="W40" s="1256">
        <f>'STATE RECEIPTS'!AF35</f>
        <v>1971166</v>
      </c>
      <c r="X40" s="1256">
        <f>'STATE RECEIPTS'!AH35</f>
        <v>2019051</v>
      </c>
      <c r="Y40" s="1256">
        <f>'STATE RECEIPTS'!AJ35</f>
        <v>2069473</v>
      </c>
      <c r="Z40" s="1256">
        <f>'STATE RECEIPTS'!AL35</f>
        <v>2114884</v>
      </c>
      <c r="AA40" s="1256">
        <f>'STATE RECEIPTS'!AN35</f>
        <v>2318322</v>
      </c>
      <c r="AB40" s="1256">
        <f>'STATE RECEIPTS'!AP35</f>
        <v>2463230</v>
      </c>
      <c r="AC40" s="1256">
        <f t="shared" si="7"/>
        <v>144908</v>
      </c>
      <c r="AD40" s="1263">
        <f t="shared" si="8"/>
        <v>6.2505553585740031E-2</v>
      </c>
      <c r="AE40" s="2142"/>
      <c r="AF40" s="2150"/>
      <c r="AG40" s="1242"/>
      <c r="AH40" s="1242"/>
      <c r="AI40" s="2151"/>
      <c r="AJ40" s="2151"/>
      <c r="AK40" s="2151"/>
      <c r="AL40" s="1242"/>
      <c r="AM40" s="1242"/>
      <c r="AN40" s="2124"/>
      <c r="AO40" s="1304" t="s">
        <v>231</v>
      </c>
      <c r="AP40" s="1305">
        <f>BUDGET!S413</f>
        <v>15158375.5</v>
      </c>
      <c r="AQ40" s="1305">
        <f>BUDGET!O413</f>
        <v>14370306</v>
      </c>
      <c r="AR40" s="1305">
        <f>AP40-AQ40</f>
        <v>788069.5</v>
      </c>
      <c r="AS40" s="1306">
        <f>AR40/AQ40*100</f>
        <v>5.4840133536474447</v>
      </c>
      <c r="AU40" s="1267"/>
    </row>
    <row r="41" spans="1:47" ht="12" customHeight="1" outlineLevel="1" thickTop="1" x14ac:dyDescent="0.3">
      <c r="A41" s="77" t="s">
        <v>1030</v>
      </c>
      <c r="B41" s="1248"/>
      <c r="C41" s="1248"/>
      <c r="D41" s="1248"/>
      <c r="E41" s="1248"/>
      <c r="F41" s="1248"/>
      <c r="G41" s="1248"/>
      <c r="H41" s="1249">
        <v>542622</v>
      </c>
      <c r="I41" s="1249">
        <v>542622</v>
      </c>
      <c r="J41" s="1248">
        <v>542622</v>
      </c>
      <c r="K41" s="1249">
        <v>430056</v>
      </c>
      <c r="L41" s="1248">
        <v>430056</v>
      </c>
      <c r="M41" s="1256">
        <v>430057</v>
      </c>
      <c r="N41" s="1256">
        <f>SUM('DE 1'!I151,'DE 1'!I162)</f>
        <v>419170</v>
      </c>
      <c r="O41" s="1256">
        <v>0</v>
      </c>
      <c r="P41" s="1256">
        <v>0</v>
      </c>
      <c r="Q41" s="1256">
        <v>0</v>
      </c>
      <c r="R41" s="1256">
        <v>0</v>
      </c>
      <c r="S41" s="1256">
        <f>SUM('DE 1'!I182,'DE 1'!I192)</f>
        <v>0</v>
      </c>
      <c r="T41" s="1256"/>
      <c r="U41" s="1256"/>
      <c r="V41" s="1256"/>
      <c r="W41" s="1256"/>
      <c r="X41" s="1256">
        <v>100000</v>
      </c>
      <c r="Y41" s="1256">
        <v>75000</v>
      </c>
      <c r="Z41" s="1256"/>
      <c r="AA41" s="1256">
        <v>100000</v>
      </c>
      <c r="AB41" s="1256"/>
      <c r="AC41" s="1256">
        <f t="shared" si="7"/>
        <v>-100000</v>
      </c>
      <c r="AD41" s="1263" t="str">
        <f t="shared" si="8"/>
        <v/>
      </c>
      <c r="AE41" s="2142"/>
      <c r="AF41" s="2150"/>
      <c r="AG41" s="1242"/>
      <c r="AH41" s="1242"/>
      <c r="AI41" s="2151"/>
      <c r="AJ41" s="2151"/>
      <c r="AK41" s="2151"/>
      <c r="AL41" s="1242"/>
      <c r="AM41" s="1242"/>
      <c r="AN41" s="2124"/>
      <c r="AO41" s="1278" t="s">
        <v>232</v>
      </c>
      <c r="AP41" s="1274"/>
      <c r="AQ41" s="1274"/>
      <c r="AR41" s="1307" t="s">
        <v>334</v>
      </c>
      <c r="AS41" s="1275"/>
      <c r="AU41" s="1267"/>
    </row>
    <row r="42" spans="1:47" ht="12" customHeight="1" outlineLevel="1" x14ac:dyDescent="0.3">
      <c r="A42" s="1261" t="s">
        <v>829</v>
      </c>
      <c r="B42" s="1248">
        <v>1165859</v>
      </c>
      <c r="C42" s="1248">
        <v>1219825</v>
      </c>
      <c r="D42" s="1248">
        <v>1212300</v>
      </c>
      <c r="E42" s="1248">
        <v>1208300</v>
      </c>
      <c r="F42" s="1248">
        <v>1240450</v>
      </c>
      <c r="G42" s="1248">
        <v>1320403</v>
      </c>
      <c r="H42" s="1249">
        <v>1344000</v>
      </c>
      <c r="I42" s="1249">
        <f>SUM('SCH. A LOCAL RECEIPTS'!P32)</f>
        <v>1344000</v>
      </c>
      <c r="J42" s="1248">
        <v>1457500</v>
      </c>
      <c r="K42" s="1249">
        <f>SUM('SCH. A LOCAL RECEIPTS'!T32)</f>
        <v>1398400</v>
      </c>
      <c r="L42" s="1248">
        <f>SUM('SCH. A LOCAL RECEIPTS'!V32)</f>
        <v>1214700</v>
      </c>
      <c r="M42" s="1256">
        <f>'SCH. A LOCAL RECEIPTS'!X32</f>
        <v>1241100</v>
      </c>
      <c r="N42" s="1256">
        <f>'SCH. A LOCAL RECEIPTS'!AA32</f>
        <v>1728210.33</v>
      </c>
      <c r="O42" s="1256">
        <f>'SCH. A LOCAL RECEIPTS'!AC32</f>
        <v>1268487</v>
      </c>
      <c r="P42" s="1256">
        <v>1311812</v>
      </c>
      <c r="Q42" s="1256">
        <v>1311812</v>
      </c>
      <c r="R42" s="1256">
        <v>1426975</v>
      </c>
      <c r="S42" s="1256">
        <f>'SCH. A LOCAL RECEIPTS'!AJ32</f>
        <v>1426975</v>
      </c>
      <c r="T42" s="1256">
        <f>'SCH. A LOCAL RECEIPTS'!AL32</f>
        <v>1505500</v>
      </c>
      <c r="U42" s="1256"/>
      <c r="V42" s="1256">
        <f>'SCH. A LOCAL RECEIPTS'!AN32</f>
        <v>1600000</v>
      </c>
      <c r="W42" s="1256">
        <f>'SCH. A LOCAL RECEIPTS'!AP32</f>
        <v>1600000</v>
      </c>
      <c r="X42" s="1256">
        <f>'SCH. A LOCAL RECEIPTS'!AR32</f>
        <v>1650000</v>
      </c>
      <c r="Y42" s="1256">
        <f>'SCH. A LOCAL RECEIPTS'!AT32</f>
        <v>1670000</v>
      </c>
      <c r="Z42" s="1256">
        <f>'SCH. A LOCAL RECEIPTS'!AV32</f>
        <v>1933887</v>
      </c>
      <c r="AA42" s="1256">
        <f>'SCH. A LOCAL RECEIPTS'!AX32</f>
        <v>2031000</v>
      </c>
      <c r="AB42" s="1256">
        <f>'SCH. A LOCAL RECEIPTS'!AZ32</f>
        <v>2088500</v>
      </c>
      <c r="AC42" s="1256">
        <f t="shared" si="7"/>
        <v>57500</v>
      </c>
      <c r="AD42" s="1263">
        <f t="shared" si="8"/>
        <v>2.8311176760216644E-2</v>
      </c>
      <c r="AE42" s="2142"/>
      <c r="AF42" s="2150"/>
      <c r="AG42" s="1242"/>
      <c r="AH42" s="1242"/>
      <c r="AI42" s="2151"/>
      <c r="AJ42" s="2151"/>
      <c r="AK42" s="2151"/>
      <c r="AL42" s="1242"/>
      <c r="AM42" s="1242"/>
      <c r="AN42" s="2124"/>
      <c r="AO42" s="1268" t="s">
        <v>233</v>
      </c>
      <c r="AP42" s="1308">
        <f>'PROJECTED SCH. B'!C10</f>
        <v>110476</v>
      </c>
      <c r="AQ42" s="1274"/>
      <c r="AR42" s="1274" t="s">
        <v>332</v>
      </c>
      <c r="AS42" s="1275"/>
      <c r="AU42" s="1267"/>
    </row>
    <row r="43" spans="1:47" ht="12" customHeight="1" outlineLevel="1" x14ac:dyDescent="0.3">
      <c r="A43" s="1261" t="s">
        <v>830</v>
      </c>
      <c r="B43" s="1248">
        <v>1090882</v>
      </c>
      <c r="C43" s="1248">
        <v>225000</v>
      </c>
      <c r="D43" s="1248">
        <v>771515.69</v>
      </c>
      <c r="E43" s="1248">
        <v>831168</v>
      </c>
      <c r="F43" s="1248">
        <v>949683</v>
      </c>
      <c r="G43" s="1248">
        <v>785346</v>
      </c>
      <c r="H43" s="1249">
        <v>949286</v>
      </c>
      <c r="I43" s="1249">
        <v>954821</v>
      </c>
      <c r="J43" s="1248">
        <v>917716</v>
      </c>
      <c r="K43" s="1249">
        <v>833397</v>
      </c>
      <c r="L43" s="1248">
        <v>1461976</v>
      </c>
      <c r="M43" s="1256">
        <v>954581</v>
      </c>
      <c r="N43" s="1256">
        <v>1046875</v>
      </c>
      <c r="O43" s="1256">
        <v>1749897</v>
      </c>
      <c r="P43" s="1256">
        <v>1481086</v>
      </c>
      <c r="Q43" s="1256">
        <v>1388244</v>
      </c>
      <c r="R43" s="1256">
        <v>1290688</v>
      </c>
      <c r="S43" s="1256">
        <v>1348351</v>
      </c>
      <c r="T43" s="1256">
        <v>1504522</v>
      </c>
      <c r="U43" s="1256"/>
      <c r="V43" s="1256">
        <v>1801901</v>
      </c>
      <c r="W43" s="1256">
        <f>2091364</f>
        <v>2091364</v>
      </c>
      <c r="X43" s="1256">
        <v>2372426</v>
      </c>
      <c r="Y43" s="1256">
        <v>2562872</v>
      </c>
      <c r="Z43" s="1256">
        <v>2279290.25</v>
      </c>
      <c r="AA43" s="1256">
        <v>3331395.4323397907</v>
      </c>
      <c r="AB43" s="1256">
        <f>'PROJECTED SCH. A2 WATER'!D21</f>
        <v>2806958</v>
      </c>
      <c r="AC43" s="1256">
        <f t="shared" si="7"/>
        <v>-524437.43233979074</v>
      </c>
      <c r="AD43" s="2088" t="str">
        <f t="shared" si="8"/>
        <v/>
      </c>
      <c r="AE43" s="2138"/>
      <c r="AF43" s="2150"/>
      <c r="AG43" s="1242"/>
      <c r="AH43" s="1242"/>
      <c r="AI43" s="2151"/>
      <c r="AJ43" s="2151"/>
      <c r="AK43" s="2151"/>
      <c r="AL43" s="1242"/>
      <c r="AM43" s="1242"/>
      <c r="AN43" s="2124"/>
      <c r="AO43" s="1268" t="s">
        <v>329</v>
      </c>
      <c r="AP43" s="1308" t="e">
        <f>'PROJECTED SCH. B'!#REF!</f>
        <v>#REF!</v>
      </c>
      <c r="AQ43" s="1274"/>
      <c r="AR43" s="1274" t="s">
        <v>333</v>
      </c>
      <c r="AS43" s="1275"/>
      <c r="AU43" s="1267"/>
    </row>
    <row r="44" spans="1:47" ht="12" customHeight="1" outlineLevel="1" x14ac:dyDescent="0.3">
      <c r="A44" s="1261" t="s">
        <v>537</v>
      </c>
      <c r="B44" s="1248">
        <v>0</v>
      </c>
      <c r="C44" s="1248">
        <v>0</v>
      </c>
      <c r="D44" s="1248">
        <v>0</v>
      </c>
      <c r="E44" s="1248"/>
      <c r="F44" s="1248"/>
      <c r="G44" s="1248"/>
      <c r="H44" s="1249"/>
      <c r="I44" s="1249"/>
      <c r="J44" s="1248"/>
      <c r="K44" s="1249"/>
      <c r="L44" s="1248"/>
      <c r="M44" s="1309"/>
      <c r="N44" s="1256"/>
      <c r="O44" s="1256"/>
      <c r="P44" s="1256"/>
      <c r="Q44" s="1256"/>
      <c r="R44" s="1256"/>
      <c r="S44" s="1256"/>
      <c r="T44" s="1256"/>
      <c r="U44" s="1256"/>
      <c r="V44" s="1256">
        <v>0</v>
      </c>
      <c r="W44" s="1256"/>
      <c r="X44" s="1256"/>
      <c r="Y44" s="1256"/>
      <c r="Z44" s="1256"/>
      <c r="AA44" s="1256"/>
      <c r="AB44" s="1256">
        <f t="shared" ref="AB44" si="28">AA44</f>
        <v>0</v>
      </c>
      <c r="AC44" s="1256">
        <f t="shared" si="7"/>
        <v>0</v>
      </c>
      <c r="AD44" s="2088" t="str">
        <f t="shared" si="8"/>
        <v/>
      </c>
      <c r="AE44" s="2136"/>
      <c r="AF44" s="2150"/>
      <c r="AG44" s="1242"/>
      <c r="AH44" s="1242"/>
      <c r="AI44" s="2151"/>
      <c r="AJ44" s="2151"/>
      <c r="AK44" s="2151"/>
      <c r="AL44" s="1242"/>
      <c r="AM44" s="1242"/>
      <c r="AN44" s="2124"/>
      <c r="AO44" s="1268" t="s">
        <v>313</v>
      </c>
      <c r="AP44" s="1310">
        <v>22780</v>
      </c>
      <c r="AQ44" s="1274"/>
      <c r="AR44" s="1274"/>
      <c r="AS44" s="1277"/>
      <c r="AU44" s="1267"/>
    </row>
    <row r="45" spans="1:47" ht="12" customHeight="1" outlineLevel="1" x14ac:dyDescent="0.3">
      <c r="A45" s="1261" t="s">
        <v>538</v>
      </c>
      <c r="B45" s="1248">
        <v>202821</v>
      </c>
      <c r="C45" s="1248">
        <v>335318</v>
      </c>
      <c r="D45" s="1248">
        <v>285845</v>
      </c>
      <c r="E45" s="1248">
        <v>335000</v>
      </c>
      <c r="F45" s="1248">
        <v>177250</v>
      </c>
      <c r="G45" s="1248">
        <v>432842</v>
      </c>
      <c r="H45" s="1216">
        <v>104000</v>
      </c>
      <c r="I45" s="1249">
        <v>380778</v>
      </c>
      <c r="J45" s="1248">
        <v>340567</v>
      </c>
      <c r="K45" s="1249">
        <v>230648</v>
      </c>
      <c r="L45" s="1248">
        <v>170069</v>
      </c>
      <c r="M45" s="1256">
        <v>203115</v>
      </c>
      <c r="N45" s="1256">
        <v>270664</v>
      </c>
      <c r="O45" s="1256">
        <v>572467</v>
      </c>
      <c r="P45" s="1256">
        <v>785503</v>
      </c>
      <c r="Q45" s="1256">
        <v>798719</v>
      </c>
      <c r="R45" s="1256">
        <v>754944</v>
      </c>
      <c r="S45" s="1256">
        <v>581560</v>
      </c>
      <c r="T45" s="1256">
        <v>733194</v>
      </c>
      <c r="U45" s="1256"/>
      <c r="V45" s="1256">
        <v>663250</v>
      </c>
      <c r="W45" s="1256">
        <v>1167500</v>
      </c>
      <c r="X45" s="1256">
        <v>758000</v>
      </c>
      <c r="Y45" s="1256">
        <v>1023500</v>
      </c>
      <c r="Z45" s="1256">
        <v>1590325</v>
      </c>
      <c r="AA45" s="1256">
        <v>1506462</v>
      </c>
      <c r="AB45" s="1256">
        <f>'PROJECTED SCH. B'!E84</f>
        <v>1496771.6</v>
      </c>
      <c r="AC45" s="1256">
        <f t="shared" si="7"/>
        <v>-9690.3999999999069</v>
      </c>
      <c r="AD45" s="2088" t="str">
        <f t="shared" si="8"/>
        <v/>
      </c>
      <c r="AE45" s="2140"/>
      <c r="AF45" s="2150"/>
      <c r="AG45" s="1242"/>
      <c r="AH45" s="1242"/>
      <c r="AI45" s="2151"/>
      <c r="AJ45" s="2151"/>
      <c r="AK45" s="2151"/>
      <c r="AL45" s="1242"/>
      <c r="AM45" s="1242"/>
      <c r="AN45" s="2124"/>
      <c r="AO45" s="1268" t="s">
        <v>356</v>
      </c>
      <c r="AP45" s="1308" t="e">
        <f>'PROJECTED SCH. B'!#REF!</f>
        <v>#REF!</v>
      </c>
      <c r="AQ45" s="1274"/>
      <c r="AR45" s="1274" t="s">
        <v>332</v>
      </c>
      <c r="AS45" s="1277"/>
      <c r="AU45" s="1267"/>
    </row>
    <row r="46" spans="1:47" ht="12" customHeight="1" outlineLevel="1" x14ac:dyDescent="0.3">
      <c r="A46" s="1261" t="s">
        <v>539</v>
      </c>
      <c r="B46" s="1248">
        <v>300419</v>
      </c>
      <c r="C46" s="1248">
        <v>3048249</v>
      </c>
      <c r="D46" s="1248">
        <v>556283</v>
      </c>
      <c r="E46" s="1248">
        <v>273551</v>
      </c>
      <c r="F46" s="1248">
        <v>55349</v>
      </c>
      <c r="G46" s="1248">
        <v>101805</v>
      </c>
      <c r="H46" s="1216">
        <v>789088.92</v>
      </c>
      <c r="I46" s="1249">
        <v>285216</v>
      </c>
      <c r="J46" s="1248">
        <v>247471</v>
      </c>
      <c r="K46" s="1249">
        <v>609433</v>
      </c>
      <c r="L46" s="1248">
        <v>641999</v>
      </c>
      <c r="M46" s="1256">
        <v>477929</v>
      </c>
      <c r="N46" s="1256">
        <v>639964</v>
      </c>
      <c r="O46" s="1256">
        <v>450073</v>
      </c>
      <c r="P46" s="1256">
        <v>639388</v>
      </c>
      <c r="Q46" s="1256">
        <v>520099</v>
      </c>
      <c r="R46" s="1256">
        <v>956715</v>
      </c>
      <c r="S46" s="1256">
        <v>358155</v>
      </c>
      <c r="T46" s="1256">
        <v>131004</v>
      </c>
      <c r="U46" s="1256"/>
      <c r="V46" s="1256">
        <v>326968</v>
      </c>
      <c r="W46" s="1256">
        <v>685626</v>
      </c>
      <c r="X46" s="1256">
        <v>79483.520000000004</v>
      </c>
      <c r="Y46" s="1256">
        <v>297137.67</v>
      </c>
      <c r="Z46" s="1256">
        <v>526859</v>
      </c>
      <c r="AA46" s="1256">
        <v>460178</v>
      </c>
      <c r="AB46" s="1256">
        <f>'PROJECTED SCH. B'!F84</f>
        <v>775476</v>
      </c>
      <c r="AC46" s="1256">
        <f t="shared" si="7"/>
        <v>315298</v>
      </c>
      <c r="AD46" s="1263">
        <f t="shared" si="8"/>
        <v>0.68516530559913769</v>
      </c>
      <c r="AE46" s="2136"/>
      <c r="AF46" s="2150"/>
      <c r="AG46" s="1242"/>
      <c r="AH46" s="1242"/>
      <c r="AI46" s="2151"/>
      <c r="AJ46" s="2151"/>
      <c r="AK46" s="2151"/>
      <c r="AL46" s="1242"/>
      <c r="AM46" s="1242"/>
      <c r="AN46" s="2124"/>
      <c r="AO46" s="1268"/>
      <c r="AP46" s="1311">
        <v>0</v>
      </c>
      <c r="AQ46" s="1274"/>
      <c r="AR46" s="1274"/>
      <c r="AS46" s="1277"/>
      <c r="AU46" s="1267"/>
    </row>
    <row r="47" spans="1:47" ht="12" customHeight="1" outlineLevel="1" x14ac:dyDescent="0.3">
      <c r="A47" s="1261" t="s">
        <v>747</v>
      </c>
      <c r="B47" s="1248">
        <v>240000</v>
      </c>
      <c r="C47" s="1248">
        <v>400000</v>
      </c>
      <c r="D47" s="1248">
        <v>803000</v>
      </c>
      <c r="E47" s="1248">
        <v>455000</v>
      </c>
      <c r="F47" s="1248">
        <v>369318</v>
      </c>
      <c r="G47" s="1248">
        <v>107994</v>
      </c>
      <c r="H47" s="1216">
        <v>422121</v>
      </c>
      <c r="I47" s="1249">
        <v>408469</v>
      </c>
      <c r="J47" s="1312">
        <v>416534</v>
      </c>
      <c r="K47" s="1313">
        <v>656590</v>
      </c>
      <c r="L47" s="1314">
        <f>412082+400+50700-152+5000+98</f>
        <v>468128</v>
      </c>
      <c r="M47" s="1256">
        <f>221329</f>
        <v>221329</v>
      </c>
      <c r="N47" s="1256">
        <v>346997</v>
      </c>
      <c r="O47" s="1256"/>
      <c r="P47" s="1256">
        <v>165783</v>
      </c>
      <c r="Q47" s="1256">
        <v>33817</v>
      </c>
      <c r="R47" s="1256">
        <v>392690</v>
      </c>
      <c r="S47" s="1256">
        <v>358492</v>
      </c>
      <c r="T47" s="1315">
        <f>T64-T65-T45</f>
        <v>176419</v>
      </c>
      <c r="U47" s="1315"/>
      <c r="V47" s="1315">
        <f t="shared" ref="V47:AB47" si="29">V64-V65-V45</f>
        <v>478682.58000000007</v>
      </c>
      <c r="W47" s="1315">
        <f t="shared" si="29"/>
        <v>500000</v>
      </c>
      <c r="X47" s="1315">
        <f t="shared" si="29"/>
        <v>260000</v>
      </c>
      <c r="Y47" s="1315">
        <f t="shared" si="29"/>
        <v>400000</v>
      </c>
      <c r="Z47" s="1315">
        <f t="shared" si="29"/>
        <v>400000</v>
      </c>
      <c r="AA47" s="1315">
        <f t="shared" si="29"/>
        <v>284000</v>
      </c>
      <c r="AB47" s="1315">
        <f t="shared" si="29"/>
        <v>305000.39999999991</v>
      </c>
      <c r="AC47" s="1315">
        <f t="shared" si="7"/>
        <v>21000.399999999907</v>
      </c>
      <c r="AD47" s="2084">
        <f t="shared" si="8"/>
        <v>7.3945070422534884E-2</v>
      </c>
      <c r="AE47" s="2143"/>
      <c r="AF47" s="2150"/>
      <c r="AG47" s="1242"/>
      <c r="AH47" s="1242"/>
      <c r="AI47" s="2151"/>
      <c r="AJ47" s="2151"/>
      <c r="AK47" s="2151"/>
      <c r="AL47" s="1242"/>
      <c r="AM47" s="1242"/>
      <c r="AN47" s="2124"/>
      <c r="AO47" s="1268" t="s">
        <v>439</v>
      </c>
      <c r="AP47" s="1308">
        <f>'PROJECTED SCH. B'!C16</f>
        <v>0</v>
      </c>
      <c r="AQ47" s="1274" t="s">
        <v>440</v>
      </c>
      <c r="AR47" s="1274"/>
      <c r="AS47" s="1277"/>
      <c r="AU47" s="1267"/>
    </row>
    <row r="48" spans="1:47" ht="12" customHeight="1" outlineLevel="1" thickBot="1" x14ac:dyDescent="0.35">
      <c r="A48" s="1316" t="s">
        <v>411</v>
      </c>
      <c r="B48" s="1317">
        <f t="shared" ref="B48:G48" si="30">SUM(B40:B47)</f>
        <v>4339944</v>
      </c>
      <c r="C48" s="1317">
        <f t="shared" si="30"/>
        <v>6755509</v>
      </c>
      <c r="D48" s="1317">
        <f t="shared" si="30"/>
        <v>5336790.6899999995</v>
      </c>
      <c r="E48" s="1317">
        <f t="shared" si="30"/>
        <v>5249026</v>
      </c>
      <c r="F48" s="1318">
        <f t="shared" si="30"/>
        <v>4627806</v>
      </c>
      <c r="G48" s="1294">
        <f t="shared" si="30"/>
        <v>4611225</v>
      </c>
      <c r="H48" s="1294">
        <f t="shared" ref="H48:O48" si="31">SUM(H40:H47)</f>
        <v>5618048.9199999999</v>
      </c>
      <c r="I48" s="1319">
        <f t="shared" si="31"/>
        <v>5805606</v>
      </c>
      <c r="J48" s="1320">
        <f t="shared" si="31"/>
        <v>5955161</v>
      </c>
      <c r="K48" s="1321">
        <f t="shared" si="31"/>
        <v>6235577</v>
      </c>
      <c r="L48" s="1320">
        <f t="shared" si="31"/>
        <v>6176397</v>
      </c>
      <c r="M48" s="1322">
        <f t="shared" si="31"/>
        <v>5229687</v>
      </c>
      <c r="N48" s="1281">
        <f t="shared" si="31"/>
        <v>6124851.3300000001</v>
      </c>
      <c r="O48" s="1281">
        <f t="shared" si="31"/>
        <v>5764041</v>
      </c>
      <c r="P48" s="1281">
        <v>6134868</v>
      </c>
      <c r="Q48" s="1281">
        <v>5850840</v>
      </c>
      <c r="R48" s="1281">
        <v>6651096</v>
      </c>
      <c r="S48" s="1281">
        <f>SUM(S40:S47)</f>
        <v>5940021</v>
      </c>
      <c r="T48" s="1281">
        <f>SUM(T40:T47)</f>
        <v>5937703</v>
      </c>
      <c r="U48" s="1281"/>
      <c r="V48" s="1281">
        <f t="shared" ref="V48:AB48" si="32">SUM(V40:V47)</f>
        <v>6798266.5800000001</v>
      </c>
      <c r="W48" s="1281">
        <f t="shared" si="32"/>
        <v>8015656</v>
      </c>
      <c r="X48" s="1281">
        <f t="shared" si="32"/>
        <v>7238960.5199999996</v>
      </c>
      <c r="Y48" s="1281">
        <f t="shared" si="32"/>
        <v>8097982.6699999999</v>
      </c>
      <c r="Z48" s="1281">
        <f t="shared" si="32"/>
        <v>8845245.25</v>
      </c>
      <c r="AA48" s="1281">
        <f t="shared" si="32"/>
        <v>10031357.432339791</v>
      </c>
      <c r="AB48" s="1281">
        <f t="shared" si="32"/>
        <v>9935936</v>
      </c>
      <c r="AC48" s="1281">
        <f t="shared" si="7"/>
        <v>-95421.432339791209</v>
      </c>
      <c r="AD48" s="2086" t="str">
        <f t="shared" si="8"/>
        <v/>
      </c>
      <c r="AE48" s="2144"/>
      <c r="AF48" s="2150"/>
      <c r="AG48" s="1242"/>
      <c r="AH48" s="1242"/>
      <c r="AI48" s="2151"/>
      <c r="AJ48" s="2151"/>
      <c r="AK48" s="2151"/>
      <c r="AL48" s="1242"/>
      <c r="AM48" s="1242"/>
      <c r="AN48" s="2124"/>
      <c r="AO48" s="1268"/>
      <c r="AP48" s="1274"/>
      <c r="AQ48" s="1274"/>
      <c r="AR48" s="1274"/>
      <c r="AS48" s="1277"/>
      <c r="AU48" s="1267"/>
    </row>
    <row r="49" spans="1:54" ht="12" customHeight="1" outlineLevel="1" thickTop="1" x14ac:dyDescent="0.3">
      <c r="A49" s="1261"/>
      <c r="B49" s="1248"/>
      <c r="C49" s="1248"/>
      <c r="D49" s="1248"/>
      <c r="E49" s="1248"/>
      <c r="F49" s="1248"/>
      <c r="G49" s="1248"/>
      <c r="H49" s="1249"/>
      <c r="I49" s="1300"/>
      <c r="J49" s="1301"/>
      <c r="K49" s="1302"/>
      <c r="L49" s="1301"/>
      <c r="M49" s="1303"/>
      <c r="N49" s="1303"/>
      <c r="O49" s="1303"/>
      <c r="P49" s="1303"/>
      <c r="Q49" s="1303"/>
      <c r="R49" s="1303"/>
      <c r="S49" s="1303"/>
      <c r="T49" s="1303"/>
      <c r="U49" s="1303"/>
      <c r="V49" s="1303"/>
      <c r="W49" s="1303"/>
      <c r="X49" s="1303"/>
      <c r="Y49" s="1303"/>
      <c r="Z49" s="1303"/>
      <c r="AA49" s="1303"/>
      <c r="AB49" s="1303"/>
      <c r="AC49" s="1303">
        <f t="shared" si="7"/>
        <v>0</v>
      </c>
      <c r="AD49" s="2087" t="str">
        <f t="shared" si="8"/>
        <v/>
      </c>
      <c r="AE49" s="2136"/>
      <c r="AF49" s="2150"/>
      <c r="AG49" s="1242"/>
      <c r="AH49" s="1242"/>
      <c r="AI49" s="2151"/>
      <c r="AJ49" s="2151"/>
      <c r="AK49" s="2151"/>
      <c r="AL49" s="1242"/>
      <c r="AM49" s="1242"/>
      <c r="AN49" s="2124"/>
      <c r="AO49" s="1268"/>
      <c r="AP49" s="1274"/>
      <c r="AQ49" s="1274"/>
      <c r="AR49" s="1274"/>
      <c r="AS49" s="1277"/>
      <c r="AU49" s="1267"/>
    </row>
    <row r="50" spans="1:54" ht="12" customHeight="1" outlineLevel="1" thickBot="1" x14ac:dyDescent="0.35">
      <c r="A50" s="1247" t="s">
        <v>541</v>
      </c>
      <c r="B50" s="1248"/>
      <c r="C50" s="1248"/>
      <c r="D50" s="1248"/>
      <c r="E50" s="1248"/>
      <c r="F50" s="1248"/>
      <c r="G50" s="1248"/>
      <c r="H50" s="1249"/>
      <c r="I50" s="1249"/>
      <c r="J50" s="1248"/>
      <c r="K50" s="1249"/>
      <c r="L50" s="1248"/>
      <c r="M50" s="1256"/>
      <c r="N50" s="1256"/>
      <c r="O50" s="1256"/>
      <c r="P50" s="1256"/>
      <c r="Q50" s="1256"/>
      <c r="R50" s="1256"/>
      <c r="S50" s="1256"/>
      <c r="T50" s="1256"/>
      <c r="U50" s="1256"/>
      <c r="V50" s="1256"/>
      <c r="W50" s="1256"/>
      <c r="X50" s="1256"/>
      <c r="Y50" s="1256"/>
      <c r="Z50" s="1256"/>
      <c r="AA50" s="1256"/>
      <c r="AB50" s="1256"/>
      <c r="AC50" s="1256">
        <f t="shared" si="7"/>
        <v>0</v>
      </c>
      <c r="AD50" s="1263" t="str">
        <f t="shared" si="8"/>
        <v/>
      </c>
      <c r="AE50" s="2136"/>
      <c r="AF50" s="2150"/>
      <c r="AG50" s="1242"/>
      <c r="AH50" s="1242"/>
      <c r="AI50" s="2151"/>
      <c r="AJ50" s="2151"/>
      <c r="AK50" s="2151"/>
      <c r="AL50" s="1242"/>
      <c r="AM50" s="1242"/>
      <c r="AN50" s="2124"/>
      <c r="AO50" s="1304" t="s">
        <v>328</v>
      </c>
      <c r="AP50" s="1305">
        <f>N56</f>
        <v>18427913.307114448</v>
      </c>
      <c r="AQ50" s="1305">
        <f>M56</f>
        <v>17667906.378160439</v>
      </c>
      <c r="AR50" s="1305">
        <f>AP50-AQ50</f>
        <v>760006.92895400897</v>
      </c>
      <c r="AS50" s="1323">
        <f>(AP50-AQ50)/AQ50</f>
        <v>4.3016241578768197E-2</v>
      </c>
      <c r="AU50" s="1267"/>
    </row>
    <row r="51" spans="1:54" ht="12" customHeight="1" outlineLevel="1" thickTop="1" x14ac:dyDescent="0.3">
      <c r="A51" s="1261"/>
      <c r="B51" s="1248"/>
      <c r="C51" s="1248"/>
      <c r="D51" s="1248"/>
      <c r="E51" s="1248"/>
      <c r="F51" s="1248"/>
      <c r="G51" s="1248"/>
      <c r="H51" s="1249"/>
      <c r="I51" s="1249"/>
      <c r="J51" s="1248"/>
      <c r="K51" s="1249"/>
      <c r="L51" s="1248"/>
      <c r="M51" s="1256"/>
      <c r="N51" s="1256"/>
      <c r="O51" s="1256"/>
      <c r="P51" s="1256"/>
      <c r="Q51" s="1256"/>
      <c r="R51" s="1256"/>
      <c r="S51" s="1256"/>
      <c r="T51" s="1256"/>
      <c r="U51" s="1256"/>
      <c r="V51" s="1256"/>
      <c r="W51" s="1256"/>
      <c r="X51" s="1256"/>
      <c r="Y51" s="1256"/>
      <c r="Z51" s="1256"/>
      <c r="AA51" s="1256"/>
      <c r="AB51" s="1256"/>
      <c r="AC51" s="1256">
        <f t="shared" si="7"/>
        <v>0</v>
      </c>
      <c r="AD51" s="1263" t="str">
        <f t="shared" si="8"/>
        <v/>
      </c>
      <c r="AE51" s="2136"/>
      <c r="AF51" s="2150"/>
      <c r="AG51" s="1242"/>
      <c r="AH51" s="1242"/>
      <c r="AI51" s="2151"/>
      <c r="AJ51" s="2151"/>
      <c r="AK51" s="2151"/>
      <c r="AL51" s="1242"/>
      <c r="AM51" s="1242"/>
      <c r="AN51" s="2124"/>
      <c r="AO51" s="1278" t="s">
        <v>441</v>
      </c>
      <c r="AP51" s="1269">
        <f>L54</f>
        <v>16635885</v>
      </c>
      <c r="AQ51" s="1269">
        <f>J54</f>
        <v>15426983.539999999</v>
      </c>
      <c r="AR51" s="1274"/>
      <c r="AS51" s="1277"/>
      <c r="AU51" s="1267"/>
    </row>
    <row r="52" spans="1:54" ht="12" customHeight="1" outlineLevel="1" thickBot="1" x14ac:dyDescent="0.35">
      <c r="A52" s="1261" t="s">
        <v>412</v>
      </c>
      <c r="B52" s="1248">
        <f t="shared" ref="B52:G52" si="33">SUM(B37)</f>
        <v>14101891.68</v>
      </c>
      <c r="C52" s="1248">
        <f t="shared" si="33"/>
        <v>18119821</v>
      </c>
      <c r="D52" s="1248">
        <f t="shared" si="33"/>
        <v>16686239.140000001</v>
      </c>
      <c r="E52" s="1248">
        <f t="shared" si="33"/>
        <v>17443650.530000001</v>
      </c>
      <c r="F52" s="1248">
        <f t="shared" si="33"/>
        <v>17602659.68</v>
      </c>
      <c r="G52" s="1248">
        <f t="shared" si="33"/>
        <v>18478745.710000001</v>
      </c>
      <c r="H52" s="1249">
        <f>SUM(H37)</f>
        <v>19581128.77</v>
      </c>
      <c r="I52" s="1249">
        <f>SUM(I37)</f>
        <v>20611532.18</v>
      </c>
      <c r="J52" s="1248">
        <f t="shared" ref="J52:S52" si="34">J37</f>
        <v>21382144.539999999</v>
      </c>
      <c r="K52" s="1249">
        <f t="shared" si="34"/>
        <v>22582446.489</v>
      </c>
      <c r="L52" s="1248">
        <f t="shared" si="34"/>
        <v>22812282</v>
      </c>
      <c r="M52" s="1256">
        <f t="shared" si="34"/>
        <v>22476419</v>
      </c>
      <c r="N52" s="1256">
        <f t="shared" si="34"/>
        <v>23457517.800000001</v>
      </c>
      <c r="O52" s="1256">
        <f t="shared" si="34"/>
        <v>24094257.039999999</v>
      </c>
      <c r="P52" s="1256">
        <v>24932432.782400001</v>
      </c>
      <c r="Q52" s="1256">
        <v>25841103</v>
      </c>
      <c r="R52" s="1256">
        <v>27574422.789999999</v>
      </c>
      <c r="S52" s="1256">
        <f t="shared" si="34"/>
        <v>27941001.789999999</v>
      </c>
      <c r="T52" s="1256">
        <f>T37</f>
        <v>29373410.589999996</v>
      </c>
      <c r="U52" s="1256"/>
      <c r="V52" s="1256">
        <f t="shared" ref="V52:AA52" si="35">V37</f>
        <v>30749207.049999997</v>
      </c>
      <c r="W52" s="1256">
        <f t="shared" si="35"/>
        <v>33505321.199999999</v>
      </c>
      <c r="X52" s="1256">
        <f t="shared" si="35"/>
        <v>33473589.029599972</v>
      </c>
      <c r="Y52" s="1256">
        <f t="shared" si="35"/>
        <v>35127207.305000007</v>
      </c>
      <c r="Z52" s="1256">
        <f t="shared" si="35"/>
        <v>36204394.884149998</v>
      </c>
      <c r="AA52" s="1256">
        <f t="shared" si="35"/>
        <v>39744828.760000005</v>
      </c>
      <c r="AB52" s="1256">
        <f t="shared" ref="AB52" si="36">AB37</f>
        <v>40887993.600000001</v>
      </c>
      <c r="AC52" s="1256">
        <f t="shared" si="7"/>
        <v>1143164.8399999961</v>
      </c>
      <c r="AD52" s="1263">
        <f t="shared" si="8"/>
        <v>2.8762605744335229E-2</v>
      </c>
      <c r="AE52" s="2138"/>
      <c r="AF52" s="2150"/>
      <c r="AG52" s="1242"/>
      <c r="AH52" s="1242"/>
      <c r="AI52" s="2151"/>
      <c r="AJ52" s="2151"/>
      <c r="AK52" s="2151"/>
      <c r="AL52" s="1242"/>
      <c r="AM52" s="1242"/>
      <c r="AN52" s="2124"/>
      <c r="AO52" s="1324" t="s">
        <v>442</v>
      </c>
      <c r="AP52" s="1325">
        <f>N58</f>
        <v>-1095246.8371144496</v>
      </c>
      <c r="AQ52" s="1325">
        <f>M58</f>
        <v>-421174.37816043943</v>
      </c>
      <c r="AR52" s="1326"/>
      <c r="AS52" s="1327"/>
      <c r="AU52" s="1267"/>
    </row>
    <row r="53" spans="1:54" ht="12" customHeight="1" outlineLevel="1" thickTop="1" thickBot="1" x14ac:dyDescent="0.35">
      <c r="A53" s="1261" t="s">
        <v>276</v>
      </c>
      <c r="B53" s="1248">
        <f t="shared" ref="B53:G53" si="37">SUM(B48)</f>
        <v>4339944</v>
      </c>
      <c r="C53" s="1248">
        <f t="shared" si="37"/>
        <v>6755509</v>
      </c>
      <c r="D53" s="1248">
        <f t="shared" si="37"/>
        <v>5336790.6899999995</v>
      </c>
      <c r="E53" s="1248">
        <f t="shared" si="37"/>
        <v>5249026</v>
      </c>
      <c r="F53" s="1248">
        <f t="shared" si="37"/>
        <v>4627806</v>
      </c>
      <c r="G53" s="1248">
        <f t="shared" si="37"/>
        <v>4611225</v>
      </c>
      <c r="H53" s="1249">
        <f>SUM(H48)</f>
        <v>5618048.9199999999</v>
      </c>
      <c r="I53" s="1328">
        <f>SUM(I48)</f>
        <v>5805606</v>
      </c>
      <c r="J53" s="1248">
        <f t="shared" ref="J53:S53" si="38">J48</f>
        <v>5955161</v>
      </c>
      <c r="K53" s="1328">
        <f t="shared" si="38"/>
        <v>6235577</v>
      </c>
      <c r="L53" s="1329">
        <f t="shared" si="38"/>
        <v>6176397</v>
      </c>
      <c r="M53" s="1330">
        <f t="shared" si="38"/>
        <v>5229687</v>
      </c>
      <c r="N53" s="1330">
        <f t="shared" si="38"/>
        <v>6124851.3300000001</v>
      </c>
      <c r="O53" s="1330">
        <f t="shared" si="38"/>
        <v>5764041</v>
      </c>
      <c r="P53" s="1330">
        <v>6134868</v>
      </c>
      <c r="Q53" s="1330">
        <v>5850840</v>
      </c>
      <c r="R53" s="1330">
        <v>6651096</v>
      </c>
      <c r="S53" s="1330">
        <f t="shared" si="38"/>
        <v>5940021</v>
      </c>
      <c r="T53" s="1330">
        <f t="shared" ref="T53:W53" si="39">T48</f>
        <v>5937703</v>
      </c>
      <c r="U53" s="1330"/>
      <c r="V53" s="1330">
        <f t="shared" si="39"/>
        <v>6798266.5800000001</v>
      </c>
      <c r="W53" s="1330">
        <f t="shared" si="39"/>
        <v>8015656</v>
      </c>
      <c r="X53" s="1330">
        <f t="shared" ref="X53:Z53" si="40">X48</f>
        <v>7238960.5199999996</v>
      </c>
      <c r="Y53" s="1330">
        <f t="shared" si="40"/>
        <v>8097982.6699999999</v>
      </c>
      <c r="Z53" s="1330">
        <f t="shared" si="40"/>
        <v>8845245.25</v>
      </c>
      <c r="AA53" s="1330">
        <f t="shared" ref="AA53:AB53" si="41">AA48</f>
        <v>10031357.432339791</v>
      </c>
      <c r="AB53" s="1330">
        <f t="shared" si="41"/>
        <v>9935936</v>
      </c>
      <c r="AC53" s="1330">
        <f t="shared" si="7"/>
        <v>-95421.432339791209</v>
      </c>
      <c r="AD53" s="2089" t="str">
        <f t="shared" si="8"/>
        <v/>
      </c>
      <c r="AE53" s="2136"/>
      <c r="AF53" s="2150"/>
      <c r="AG53" s="1242"/>
      <c r="AH53" s="1242"/>
      <c r="AI53" s="2151"/>
      <c r="AJ53" s="2151"/>
      <c r="AK53" s="2151"/>
      <c r="AL53" s="1242"/>
      <c r="AM53" s="1242"/>
      <c r="AN53" s="2124"/>
      <c r="AO53" s="1331"/>
      <c r="AP53" s="1332"/>
      <c r="AQ53" s="1332"/>
      <c r="AR53" s="1332"/>
      <c r="AS53" s="1333"/>
      <c r="AU53" s="1267"/>
    </row>
    <row r="54" spans="1:54" ht="12" customHeight="1" outlineLevel="1" thickBot="1" x14ac:dyDescent="0.35">
      <c r="A54" s="1334" t="s">
        <v>277</v>
      </c>
      <c r="B54" s="1335">
        <f t="shared" ref="B54:I54" si="42">SUM(B37-B48)</f>
        <v>9761947.6799999997</v>
      </c>
      <c r="C54" s="1335">
        <f t="shared" si="42"/>
        <v>11364312</v>
      </c>
      <c r="D54" s="1335">
        <f t="shared" si="42"/>
        <v>11349448.450000001</v>
      </c>
      <c r="E54" s="1335">
        <f t="shared" si="42"/>
        <v>12194624.530000001</v>
      </c>
      <c r="F54" s="1335">
        <f t="shared" si="42"/>
        <v>12974853.68</v>
      </c>
      <c r="G54" s="1336">
        <f t="shared" si="42"/>
        <v>13867520.710000001</v>
      </c>
      <c r="H54" s="1337">
        <f t="shared" si="42"/>
        <v>13963079.85</v>
      </c>
      <c r="I54" s="1338">
        <f t="shared" si="42"/>
        <v>14805926.18</v>
      </c>
      <c r="J54" s="1339">
        <f t="shared" ref="J54:O54" si="43">J37-J48</f>
        <v>15426983.539999999</v>
      </c>
      <c r="K54" s="1338">
        <f t="shared" si="43"/>
        <v>16346869.489</v>
      </c>
      <c r="L54" s="1339">
        <f t="shared" si="43"/>
        <v>16635885</v>
      </c>
      <c r="M54" s="1340">
        <f t="shared" si="43"/>
        <v>17246732</v>
      </c>
      <c r="N54" s="1340">
        <f t="shared" si="43"/>
        <v>17332666.469999999</v>
      </c>
      <c r="O54" s="1340">
        <f t="shared" si="43"/>
        <v>18330216.039999999</v>
      </c>
      <c r="P54" s="1340">
        <v>18797564.782400001</v>
      </c>
      <c r="Q54" s="1340">
        <v>19990263</v>
      </c>
      <c r="R54" s="1340">
        <v>20923326.789999999</v>
      </c>
      <c r="S54" s="1340">
        <f>S37-S48</f>
        <v>22000980.789999999</v>
      </c>
      <c r="T54" s="1340">
        <f>T37-T48</f>
        <v>23435707.589999996</v>
      </c>
      <c r="U54" s="1340"/>
      <c r="V54" s="1340">
        <f t="shared" ref="V54:AA54" si="44">V37-V48</f>
        <v>23950940.469999999</v>
      </c>
      <c r="W54" s="1340">
        <f t="shared" si="44"/>
        <v>25489665.199999999</v>
      </c>
      <c r="X54" s="1340">
        <f t="shared" si="44"/>
        <v>26234628.509599973</v>
      </c>
      <c r="Y54" s="1340">
        <f t="shared" si="44"/>
        <v>27029224.635000005</v>
      </c>
      <c r="Z54" s="1340">
        <f t="shared" si="44"/>
        <v>27359149.634149998</v>
      </c>
      <c r="AA54" s="1340">
        <f t="shared" si="44"/>
        <v>29713471.327660214</v>
      </c>
      <c r="AB54" s="1340">
        <f t="shared" ref="AB54" si="45">AB37-AB48</f>
        <v>30952057.600000001</v>
      </c>
      <c r="AC54" s="1340">
        <f t="shared" si="7"/>
        <v>1238586.2723397873</v>
      </c>
      <c r="AD54" s="1587">
        <f t="shared" si="8"/>
        <v>4.1684334310235563E-2</v>
      </c>
      <c r="AE54" s="2134"/>
      <c r="AF54" s="2150"/>
      <c r="AG54" s="1242"/>
      <c r="AH54" s="1242"/>
      <c r="AI54" s="2151"/>
      <c r="AJ54" s="2151"/>
      <c r="AK54" s="2151"/>
      <c r="AL54" s="1242"/>
      <c r="AM54" s="1242"/>
      <c r="AN54" s="2124"/>
      <c r="AO54" s="1268"/>
      <c r="AP54" s="1274"/>
      <c r="AQ54" s="1274"/>
      <c r="AR54" s="1274"/>
      <c r="AS54" s="1277"/>
      <c r="AT54" s="1405"/>
      <c r="AU54" s="1267"/>
      <c r="AV54" s="1813">
        <f>V54/T54-1</f>
        <v>2.1984950871287268E-2</v>
      </c>
      <c r="AW54" s="1813">
        <f>W54/V54-1</f>
        <v>6.4244856352398516E-2</v>
      </c>
      <c r="AX54" s="1813">
        <f>X54/W54-1</f>
        <v>2.922609236938789E-2</v>
      </c>
      <c r="AY54" s="1813">
        <f>Y54/X54-1</f>
        <v>3.0288064689357741E-2</v>
      </c>
      <c r="AZ54" s="1813">
        <f>Z54/Y54-1</f>
        <v>1.2206232461539956E-2</v>
      </c>
      <c r="BA54" s="1813"/>
      <c r="BB54" s="1813"/>
    </row>
    <row r="55" spans="1:54" ht="12" customHeight="1" outlineLevel="1" x14ac:dyDescent="0.3">
      <c r="A55" s="1261"/>
      <c r="B55" s="1248"/>
      <c r="C55" s="1248"/>
      <c r="D55" s="1248"/>
      <c r="E55" s="1248"/>
      <c r="F55" s="1248"/>
      <c r="G55" s="1248"/>
      <c r="H55" s="1249"/>
      <c r="I55" s="1300"/>
      <c r="J55" s="1301"/>
      <c r="K55" s="1302"/>
      <c r="L55" s="1301"/>
      <c r="M55" s="1303"/>
      <c r="N55" s="1341"/>
      <c r="O55" s="1341"/>
      <c r="P55" s="1341"/>
      <c r="Q55" s="1341"/>
      <c r="R55" s="1341"/>
      <c r="S55" s="1341"/>
      <c r="T55" s="1303"/>
      <c r="U55" s="1303"/>
      <c r="V55" s="1303"/>
      <c r="W55" s="1303"/>
      <c r="X55" s="1303"/>
      <c r="Y55" s="1303"/>
      <c r="Z55" s="1303"/>
      <c r="AA55" s="1303"/>
      <c r="AB55" s="1303"/>
      <c r="AC55" s="1303">
        <f t="shared" si="7"/>
        <v>0</v>
      </c>
      <c r="AD55" s="2087" t="str">
        <f t="shared" si="8"/>
        <v/>
      </c>
      <c r="AE55" s="2136"/>
      <c r="AF55" s="2150"/>
      <c r="AG55" s="1242"/>
      <c r="AH55" s="1242"/>
      <c r="AI55" s="2151"/>
      <c r="AJ55" s="2151"/>
      <c r="AK55" s="2151"/>
      <c r="AL55" s="1242"/>
      <c r="AM55" s="1242"/>
      <c r="AN55" s="2124"/>
      <c r="AO55" s="1331"/>
      <c r="AP55" s="1332"/>
      <c r="AQ55" s="1332"/>
      <c r="AR55" s="1332"/>
      <c r="AS55" s="1333"/>
      <c r="AU55" s="1267"/>
    </row>
    <row r="56" spans="1:54" ht="12" customHeight="1" outlineLevel="1" x14ac:dyDescent="0.3">
      <c r="A56" s="1261" t="s">
        <v>278</v>
      </c>
      <c r="B56" s="1248">
        <v>9914549</v>
      </c>
      <c r="C56" s="1248">
        <v>10818060</v>
      </c>
      <c r="D56" s="1248">
        <v>11558450</v>
      </c>
      <c r="E56" s="1248">
        <v>12209405</v>
      </c>
      <c r="F56" s="1248">
        <v>13503770</v>
      </c>
      <c r="G56" s="1248">
        <v>14184689</v>
      </c>
      <c r="H56" s="1248">
        <v>14081197</v>
      </c>
      <c r="I56" s="1249">
        <f>SUM('LEVY LIMIT'!J30)</f>
        <v>15125846.094999999</v>
      </c>
      <c r="J56" s="1248">
        <f>'LEVY LIMIT'!L30</f>
        <v>15486660.523125</v>
      </c>
      <c r="K56" s="1249">
        <f>'LEVY LIMIT'!N30</f>
        <v>16389184.565453125</v>
      </c>
      <c r="L56" s="1248">
        <f>'LEVY LIMIT'!P30</f>
        <v>17026539.772839453</v>
      </c>
      <c r="M56" s="1256">
        <f>'LEVY LIMIT'!R30</f>
        <v>17667906.378160439</v>
      </c>
      <c r="N56" s="1216">
        <f>'LEVY LIMIT'!T30</f>
        <v>18427913.307114448</v>
      </c>
      <c r="O56" s="1216">
        <f>'LEVY LIMIT'!V30</f>
        <v>18936244.860399999</v>
      </c>
      <c r="P56" s="1216">
        <v>19586020.799999997</v>
      </c>
      <c r="Q56" s="1216">
        <v>20686198</v>
      </c>
      <c r="R56" s="1216">
        <v>21692916.615000002</v>
      </c>
      <c r="S56" s="1216">
        <v>22005527</v>
      </c>
      <c r="T56" s="1216">
        <f>'LEVY LIMIT'!AF30</f>
        <v>23524851.279999997</v>
      </c>
      <c r="V56" s="1440">
        <f>'LEVY LIMIT'!AH30</f>
        <v>24035527.800000001</v>
      </c>
      <c r="W56" s="1216">
        <f>'LEVY LIMIT'!AJ30</f>
        <v>25785183.564999998</v>
      </c>
      <c r="X56" s="1301">
        <f>'LEVY LIMIT'!AL30</f>
        <v>26390435.276999999</v>
      </c>
      <c r="Y56" s="1301">
        <f>'LEVY LIMIT'!AN30</f>
        <v>27114430.425000001</v>
      </c>
      <c r="Z56" s="1301">
        <f>'LEVY LIMIT'!AP30</f>
        <v>27557140.985000003</v>
      </c>
      <c r="AA56" s="1301">
        <f>'LEVY LIMIT'!AR30</f>
        <v>29843430.010000002</v>
      </c>
      <c r="AB56" s="1301">
        <f>'LEVY LIMIT'!AT30</f>
        <v>31011062.610000003</v>
      </c>
      <c r="AC56" s="1301">
        <f t="shared" si="7"/>
        <v>1167632.6000000015</v>
      </c>
      <c r="AD56" s="1588">
        <f t="shared" si="8"/>
        <v>3.9125281497761774E-2</v>
      </c>
      <c r="AE56" s="2145"/>
      <c r="AF56" s="2150"/>
      <c r="AG56" s="1242"/>
      <c r="AH56" s="1242"/>
      <c r="AI56" s="2151"/>
      <c r="AJ56" s="2151"/>
      <c r="AK56" s="2151"/>
      <c r="AL56" s="1242"/>
      <c r="AM56" s="1242"/>
      <c r="AN56" s="2124"/>
      <c r="AO56" s="1331"/>
      <c r="AP56" s="1332"/>
      <c r="AQ56" s="1332"/>
      <c r="AR56" s="1332"/>
      <c r="AS56" s="1333"/>
      <c r="AU56" s="1267"/>
    </row>
    <row r="57" spans="1:54" ht="12" customHeight="1" thickBot="1" x14ac:dyDescent="0.35">
      <c r="A57" s="1261"/>
      <c r="B57" s="1248"/>
      <c r="C57" s="1248"/>
      <c r="D57" s="1248"/>
      <c r="E57" s="1248"/>
      <c r="F57" s="1248"/>
      <c r="G57" s="1248"/>
      <c r="H57" s="1248"/>
      <c r="I57" s="1249"/>
      <c r="J57" s="1249"/>
      <c r="K57" s="1300"/>
      <c r="L57" s="1301"/>
      <c r="M57" s="1303"/>
      <c r="N57" s="1341"/>
      <c r="O57" s="1341"/>
      <c r="P57" s="1341"/>
      <c r="Q57" s="1341"/>
      <c r="R57" s="1341"/>
      <c r="S57" s="1341"/>
      <c r="T57" s="1303"/>
      <c r="U57" s="1303"/>
      <c r="V57" s="1303"/>
      <c r="W57" s="1303"/>
      <c r="X57" s="1303"/>
      <c r="Y57" s="1303"/>
      <c r="Z57" s="1303"/>
      <c r="AA57" s="1303"/>
      <c r="AB57" s="1303"/>
      <c r="AC57" s="1303">
        <f>S57-R57</f>
        <v>0</v>
      </c>
      <c r="AD57" s="2087" t="str">
        <f t="shared" ref="AD57:AD62" si="46">IF(T57&gt;0,AC57/T57,"")</f>
        <v/>
      </c>
      <c r="AE57" s="2136"/>
      <c r="AF57" s="2153" t="e">
        <f>SUM(AF10:AF17)</f>
        <v>#REF!</v>
      </c>
      <c r="AG57" s="2154" t="e">
        <f>SUM(AG10:AG17)</f>
        <v>#REF!</v>
      </c>
      <c r="AH57" s="2154">
        <f>SUM(AH10:AH17)</f>
        <v>300000</v>
      </c>
      <c r="AI57" s="2155" t="e">
        <f>SUM(AI10:AI21)</f>
        <v>#REF!</v>
      </c>
      <c r="AJ57" s="2155"/>
      <c r="AK57" s="2155"/>
      <c r="AL57" s="2185"/>
      <c r="AM57" s="2186" t="e">
        <f>SUM(AM10:AM19)</f>
        <v>#REF!</v>
      </c>
      <c r="AN57" s="2124"/>
      <c r="AO57" s="1331"/>
      <c r="AP57" s="1332"/>
      <c r="AQ57" s="1332"/>
      <c r="AR57" s="1332"/>
      <c r="AS57" s="1333"/>
      <c r="AU57" s="1267"/>
    </row>
    <row r="58" spans="1:54" ht="12" customHeight="1" thickBot="1" x14ac:dyDescent="0.35">
      <c r="A58" s="1261" t="s">
        <v>270</v>
      </c>
      <c r="B58" s="1248">
        <f t="shared" ref="B58:L58" si="47">SUM(B54-B56)</f>
        <v>-152601.3200000003</v>
      </c>
      <c r="C58" s="1248">
        <f t="shared" si="47"/>
        <v>546252</v>
      </c>
      <c r="D58" s="1248">
        <f t="shared" si="47"/>
        <v>-209001.54999999888</v>
      </c>
      <c r="E58" s="1248">
        <f t="shared" si="47"/>
        <v>-14780.469999998808</v>
      </c>
      <c r="F58" s="1248">
        <f t="shared" si="47"/>
        <v>-528916.3200000003</v>
      </c>
      <c r="G58" s="1248">
        <f t="shared" si="47"/>
        <v>-317168.28999999911</v>
      </c>
      <c r="H58" s="1248">
        <f t="shared" si="47"/>
        <v>-118117.15000000037</v>
      </c>
      <c r="I58" s="1342">
        <f t="shared" si="47"/>
        <v>-319919.91499999911</v>
      </c>
      <c r="J58" s="1343">
        <f t="shared" si="47"/>
        <v>-59676.983125001192</v>
      </c>
      <c r="K58" s="1344">
        <f t="shared" si="47"/>
        <v>-42315.076453125104</v>
      </c>
      <c r="L58" s="1345">
        <f t="shared" si="47"/>
        <v>-390654.77283945307</v>
      </c>
      <c r="M58" s="1346">
        <f>M54-M56</f>
        <v>-421174.37816043943</v>
      </c>
      <c r="N58" s="1347">
        <f>N54-N56</f>
        <v>-1095246.8371144496</v>
      </c>
      <c r="O58" s="1347">
        <f>O54-O56</f>
        <v>-606028.82039999962</v>
      </c>
      <c r="P58" s="1347">
        <v>-788456.01759999618</v>
      </c>
      <c r="Q58" s="1347">
        <f>Q54-Q56</f>
        <v>-695935</v>
      </c>
      <c r="R58" s="1347">
        <v>-769589.82500000298</v>
      </c>
      <c r="S58" s="1347">
        <f>S54-S56</f>
        <v>-4546.2100000008941</v>
      </c>
      <c r="T58" s="1347">
        <f>T54-T56</f>
        <v>-89143.690000001341</v>
      </c>
      <c r="U58" s="1347"/>
      <c r="V58" s="1347">
        <f t="shared" ref="V58:Z58" si="48">V54-V56</f>
        <v>-84587.330000001937</v>
      </c>
      <c r="W58" s="1347">
        <f t="shared" si="48"/>
        <v>-295518.36499999836</v>
      </c>
      <c r="X58" s="2338">
        <f t="shared" si="48"/>
        <v>-155806.76740002632</v>
      </c>
      <c r="Y58" s="2338">
        <f t="shared" si="48"/>
        <v>-85205.789999995381</v>
      </c>
      <c r="Z58" s="2338">
        <f t="shared" si="48"/>
        <v>-197991.3508500047</v>
      </c>
      <c r="AA58" s="2338">
        <f>AA54-AA56</f>
        <v>-129958.68233978748</v>
      </c>
      <c r="AB58" s="2338">
        <f>AB54-AB56</f>
        <v>-59005.010000001639</v>
      </c>
      <c r="AC58" s="2338"/>
      <c r="AD58" s="2339" t="str">
        <f t="shared" si="46"/>
        <v/>
      </c>
      <c r="AE58" s="2146" t="s">
        <v>407</v>
      </c>
      <c r="AF58" s="2156" t="e">
        <f>AA58+SUM(AF10:AF17)</f>
        <v>#REF!</v>
      </c>
      <c r="AG58" s="2157" t="e">
        <f>AF58+AG57</f>
        <v>#REF!</v>
      </c>
      <c r="AH58" s="2157" t="e">
        <f>AG58+AH57</f>
        <v>#REF!</v>
      </c>
      <c r="AI58" s="2157" t="e">
        <f>AH58+AI57</f>
        <v>#REF!</v>
      </c>
      <c r="AJ58" s="2157" t="e">
        <f>AI58</f>
        <v>#REF!</v>
      </c>
      <c r="AK58" s="2175"/>
      <c r="AL58" s="2176"/>
      <c r="AM58" s="2175"/>
      <c r="AN58" s="2124"/>
      <c r="AO58" s="1331"/>
      <c r="AP58" s="1332"/>
      <c r="AQ58" s="1332"/>
      <c r="AR58" s="1332"/>
      <c r="AS58" s="1333"/>
      <c r="AT58" s="1267" t="e">
        <f>AB58-#REF!</f>
        <v>#REF!</v>
      </c>
      <c r="AU58" s="1267">
        <f>AA58+108907</f>
        <v>-21051.682339787483</v>
      </c>
      <c r="AV58" s="1267"/>
    </row>
    <row r="59" spans="1:54" ht="12" customHeight="1" x14ac:dyDescent="0.3">
      <c r="A59" s="1261"/>
      <c r="B59" s="1248"/>
      <c r="C59" s="1248"/>
      <c r="D59" s="1248"/>
      <c r="E59" s="1248"/>
      <c r="F59" s="1248"/>
      <c r="G59" s="1248"/>
      <c r="H59" s="1249"/>
      <c r="I59" s="1300"/>
      <c r="J59" s="1348">
        <v>1289199574</v>
      </c>
      <c r="K59" s="1349"/>
      <c r="L59" s="1348"/>
      <c r="N59" s="1350"/>
      <c r="O59" s="1351"/>
      <c r="P59" s="1351"/>
      <c r="Q59" s="1351"/>
      <c r="R59" s="1351"/>
      <c r="S59" s="1351"/>
      <c r="T59" s="1351"/>
      <c r="U59" s="1351"/>
      <c r="V59" s="1351"/>
      <c r="W59" s="1351"/>
      <c r="X59" s="2337"/>
      <c r="Y59" s="2337"/>
      <c r="Z59" s="2337"/>
      <c r="AA59" s="2337"/>
      <c r="AB59" s="2337"/>
      <c r="AC59" s="2337">
        <f>S59-R59</f>
        <v>0</v>
      </c>
      <c r="AD59" s="1351" t="str">
        <f t="shared" si="46"/>
        <v/>
      </c>
      <c r="AE59" s="1261"/>
      <c r="AF59" s="1242"/>
      <c r="AG59" s="1242"/>
      <c r="AH59" s="1242"/>
      <c r="AI59" s="1242"/>
      <c r="AJ59" s="1242"/>
      <c r="AK59" s="1590">
        <v>0</v>
      </c>
      <c r="AL59" s="1590"/>
      <c r="AM59" s="1590"/>
      <c r="AN59" s="1590"/>
      <c r="AO59" s="1352"/>
      <c r="AP59" s="1353"/>
      <c r="AQ59" s="1353"/>
      <c r="AR59" s="1354"/>
    </row>
    <row r="60" spans="1:54" ht="12" customHeight="1" x14ac:dyDescent="0.3">
      <c r="A60" s="1261" t="s">
        <v>408</v>
      </c>
      <c r="B60" s="1248">
        <v>654286038</v>
      </c>
      <c r="C60" s="1248">
        <v>765225249</v>
      </c>
      <c r="D60" s="1248">
        <v>828426894</v>
      </c>
      <c r="E60" s="1248">
        <v>957191878</v>
      </c>
      <c r="F60" s="1248">
        <v>1063512597</v>
      </c>
      <c r="G60" s="1248">
        <v>1149877339</v>
      </c>
      <c r="H60" s="1248">
        <v>1197519716</v>
      </c>
      <c r="I60" s="1249">
        <v>1278395170</v>
      </c>
      <c r="J60" s="1248">
        <v>1289199574</v>
      </c>
      <c r="K60" s="1249">
        <f>J60*(1+0.025)</f>
        <v>1321429563.3499999</v>
      </c>
      <c r="L60" s="1248">
        <v>1199414915</v>
      </c>
      <c r="M60" s="1303">
        <v>1162962400</v>
      </c>
      <c r="N60" s="1248">
        <v>1152261489</v>
      </c>
      <c r="O60" s="1355">
        <v>1149229840</v>
      </c>
      <c r="P60" s="1355">
        <v>1163186270</v>
      </c>
      <c r="Q60" s="1355">
        <v>1215213580</v>
      </c>
      <c r="R60" s="1355">
        <v>1266545220</v>
      </c>
      <c r="S60" s="1355">
        <v>1298826259</v>
      </c>
      <c r="T60" s="1355">
        <v>1362278394</v>
      </c>
      <c r="U60" s="1355"/>
      <c r="V60" s="1355">
        <v>1408588756</v>
      </c>
      <c r="W60" s="2335">
        <v>1443019087</v>
      </c>
      <c r="X60" s="1355">
        <v>1463800844</v>
      </c>
      <c r="Y60" s="1355">
        <v>1622796155</v>
      </c>
      <c r="Z60" s="1355">
        <v>1671480040</v>
      </c>
      <c r="AA60" s="1355">
        <v>1802348188</v>
      </c>
      <c r="AB60" s="1355">
        <v>2010540217</v>
      </c>
      <c r="AC60" s="1355"/>
      <c r="AD60" s="2336">
        <f t="shared" si="46"/>
        <v>0</v>
      </c>
      <c r="AE60" s="1356"/>
      <c r="AF60" s="2177" t="s">
        <v>1152</v>
      </c>
      <c r="AG60" s="2177"/>
      <c r="AH60" s="2177"/>
      <c r="AI60" s="2177"/>
      <c r="AJ60" s="2174"/>
      <c r="AK60" s="2174"/>
      <c r="AL60" s="2174"/>
      <c r="AM60" s="1242"/>
      <c r="AN60" s="1242"/>
      <c r="AO60" s="1357" t="s">
        <v>315</v>
      </c>
      <c r="AP60" s="1353"/>
      <c r="AQ60" s="1353"/>
      <c r="AR60" s="1354"/>
    </row>
    <row r="61" spans="1:54" ht="12" customHeight="1" thickBot="1" x14ac:dyDescent="0.35">
      <c r="A61" s="1261"/>
      <c r="B61" s="1248" t="s">
        <v>160</v>
      </c>
      <c r="C61" s="1248"/>
      <c r="D61" s="1248"/>
      <c r="E61" s="1248"/>
      <c r="F61" s="1248"/>
      <c r="G61" s="1248"/>
      <c r="H61" s="1248"/>
      <c r="I61" s="1249"/>
      <c r="J61" s="1358"/>
      <c r="K61" s="1272"/>
      <c r="L61" s="1358"/>
      <c r="M61" s="1359"/>
      <c r="N61" s="1360"/>
      <c r="O61" s="1360"/>
      <c r="P61" s="1360"/>
      <c r="Q61" s="1360"/>
      <c r="R61" s="1360"/>
      <c r="S61" s="1360"/>
      <c r="T61" s="1360"/>
      <c r="U61" s="1360"/>
      <c r="V61" s="1360"/>
      <c r="W61" s="1360">
        <v>1408588756</v>
      </c>
      <c r="X61" s="1358"/>
      <c r="Y61" s="1358"/>
      <c r="Z61" s="1358"/>
      <c r="AA61" s="1358"/>
      <c r="AB61" s="1358"/>
      <c r="AC61" s="1358">
        <f>S61-R61</f>
        <v>0</v>
      </c>
      <c r="AD61" s="1360" t="str">
        <f t="shared" si="46"/>
        <v/>
      </c>
      <c r="AE61" s="1261"/>
      <c r="AF61" s="2177" t="s">
        <v>1154</v>
      </c>
      <c r="AG61" s="2177"/>
      <c r="AH61" s="2177"/>
      <c r="AI61" s="2177"/>
      <c r="AJ61" s="2174"/>
      <c r="AK61" s="2174"/>
      <c r="AL61" s="2174"/>
      <c r="AM61" s="1242"/>
      <c r="AN61" s="1242"/>
      <c r="AO61" s="1361"/>
      <c r="AP61" s="1362"/>
      <c r="AQ61" s="1362"/>
      <c r="AR61" s="1363"/>
    </row>
    <row r="62" spans="1:54" ht="12" customHeight="1" thickBot="1" x14ac:dyDescent="0.35">
      <c r="A62" s="1364" t="s">
        <v>409</v>
      </c>
      <c r="B62" s="1365">
        <f t="shared" ref="B62:M62" si="49">((B54/B60)*1000)</f>
        <v>14.919999989362449</v>
      </c>
      <c r="C62" s="1365">
        <f t="shared" si="49"/>
        <v>14.85093704742615</v>
      </c>
      <c r="D62" s="1365">
        <f t="shared" si="49"/>
        <v>13.700000002655637</v>
      </c>
      <c r="E62" s="1365">
        <f t="shared" si="49"/>
        <v>12.740000004471414</v>
      </c>
      <c r="F62" s="1365">
        <f t="shared" si="49"/>
        <v>12.199999996803045</v>
      </c>
      <c r="G62" s="1365">
        <f t="shared" si="49"/>
        <v>12.060000001443633</v>
      </c>
      <c r="H62" s="1365">
        <f t="shared" si="49"/>
        <v>11.659999967800111</v>
      </c>
      <c r="I62" s="1366">
        <f t="shared" si="49"/>
        <v>11.581650594002166</v>
      </c>
      <c r="J62" s="1367">
        <f t="shared" si="49"/>
        <v>11.966326898584594</v>
      </c>
      <c r="K62" s="1368">
        <f t="shared" si="49"/>
        <v>12.370594651718333</v>
      </c>
      <c r="L62" s="1365">
        <f t="shared" si="49"/>
        <v>13.870000107510753</v>
      </c>
      <c r="M62" s="1365">
        <f t="shared" si="49"/>
        <v>14.829999662929774</v>
      </c>
      <c r="N62" s="1365">
        <f>((N54/N60)*1000)</f>
        <v>15.042303014953925</v>
      </c>
      <c r="O62" s="1365">
        <f>((O54/O60)*1000)</f>
        <v>15.950000080053613</v>
      </c>
      <c r="P62" s="1365">
        <v>16.160408068090419</v>
      </c>
      <c r="Q62" s="1365">
        <f>Q54/Q60*1000</f>
        <v>16.44999967824586</v>
      </c>
      <c r="R62" s="1365">
        <v>16.519999807034132</v>
      </c>
      <c r="S62" s="1365">
        <f>((S54/S60)*1000)</f>
        <v>16.939125335315534</v>
      </c>
      <c r="T62" s="1365">
        <f>((T54/T60)*1000)</f>
        <v>17.203317393287527</v>
      </c>
      <c r="U62" s="1365"/>
      <c r="V62" s="1365">
        <f>((V54/V60)*1000)</f>
        <v>17.003501105612969</v>
      </c>
      <c r="W62" s="1365">
        <f>((W54/W60)*1000)</f>
        <v>17.664121999240056</v>
      </c>
      <c r="X62" s="1365">
        <f>((X54/X60)*1000)</f>
        <v>17.922266281737418</v>
      </c>
      <c r="Y62" s="1365">
        <f>((Y54/Y60)*1000)</f>
        <v>16.655958021418904</v>
      </c>
      <c r="Z62" s="1365">
        <f>((Z54/Z60)*1000)</f>
        <v>16.368217974143441</v>
      </c>
      <c r="AA62" s="1365">
        <f t="shared" ref="AA62" si="50">((AA54/AA60)*1000)</f>
        <v>16.485977307543539</v>
      </c>
      <c r="AB62" s="1365">
        <f>((AB54/AB60)*1000)</f>
        <v>15.394896027588391</v>
      </c>
      <c r="AC62" s="1365"/>
      <c r="AD62" s="1365">
        <f t="shared" si="46"/>
        <v>0</v>
      </c>
      <c r="AE62" s="1438"/>
      <c r="AF62" s="2177" t="s">
        <v>1156</v>
      </c>
      <c r="AG62" s="2177"/>
      <c r="AH62" s="2177"/>
      <c r="AI62" s="2177"/>
      <c r="AJ62" s="2174"/>
      <c r="AK62" s="2174"/>
      <c r="AL62" s="2174"/>
      <c r="AM62" s="1242"/>
      <c r="AN62" s="1242"/>
    </row>
    <row r="63" spans="1:54" ht="12" customHeight="1" x14ac:dyDescent="0.3">
      <c r="A63" s="1369"/>
      <c r="B63" s="1369"/>
      <c r="C63" s="1369"/>
      <c r="D63" s="1369"/>
      <c r="E63" s="1369"/>
      <c r="F63" s="1369"/>
      <c r="G63" s="1369"/>
      <c r="H63" s="1369"/>
      <c r="I63" s="1369"/>
      <c r="J63" s="1369"/>
      <c r="K63" s="1369"/>
      <c r="L63" s="1369"/>
      <c r="M63" s="1369"/>
      <c r="N63" s="1369"/>
      <c r="O63" s="1369"/>
      <c r="P63" s="1369"/>
      <c r="Q63" s="1369"/>
      <c r="R63" s="1369"/>
      <c r="S63" s="1369"/>
      <c r="T63" s="1369"/>
      <c r="U63" s="1369"/>
      <c r="V63" s="1369"/>
      <c r="W63" s="1369"/>
      <c r="X63" s="1369"/>
      <c r="Y63" s="1369"/>
      <c r="Z63" s="1369"/>
      <c r="AA63" s="1369"/>
      <c r="AB63" s="1369"/>
      <c r="AC63" s="1369"/>
      <c r="AD63" s="1369"/>
      <c r="AE63" s="1369"/>
      <c r="AF63" s="2177" t="s">
        <v>1158</v>
      </c>
      <c r="AG63" s="2177"/>
      <c r="AH63" s="2177"/>
      <c r="AI63" s="2177"/>
      <c r="AJ63" s="2170"/>
      <c r="AK63" s="1242"/>
      <c r="AL63" s="1242"/>
      <c r="AM63" s="1242"/>
      <c r="AN63" s="1242"/>
    </row>
    <row r="64" spans="1:54" ht="12" customHeight="1" x14ac:dyDescent="0.3">
      <c r="A64" s="1370" t="s">
        <v>6</v>
      </c>
      <c r="B64" s="1371"/>
      <c r="C64" s="1371"/>
      <c r="D64" s="1371"/>
      <c r="E64" s="1372"/>
      <c r="F64" s="1372"/>
      <c r="G64" s="1372"/>
      <c r="H64" s="1371"/>
      <c r="I64" s="1370"/>
      <c r="J64" s="1373">
        <v>1324987</v>
      </c>
      <c r="K64" s="1374">
        <v>1379523</v>
      </c>
      <c r="L64" s="1374">
        <v>1188197</v>
      </c>
      <c r="M64" s="1374">
        <v>1025644</v>
      </c>
      <c r="N64" s="1375">
        <v>1217661</v>
      </c>
      <c r="O64" s="1375">
        <v>1220632</v>
      </c>
      <c r="P64" s="1375">
        <v>1701286</v>
      </c>
      <c r="Q64" s="1375">
        <v>1582536</v>
      </c>
      <c r="R64" s="1373">
        <v>1897634</v>
      </c>
      <c r="S64" s="1374">
        <v>1640052</v>
      </c>
      <c r="T64" s="1374">
        <v>1611613</v>
      </c>
      <c r="U64" s="1374"/>
      <c r="V64" s="1374">
        <f>1600000 + (2266932.58-1600000)</f>
        <v>2266932.58</v>
      </c>
      <c r="W64" s="1374">
        <v>2564754</v>
      </c>
      <c r="X64" s="1374">
        <v>2046950</v>
      </c>
      <c r="Y64" s="1374">
        <v>2618095</v>
      </c>
      <c r="Z64" s="1374">
        <v>3288779</v>
      </c>
      <c r="AA64" s="1374">
        <v>3022081</v>
      </c>
      <c r="AB64" s="1374">
        <v>3020207</v>
      </c>
      <c r="AC64" s="1374"/>
      <c r="AD64" s="1374"/>
      <c r="AE64" s="260"/>
      <c r="AF64" s="1242"/>
      <c r="AG64" s="1242"/>
      <c r="AH64" s="1242"/>
      <c r="AI64" s="1242"/>
      <c r="AJ64" s="1242"/>
      <c r="AK64" s="1242"/>
      <c r="AL64" s="1242"/>
      <c r="AM64" s="1242"/>
      <c r="AN64" s="1242"/>
      <c r="AO64" s="1376"/>
    </row>
    <row r="65" spans="1:40" ht="12" customHeight="1" x14ac:dyDescent="0.3">
      <c r="A65" s="1377" t="s">
        <v>185</v>
      </c>
      <c r="B65" s="1378"/>
      <c r="C65" s="1378"/>
      <c r="D65" s="1378"/>
      <c r="E65" s="1379"/>
      <c r="F65" s="1379"/>
      <c r="G65" s="1379"/>
      <c r="H65" s="1378"/>
      <c r="I65" s="1380"/>
      <c r="J65" s="1381">
        <v>600000</v>
      </c>
      <c r="K65" s="1382">
        <f>600000-99879</f>
        <v>500121</v>
      </c>
      <c r="L65" s="1382">
        <v>550000</v>
      </c>
      <c r="M65" s="1382">
        <v>600000</v>
      </c>
      <c r="N65" s="1383">
        <v>600000</v>
      </c>
      <c r="O65" s="1383">
        <v>650000</v>
      </c>
      <c r="P65" s="1383">
        <v>750000</v>
      </c>
      <c r="Q65" s="1383">
        <v>750000</v>
      </c>
      <c r="R65" s="1381">
        <v>750000</v>
      </c>
      <c r="S65" s="1382">
        <v>700000</v>
      </c>
      <c r="T65" s="1382">
        <v>702000</v>
      </c>
      <c r="U65" s="1382"/>
      <c r="V65" s="1382">
        <v>1125000</v>
      </c>
      <c r="W65" s="1382">
        <v>897254</v>
      </c>
      <c r="X65" s="1382">
        <f>1353950-65000-260000</f>
        <v>1028950</v>
      </c>
      <c r="Y65" s="1591">
        <f>1768095-164500 -14000 +85000-80000-400000</f>
        <v>1194595</v>
      </c>
      <c r="Z65" s="1591">
        <f>1298454</f>
        <v>1298454</v>
      </c>
      <c r="AA65" s="1591">
        <f>1447056-131437 + 400000-284000-200000</f>
        <v>1231619</v>
      </c>
      <c r="AB65" s="1591">
        <f>1770139-116704-190000-305000+60000</f>
        <v>1218435</v>
      </c>
      <c r="AC65" s="1382"/>
      <c r="AD65" s="1382"/>
      <c r="AE65" s="1592"/>
      <c r="AF65" s="1242"/>
      <c r="AG65" s="1242"/>
      <c r="AH65" s="1242"/>
      <c r="AI65" s="1242"/>
      <c r="AJ65" s="1242"/>
      <c r="AK65" s="1242"/>
      <c r="AL65" s="1242"/>
      <c r="AM65" s="1242"/>
      <c r="AN65" s="2333"/>
    </row>
    <row r="66" spans="1:40" ht="12" customHeight="1" x14ac:dyDescent="0.3">
      <c r="A66" s="1377" t="s">
        <v>509</v>
      </c>
      <c r="B66" s="1378"/>
      <c r="C66" s="1378"/>
      <c r="D66" s="1378"/>
      <c r="E66" s="1379"/>
      <c r="F66" s="1379"/>
      <c r="G66" s="1379"/>
      <c r="H66" s="1378"/>
      <c r="I66" s="1377"/>
      <c r="J66" s="1381">
        <f t="shared" ref="J66:N66" si="51">J45+J47</f>
        <v>757101</v>
      </c>
      <c r="K66" s="1382">
        <f t="shared" si="51"/>
        <v>887238</v>
      </c>
      <c r="L66" s="1382">
        <f t="shared" si="51"/>
        <v>638197</v>
      </c>
      <c r="M66" s="1382">
        <f t="shared" si="51"/>
        <v>424444</v>
      </c>
      <c r="N66" s="1382">
        <f t="shared" si="51"/>
        <v>617661</v>
      </c>
      <c r="O66" s="1382">
        <v>572467</v>
      </c>
      <c r="P66" s="1382">
        <v>951286</v>
      </c>
      <c r="Q66" s="1382">
        <v>832536</v>
      </c>
      <c r="R66" s="1384">
        <f>R45+R47</f>
        <v>1147634</v>
      </c>
      <c r="S66" s="1384">
        <f>S45+S47</f>
        <v>940052</v>
      </c>
      <c r="T66" s="1384">
        <f>T45+T47</f>
        <v>909613</v>
      </c>
      <c r="U66" s="1384"/>
      <c r="V66" s="1384">
        <f t="shared" ref="V66:AA66" si="52">V45+V47</f>
        <v>1141932.58</v>
      </c>
      <c r="W66" s="1384">
        <f t="shared" si="52"/>
        <v>1667500</v>
      </c>
      <c r="X66" s="1384">
        <f t="shared" si="52"/>
        <v>1018000</v>
      </c>
      <c r="Y66" s="1384">
        <f t="shared" si="52"/>
        <v>1423500</v>
      </c>
      <c r="Z66" s="1384">
        <f t="shared" si="52"/>
        <v>1990325</v>
      </c>
      <c r="AA66" s="1384">
        <f t="shared" si="52"/>
        <v>1790462</v>
      </c>
      <c r="AB66" s="1384">
        <f>AB65</f>
        <v>1218435</v>
      </c>
      <c r="AC66" s="1384"/>
      <c r="AD66" s="1384"/>
      <c r="AE66" s="1369"/>
      <c r="AF66" s="1242"/>
      <c r="AG66" s="1242"/>
      <c r="AH66" s="1242"/>
      <c r="AI66" s="1242"/>
      <c r="AJ66" s="1242"/>
      <c r="AK66" s="1242"/>
      <c r="AL66" s="1242"/>
      <c r="AM66" s="1242"/>
      <c r="AN66" s="1242"/>
    </row>
    <row r="67" spans="1:40" ht="12" customHeight="1" x14ac:dyDescent="0.3">
      <c r="A67" s="1385" t="s">
        <v>510</v>
      </c>
      <c r="B67" s="1386"/>
      <c r="C67" s="1386"/>
      <c r="D67" s="1386"/>
      <c r="E67" s="1387"/>
      <c r="F67" s="1387"/>
      <c r="G67" s="1387"/>
      <c r="H67" s="1386"/>
      <c r="I67" s="1388"/>
      <c r="J67" s="1389">
        <f t="shared" ref="J67:N67" si="53">J64-(J65+J66)</f>
        <v>-32114</v>
      </c>
      <c r="K67" s="1390">
        <f t="shared" si="53"/>
        <v>-7836</v>
      </c>
      <c r="L67" s="1390">
        <f t="shared" si="53"/>
        <v>0</v>
      </c>
      <c r="M67" s="1391">
        <f t="shared" si="53"/>
        <v>1200</v>
      </c>
      <c r="N67" s="1391">
        <f t="shared" si="53"/>
        <v>0</v>
      </c>
      <c r="O67" s="1391">
        <v>-1835</v>
      </c>
      <c r="P67" s="1391">
        <v>0</v>
      </c>
      <c r="Q67" s="1391">
        <v>0</v>
      </c>
      <c r="R67" s="1391">
        <v>0</v>
      </c>
      <c r="S67" s="1392">
        <f>S64-(S65+S66)</f>
        <v>0</v>
      </c>
      <c r="T67" s="1392">
        <f>T64-(T65+T66)</f>
        <v>0</v>
      </c>
      <c r="U67" s="1392"/>
      <c r="V67" s="1392">
        <f>V64-(V65+V66)</f>
        <v>0</v>
      </c>
      <c r="W67" s="1392">
        <f>W64-(W65+W66)</f>
        <v>0</v>
      </c>
      <c r="X67" s="1392">
        <f>X64-(X65+X66)</f>
        <v>0</v>
      </c>
      <c r="Y67" s="1392">
        <f>Y64-(Y65+Y66)</f>
        <v>0</v>
      </c>
      <c r="Z67" s="1392"/>
      <c r="AA67" s="1392"/>
      <c r="AB67" s="1392"/>
      <c r="AC67" s="1392"/>
      <c r="AD67" s="1392"/>
      <c r="AF67" s="1242"/>
      <c r="AG67" s="1242"/>
      <c r="AH67" s="1242"/>
      <c r="AI67" s="1242"/>
      <c r="AJ67" s="1242"/>
      <c r="AK67" s="1242"/>
      <c r="AL67" s="1242"/>
      <c r="AM67" s="1242"/>
      <c r="AN67" s="1242"/>
    </row>
    <row r="68" spans="1:40" ht="12" customHeight="1" x14ac:dyDescent="0.3">
      <c r="A68" s="1448" t="s">
        <v>940</v>
      </c>
      <c r="B68" s="1369"/>
      <c r="C68" s="1369"/>
      <c r="D68" s="1369"/>
      <c r="E68" s="1394"/>
      <c r="F68" s="1369"/>
      <c r="G68" s="1369"/>
      <c r="H68" s="1369"/>
      <c r="I68" s="1369"/>
      <c r="J68" s="1369"/>
      <c r="K68" s="1369"/>
      <c r="L68" s="1369"/>
      <c r="M68" s="1369"/>
      <c r="N68" s="1369"/>
      <c r="O68" s="1369"/>
      <c r="P68" s="1369"/>
      <c r="Q68" s="1369"/>
      <c r="R68" s="1441"/>
      <c r="S68" s="1441"/>
      <c r="T68" s="1441"/>
      <c r="U68" s="1441"/>
      <c r="V68" s="1441"/>
      <c r="W68" s="1441"/>
      <c r="X68" s="1567" t="s">
        <v>275</v>
      </c>
      <c r="Y68" s="1567"/>
      <c r="Z68" s="1567"/>
      <c r="AA68" s="1567"/>
      <c r="AB68" s="1567"/>
      <c r="AC68" s="1567"/>
      <c r="AD68" s="1567"/>
    </row>
    <row r="69" spans="1:40" ht="12" customHeight="1" x14ac:dyDescent="0.3">
      <c r="A69" s="1448" t="s">
        <v>1042</v>
      </c>
      <c r="B69" s="1441"/>
      <c r="C69" s="1441"/>
      <c r="D69" s="1441"/>
      <c r="E69" s="1442"/>
      <c r="F69" s="1441"/>
      <c r="G69" s="1441"/>
      <c r="H69" s="1441"/>
      <c r="I69" s="1441"/>
      <c r="J69" s="1443"/>
      <c r="K69" s="1443"/>
      <c r="L69" s="1443"/>
      <c r="M69" s="1443"/>
      <c r="N69" s="1443"/>
      <c r="O69" s="1443"/>
      <c r="P69" s="1443"/>
      <c r="Q69" s="1443"/>
      <c r="R69" s="1443"/>
      <c r="S69" s="1447" t="s">
        <v>925</v>
      </c>
      <c r="T69" s="1570"/>
      <c r="U69" s="1571"/>
      <c r="V69" s="1570"/>
      <c r="W69" s="1570"/>
      <c r="X69" s="1570"/>
      <c r="Y69" s="1570"/>
      <c r="Z69" s="1570"/>
      <c r="AA69" s="1570"/>
      <c r="AB69" s="1570"/>
      <c r="AC69" s="1570"/>
      <c r="AD69" s="1570"/>
      <c r="AE69" s="1572"/>
    </row>
    <row r="70" spans="1:40" ht="12" customHeight="1" x14ac:dyDescent="0.3">
      <c r="A70" s="2610"/>
      <c r="B70" s="2611"/>
      <c r="C70" s="2611"/>
      <c r="D70" s="2611"/>
      <c r="E70" s="2611"/>
      <c r="F70" s="2611"/>
      <c r="G70" s="2611"/>
      <c r="H70" s="2611"/>
      <c r="I70" s="2611"/>
      <c r="J70" s="2611"/>
      <c r="K70" s="2611"/>
      <c r="L70" s="2611"/>
      <c r="M70" s="2611"/>
      <c r="N70" s="2611"/>
      <c r="O70" s="2611"/>
      <c r="P70" s="2611"/>
      <c r="Q70" s="2611"/>
      <c r="R70" s="2611"/>
      <c r="S70" s="1446">
        <f>V10</f>
        <v>1485270</v>
      </c>
      <c r="T70" s="1444"/>
      <c r="U70" s="1573"/>
      <c r="V70" s="1573"/>
      <c r="W70" s="1619"/>
      <c r="X70" s="1589"/>
      <c r="Y70" s="1574"/>
      <c r="Z70" s="1574"/>
      <c r="AA70" s="1574"/>
      <c r="AB70" s="1574"/>
      <c r="AC70" s="1574"/>
      <c r="AD70" s="1574"/>
      <c r="AE70" s="1575"/>
    </row>
    <row r="71" spans="1:40" ht="12" customHeight="1" x14ac:dyDescent="0.3">
      <c r="A71" s="2610"/>
      <c r="B71" s="2611"/>
      <c r="C71" s="2611"/>
      <c r="D71" s="2611"/>
      <c r="E71" s="2611"/>
      <c r="F71" s="2611"/>
      <c r="G71" s="2611"/>
      <c r="H71" s="2611"/>
      <c r="I71" s="2611"/>
      <c r="J71" s="2611"/>
      <c r="K71" s="2611"/>
      <c r="L71" s="2611"/>
      <c r="M71" s="2611"/>
      <c r="N71" s="2611"/>
      <c r="O71" s="2611"/>
      <c r="P71" s="2611"/>
      <c r="Q71" s="2611"/>
      <c r="R71" s="2611"/>
      <c r="S71" s="1446"/>
      <c r="T71" s="1573"/>
      <c r="U71" s="1573"/>
      <c r="V71" s="1573"/>
      <c r="W71" s="1619"/>
      <c r="X71" s="1573"/>
      <c r="Y71" s="1573"/>
      <c r="Z71" s="1573"/>
      <c r="AA71" s="1573"/>
      <c r="AB71" s="1573"/>
      <c r="AC71" s="1573"/>
      <c r="AD71" s="1573"/>
      <c r="AE71" s="1575"/>
    </row>
    <row r="72" spans="1:40" ht="12" customHeight="1" x14ac:dyDescent="0.3">
      <c r="A72" s="2610"/>
      <c r="B72" s="2611"/>
      <c r="C72" s="2611"/>
      <c r="D72" s="2611"/>
      <c r="E72" s="2611"/>
      <c r="F72" s="2611"/>
      <c r="G72" s="2611"/>
      <c r="H72" s="2611"/>
      <c r="I72" s="2611"/>
      <c r="J72" s="2611"/>
      <c r="K72" s="2611"/>
      <c r="L72" s="2611"/>
      <c r="M72" s="2611"/>
      <c r="N72" s="2611"/>
      <c r="O72" s="2611"/>
      <c r="P72" s="2611"/>
      <c r="Q72" s="2611"/>
      <c r="R72" s="2611"/>
      <c r="S72" s="1446"/>
      <c r="T72" s="1444"/>
      <c r="U72" s="1573"/>
      <c r="V72" s="1573"/>
      <c r="W72" s="1573"/>
      <c r="X72" s="1573"/>
      <c r="Y72" s="1573"/>
      <c r="Z72" s="1573"/>
      <c r="AA72" s="1573"/>
      <c r="AB72" s="1573"/>
      <c r="AC72" s="1573"/>
      <c r="AD72" s="1573"/>
      <c r="AE72" s="1575"/>
    </row>
    <row r="73" spans="1:40" ht="12" customHeight="1" x14ac:dyDescent="0.3">
      <c r="A73" s="1445"/>
      <c r="B73" s="1444"/>
      <c r="C73" s="1444"/>
      <c r="D73" s="1444"/>
      <c r="E73" s="1444"/>
      <c r="F73" s="1444"/>
      <c r="G73" s="1444"/>
      <c r="H73" s="1444"/>
      <c r="I73" s="1444"/>
      <c r="J73" s="1444"/>
      <c r="K73" s="1444"/>
      <c r="L73" s="1444"/>
      <c r="M73" s="1444"/>
      <c r="N73" s="1444"/>
      <c r="O73" s="1444"/>
      <c r="P73" s="1444"/>
      <c r="Q73" s="1444"/>
      <c r="R73" s="1444"/>
      <c r="S73" s="1446">
        <f>V17</f>
        <v>3934577</v>
      </c>
      <c r="T73" s="1444"/>
      <c r="U73" s="1573"/>
      <c r="V73" s="1573"/>
      <c r="W73" s="1573"/>
      <c r="X73" s="1573"/>
      <c r="Y73" s="1573"/>
      <c r="Z73" s="1573"/>
      <c r="AA73" s="1573"/>
      <c r="AB73" s="1573"/>
      <c r="AC73" s="1573"/>
      <c r="AD73" s="1573"/>
      <c r="AE73" s="1575"/>
    </row>
    <row r="74" spans="1:40" ht="12" customHeight="1" x14ac:dyDescent="0.3"/>
    <row r="75" spans="1:40" ht="12" customHeight="1" x14ac:dyDescent="0.3"/>
    <row r="76" spans="1:40" ht="12" customHeight="1" x14ac:dyDescent="0.3"/>
    <row r="77" spans="1:40" ht="12" customHeight="1" x14ac:dyDescent="0.3"/>
    <row r="78" spans="1:40" ht="12" customHeight="1" x14ac:dyDescent="0.3"/>
    <row r="79" spans="1:40" ht="12" customHeight="1" x14ac:dyDescent="0.3"/>
    <row r="80" spans="1:4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  <row r="299" ht="15" customHeight="1" x14ac:dyDescent="0.3"/>
    <row r="300" ht="15" customHeight="1" x14ac:dyDescent="0.3"/>
    <row r="301" ht="15" customHeight="1" x14ac:dyDescent="0.3"/>
    <row r="302" ht="15" customHeight="1" x14ac:dyDescent="0.3"/>
    <row r="303" ht="15" customHeight="1" x14ac:dyDescent="0.3"/>
    <row r="304" ht="15" customHeight="1" x14ac:dyDescent="0.3"/>
    <row r="305" ht="15" customHeight="1" x14ac:dyDescent="0.3"/>
    <row r="306" ht="15" customHeight="1" x14ac:dyDescent="0.3"/>
    <row r="307" ht="15" customHeight="1" x14ac:dyDescent="0.3"/>
    <row r="308" ht="15" customHeight="1" x14ac:dyDescent="0.3"/>
    <row r="309" ht="15" customHeight="1" x14ac:dyDescent="0.3"/>
    <row r="310" ht="15" customHeight="1" x14ac:dyDescent="0.3"/>
    <row r="311" ht="15" customHeight="1" x14ac:dyDescent="0.3"/>
    <row r="312" ht="15" customHeight="1" x14ac:dyDescent="0.3"/>
    <row r="313" ht="15" customHeight="1" x14ac:dyDescent="0.3"/>
    <row r="314" ht="15" customHeight="1" x14ac:dyDescent="0.3"/>
    <row r="315" ht="15" customHeight="1" x14ac:dyDescent="0.3"/>
    <row r="316" ht="15" customHeight="1" x14ac:dyDescent="0.3"/>
    <row r="317" ht="15" customHeight="1" x14ac:dyDescent="0.3"/>
    <row r="318" ht="15" customHeight="1" x14ac:dyDescent="0.3"/>
    <row r="319" ht="15" customHeight="1" x14ac:dyDescent="0.3"/>
    <row r="320" ht="15" customHeight="1" x14ac:dyDescent="0.3"/>
    <row r="321" ht="15" customHeight="1" x14ac:dyDescent="0.3"/>
    <row r="322" ht="15" customHeight="1" x14ac:dyDescent="0.3"/>
    <row r="323" ht="15" customHeight="1" x14ac:dyDescent="0.3"/>
    <row r="324" ht="15" customHeight="1" x14ac:dyDescent="0.3"/>
    <row r="325" ht="15" customHeight="1" x14ac:dyDescent="0.3"/>
    <row r="326" ht="15" customHeight="1" x14ac:dyDescent="0.3"/>
    <row r="327" ht="15" customHeight="1" x14ac:dyDescent="0.3"/>
    <row r="328" ht="15" customHeight="1" x14ac:dyDescent="0.3"/>
    <row r="329" ht="15" customHeight="1" x14ac:dyDescent="0.3"/>
    <row r="330" ht="15" customHeight="1" x14ac:dyDescent="0.3"/>
    <row r="331" ht="15" customHeight="1" x14ac:dyDescent="0.3"/>
    <row r="332" ht="15" customHeight="1" x14ac:dyDescent="0.3"/>
    <row r="333" ht="15" customHeight="1" x14ac:dyDescent="0.3"/>
    <row r="334" ht="15" customHeight="1" x14ac:dyDescent="0.3"/>
    <row r="335" ht="15" customHeight="1" x14ac:dyDescent="0.3"/>
    <row r="336" ht="15" customHeight="1" x14ac:dyDescent="0.3"/>
  </sheetData>
  <mergeCells count="10">
    <mergeCell ref="AM5:AM7"/>
    <mergeCell ref="AG5:AG7"/>
    <mergeCell ref="AH5:AH7"/>
    <mergeCell ref="AI5:AI7"/>
    <mergeCell ref="AL5:AL7"/>
    <mergeCell ref="A70:R70"/>
    <mergeCell ref="AC6:AD6"/>
    <mergeCell ref="AC5:AD5"/>
    <mergeCell ref="A71:R71"/>
    <mergeCell ref="A72:R72"/>
  </mergeCells>
  <phoneticPr fontId="39" type="noConversion"/>
  <printOptions gridLines="1"/>
  <pageMargins left="0.23622047244094499" right="0.23622047244094499" top="0.74803149606299202" bottom="0.511811023622047" header="0.31496062992126" footer="0"/>
  <pageSetup scale="86" fitToWidth="0" fitToHeight="0" orientation="portrait" r:id="rId1"/>
  <headerFooter scaleWithDoc="0" alignWithMargins="0">
    <oddHeader xml:space="preserve">&amp;LMarch 27, 2024
&amp;A
&amp;CTOWN OF TOPSFIELD FINANCE COMMITTEE
BUDGET WORKSHEETS
&amp;R&amp;"Arial,Bold"&amp;12VERSION  2.0
FY 2025
</oddHeader>
    <oddFooter xml:space="preserve">&amp;R
</oddFooter>
  </headerFooter>
  <rowBreaks count="1" manualBreakCount="1">
    <brk id="68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46"/>
  <sheetViews>
    <sheetView workbookViewId="0">
      <selection activeCell="O56" sqref="O56"/>
    </sheetView>
  </sheetViews>
  <sheetFormatPr defaultColWidth="8.86328125" defaultRowHeight="10.15" x14ac:dyDescent="0.3"/>
  <cols>
    <col min="1" max="1" width="33.1328125" style="7" customWidth="1"/>
    <col min="2" max="2" width="13.1328125" style="7" customWidth="1"/>
    <col min="3" max="3" width="0.6640625" style="7" customWidth="1"/>
    <col min="4" max="4" width="16.1328125" style="7" customWidth="1"/>
    <col min="5" max="5" width="4.46484375" style="7" customWidth="1"/>
    <col min="6" max="6" width="33.1328125" style="7" customWidth="1"/>
    <col min="7" max="7" width="12.33203125" style="7" customWidth="1"/>
    <col min="8" max="8" width="13.46484375" style="7" customWidth="1"/>
    <col min="9" max="16384" width="8.86328125" style="7"/>
  </cols>
  <sheetData>
    <row r="1" spans="1:9" ht="13.15" x14ac:dyDescent="0.4">
      <c r="A1" s="259" t="s">
        <v>453</v>
      </c>
      <c r="B1" s="256"/>
      <c r="C1" s="256"/>
      <c r="D1" s="256"/>
      <c r="E1" s="260"/>
      <c r="F1" s="256"/>
      <c r="G1" s="256"/>
      <c r="H1" s="256"/>
      <c r="I1" s="256"/>
    </row>
    <row r="2" spans="1:9" ht="12.75" x14ac:dyDescent="0.35">
      <c r="A2" s="261" t="s">
        <v>340</v>
      </c>
      <c r="B2" s="256"/>
      <c r="C2" s="256"/>
      <c r="D2" s="256"/>
      <c r="E2" s="260"/>
      <c r="F2" s="261" t="s">
        <v>205</v>
      </c>
      <c r="G2" s="256"/>
      <c r="H2" s="256"/>
      <c r="I2" s="256"/>
    </row>
    <row r="3" spans="1:9" ht="13.15" thickBot="1" x14ac:dyDescent="0.4">
      <c r="A3" s="256"/>
      <c r="B3" s="256"/>
      <c r="C3" s="256"/>
      <c r="D3" s="256"/>
      <c r="E3" s="260"/>
      <c r="F3" s="256"/>
      <c r="G3" s="256"/>
      <c r="H3" s="256"/>
      <c r="I3" s="256"/>
    </row>
    <row r="4" spans="1:9" x14ac:dyDescent="0.3">
      <c r="A4" s="262" t="s">
        <v>436</v>
      </c>
      <c r="B4" s="263" t="s">
        <v>420</v>
      </c>
      <c r="C4" s="263"/>
      <c r="D4" s="264" t="s">
        <v>421</v>
      </c>
      <c r="F4" s="265" t="s">
        <v>445</v>
      </c>
      <c r="G4" s="266"/>
      <c r="H4" s="266"/>
      <c r="I4" s="267"/>
    </row>
    <row r="5" spans="1:9" x14ac:dyDescent="0.3">
      <c r="A5" s="268" t="s">
        <v>495</v>
      </c>
      <c r="B5" s="269" t="s">
        <v>215</v>
      </c>
      <c r="C5" s="269"/>
      <c r="D5" s="270" t="s">
        <v>194</v>
      </c>
      <c r="F5" s="271"/>
      <c r="I5" s="258"/>
    </row>
    <row r="6" spans="1:9" x14ac:dyDescent="0.3">
      <c r="A6" s="272" t="s">
        <v>374</v>
      </c>
      <c r="B6" s="273" t="s">
        <v>375</v>
      </c>
      <c r="C6" s="273"/>
      <c r="D6" s="274" t="s">
        <v>376</v>
      </c>
      <c r="F6" s="271" t="s">
        <v>7</v>
      </c>
      <c r="I6" s="258"/>
    </row>
    <row r="7" spans="1:9" x14ac:dyDescent="0.3">
      <c r="A7" s="275" t="s">
        <v>239</v>
      </c>
      <c r="B7" s="276"/>
      <c r="C7" s="277"/>
      <c r="D7" s="278"/>
      <c r="F7" s="271" t="s">
        <v>240</v>
      </c>
      <c r="G7" s="401">
        <f>67371+156766</f>
        <v>224137</v>
      </c>
      <c r="I7" s="258"/>
    </row>
    <row r="8" spans="1:9" x14ac:dyDescent="0.3">
      <c r="A8" s="275"/>
      <c r="B8" s="276" t="s">
        <v>160</v>
      </c>
      <c r="C8" s="277"/>
      <c r="D8" s="278"/>
      <c r="F8" s="271" t="s">
        <v>242</v>
      </c>
      <c r="G8" s="401">
        <v>232940</v>
      </c>
      <c r="I8" s="258"/>
    </row>
    <row r="9" spans="1:9" x14ac:dyDescent="0.3">
      <c r="A9" s="275" t="s">
        <v>241</v>
      </c>
      <c r="B9" s="279">
        <v>732182</v>
      </c>
      <c r="C9" s="277"/>
      <c r="D9" s="280">
        <f>I13+H25</f>
        <v>827130.3</v>
      </c>
      <c r="F9" s="271" t="s">
        <v>500</v>
      </c>
      <c r="G9" s="401">
        <v>250</v>
      </c>
      <c r="I9" s="258"/>
    </row>
    <row r="10" spans="1:9" x14ac:dyDescent="0.3">
      <c r="A10" s="275" t="s">
        <v>372</v>
      </c>
      <c r="B10" s="279"/>
      <c r="C10" s="277"/>
      <c r="D10" s="280"/>
      <c r="F10" s="271" t="s">
        <v>444</v>
      </c>
      <c r="G10" s="402">
        <v>75000</v>
      </c>
      <c r="I10" s="258"/>
    </row>
    <row r="11" spans="1:9" x14ac:dyDescent="0.3">
      <c r="A11" s="275" t="s">
        <v>628</v>
      </c>
      <c r="B11" s="279"/>
      <c r="C11" s="277"/>
      <c r="D11" s="280"/>
      <c r="F11" s="271" t="s">
        <v>629</v>
      </c>
      <c r="G11" s="401">
        <v>47000</v>
      </c>
      <c r="H11" s="7" t="s">
        <v>462</v>
      </c>
      <c r="I11" s="258"/>
    </row>
    <row r="12" spans="1:9" x14ac:dyDescent="0.3">
      <c r="A12" s="275" t="s">
        <v>634</v>
      </c>
      <c r="B12" s="279"/>
      <c r="C12" s="277"/>
      <c r="D12" s="280"/>
      <c r="F12" s="271" t="s">
        <v>820</v>
      </c>
      <c r="G12" s="401">
        <v>100000</v>
      </c>
      <c r="I12" s="258"/>
    </row>
    <row r="13" spans="1:9" ht="10.5" thickBot="1" x14ac:dyDescent="0.35">
      <c r="A13" s="275" t="s">
        <v>35</v>
      </c>
      <c r="B13" s="281">
        <f>SUM(B9:B12)</f>
        <v>732182</v>
      </c>
      <c r="C13" s="277"/>
      <c r="D13" s="282">
        <f>SUM(D9:D12)</f>
        <v>827130.3</v>
      </c>
      <c r="F13" s="271" t="s">
        <v>36</v>
      </c>
      <c r="G13" s="401">
        <v>68565</v>
      </c>
      <c r="H13" s="14"/>
      <c r="I13" s="403">
        <f>SUM(G7:G13)</f>
        <v>747892</v>
      </c>
    </row>
    <row r="14" spans="1:9" ht="13.15" thickTop="1" x14ac:dyDescent="0.35">
      <c r="A14" s="275"/>
      <c r="B14" s="276"/>
      <c r="C14" s="277"/>
      <c r="D14" s="284"/>
      <c r="F14" s="285" t="s">
        <v>472</v>
      </c>
      <c r="G14" s="12"/>
      <c r="H14" s="256"/>
      <c r="I14" s="258"/>
    </row>
    <row r="15" spans="1:9" x14ac:dyDescent="0.3">
      <c r="A15" s="275" t="s">
        <v>699</v>
      </c>
      <c r="B15" s="279"/>
      <c r="C15" s="277"/>
      <c r="D15" s="280">
        <f>SUM(G14)</f>
        <v>0</v>
      </c>
      <c r="F15" s="271" t="s">
        <v>635</v>
      </c>
      <c r="G15" s="14"/>
      <c r="H15" s="401">
        <f>SUM(G7:G14)</f>
        <v>747892</v>
      </c>
      <c r="I15" s="258"/>
    </row>
    <row r="16" spans="1:9" x14ac:dyDescent="0.3">
      <c r="A16" s="275" t="s">
        <v>766</v>
      </c>
      <c r="B16" s="279"/>
      <c r="C16" s="277"/>
      <c r="D16" s="280"/>
      <c r="F16" s="271" t="s">
        <v>767</v>
      </c>
      <c r="G16" s="14"/>
      <c r="I16" s="258"/>
    </row>
    <row r="17" spans="1:9" x14ac:dyDescent="0.3">
      <c r="A17" s="275" t="s">
        <v>512</v>
      </c>
      <c r="B17" s="279"/>
      <c r="C17" s="277"/>
      <c r="D17" s="280"/>
      <c r="F17" s="271" t="s">
        <v>639</v>
      </c>
      <c r="G17" s="407" t="s">
        <v>184</v>
      </c>
      <c r="I17" s="258"/>
    </row>
    <row r="18" spans="1:9" ht="10.5" thickBot="1" x14ac:dyDescent="0.35">
      <c r="A18" s="275" t="s">
        <v>519</v>
      </c>
      <c r="B18" s="286">
        <f>SUM(B13,B15:B17)</f>
        <v>732182</v>
      </c>
      <c r="C18" s="277"/>
      <c r="D18" s="287">
        <f>SUM(D13,D15)</f>
        <v>827130.3</v>
      </c>
      <c r="I18" s="258"/>
    </row>
    <row r="19" spans="1:9" ht="10.9" thickTop="1" thickBot="1" x14ac:dyDescent="0.35">
      <c r="A19" s="288"/>
      <c r="B19" s="289"/>
      <c r="C19" s="290"/>
      <c r="D19" s="291"/>
      <c r="F19" s="271" t="s">
        <v>641</v>
      </c>
      <c r="G19" s="145">
        <f>25844+2169.3</f>
        <v>28013.3</v>
      </c>
      <c r="I19" s="258"/>
    </row>
    <row r="20" spans="1:9" x14ac:dyDescent="0.3">
      <c r="F20" s="271" t="s">
        <v>645</v>
      </c>
      <c r="G20" s="145">
        <v>23654</v>
      </c>
      <c r="I20" s="258"/>
    </row>
    <row r="21" spans="1:9" x14ac:dyDescent="0.3">
      <c r="A21" s="292" t="s">
        <v>828</v>
      </c>
      <c r="B21" s="292"/>
      <c r="C21" s="292"/>
      <c r="D21" s="292"/>
      <c r="F21" s="271" t="s">
        <v>515</v>
      </c>
      <c r="G21" s="145">
        <v>12157</v>
      </c>
      <c r="I21" s="258"/>
    </row>
    <row r="22" spans="1:9" ht="12.75" x14ac:dyDescent="0.35">
      <c r="A22" s="256"/>
      <c r="F22" s="271" t="s">
        <v>649</v>
      </c>
      <c r="G22" s="145">
        <v>917</v>
      </c>
      <c r="I22" s="258"/>
    </row>
    <row r="23" spans="1:9" x14ac:dyDescent="0.3">
      <c r="A23" s="7" t="s">
        <v>661</v>
      </c>
      <c r="F23" s="271" t="s">
        <v>405</v>
      </c>
      <c r="G23" s="145">
        <v>3538</v>
      </c>
      <c r="I23" s="258"/>
    </row>
    <row r="24" spans="1:9" x14ac:dyDescent="0.3">
      <c r="A24" s="7" t="s">
        <v>338</v>
      </c>
      <c r="F24" s="271" t="s">
        <v>531</v>
      </c>
      <c r="G24" s="145">
        <v>10959</v>
      </c>
      <c r="I24" s="258"/>
    </row>
    <row r="25" spans="1:9" x14ac:dyDescent="0.3">
      <c r="F25" s="271" t="s">
        <v>532</v>
      </c>
      <c r="G25" s="402">
        <f>SUM(G19:G24)</f>
        <v>79238.3</v>
      </c>
      <c r="H25" s="401">
        <f>SUM(G17:G24)</f>
        <v>79238.3</v>
      </c>
      <c r="I25" s="258"/>
    </row>
    <row r="26" spans="1:9" x14ac:dyDescent="0.3">
      <c r="F26" s="271"/>
      <c r="I26" s="403">
        <f>SUM(I13,H25)</f>
        <v>827130.3</v>
      </c>
    </row>
    <row r="27" spans="1:9" ht="10.5" thickBot="1" x14ac:dyDescent="0.35">
      <c r="F27" s="293" t="s">
        <v>540</v>
      </c>
      <c r="H27" s="404">
        <f>(H25+H15)</f>
        <v>827130.3</v>
      </c>
      <c r="I27" s="258"/>
    </row>
    <row r="28" spans="1:9" ht="10.5" thickTop="1" x14ac:dyDescent="0.3">
      <c r="F28" s="295"/>
      <c r="G28" s="11"/>
      <c r="H28" s="11"/>
      <c r="I28" s="296"/>
    </row>
    <row r="29" spans="1:9" x14ac:dyDescent="0.3">
      <c r="F29" s="271" t="s">
        <v>410</v>
      </c>
      <c r="I29" s="258"/>
    </row>
    <row r="30" spans="1:9" x14ac:dyDescent="0.3">
      <c r="F30" s="271"/>
      <c r="I30" s="258"/>
    </row>
    <row r="31" spans="1:9" x14ac:dyDescent="0.3">
      <c r="F31" s="271" t="s">
        <v>404</v>
      </c>
      <c r="G31" s="12">
        <f>SUM(D18)</f>
        <v>827130.3</v>
      </c>
      <c r="H31" s="7" t="s">
        <v>516</v>
      </c>
      <c r="I31" s="258"/>
    </row>
    <row r="32" spans="1:9" x14ac:dyDescent="0.3">
      <c r="F32" s="271" t="s">
        <v>517</v>
      </c>
      <c r="G32" s="401">
        <f>SUM(H27)</f>
        <v>827130.3</v>
      </c>
      <c r="H32" s="7" t="s">
        <v>390</v>
      </c>
      <c r="I32" s="258"/>
    </row>
    <row r="33" spans="6:9" x14ac:dyDescent="0.3">
      <c r="F33" s="271" t="s">
        <v>391</v>
      </c>
      <c r="G33" s="11">
        <v>0</v>
      </c>
      <c r="H33" s="7" t="s">
        <v>643</v>
      </c>
      <c r="I33" s="258"/>
    </row>
    <row r="34" spans="6:9" x14ac:dyDescent="0.3">
      <c r="F34" s="271"/>
      <c r="H34" s="7" t="s">
        <v>644</v>
      </c>
      <c r="I34" s="258"/>
    </row>
    <row r="35" spans="6:9" x14ac:dyDescent="0.3">
      <c r="F35" s="271" t="s">
        <v>271</v>
      </c>
      <c r="G35" s="11"/>
      <c r="I35" s="258"/>
    </row>
    <row r="36" spans="6:9" x14ac:dyDescent="0.3">
      <c r="F36" s="295"/>
      <c r="G36" s="11"/>
      <c r="H36" s="11"/>
      <c r="I36" s="296"/>
    </row>
    <row r="37" spans="6:9" x14ac:dyDescent="0.3">
      <c r="F37" s="271" t="s">
        <v>523</v>
      </c>
      <c r="I37" s="258"/>
    </row>
    <row r="38" spans="6:9" x14ac:dyDescent="0.3">
      <c r="F38" s="271" t="s">
        <v>402</v>
      </c>
      <c r="I38" s="258"/>
    </row>
    <row r="39" spans="6:9" x14ac:dyDescent="0.3">
      <c r="F39" s="271"/>
      <c r="I39" s="258"/>
    </row>
    <row r="40" spans="6:9" x14ac:dyDescent="0.3">
      <c r="F40" s="271" t="s">
        <v>144</v>
      </c>
      <c r="G40" s="401">
        <f>SUM(H27-H25)</f>
        <v>747892</v>
      </c>
      <c r="H40" s="7" t="s">
        <v>45</v>
      </c>
      <c r="I40" s="258"/>
    </row>
    <row r="41" spans="6:9" x14ac:dyDescent="0.3">
      <c r="F41" s="271" t="s">
        <v>143</v>
      </c>
      <c r="G41" s="11"/>
      <c r="I41" s="258"/>
    </row>
    <row r="42" spans="6:9" x14ac:dyDescent="0.3">
      <c r="F42" s="271" t="s">
        <v>180</v>
      </c>
      <c r="G42" s="11"/>
      <c r="I42" s="258"/>
    </row>
    <row r="43" spans="6:9" x14ac:dyDescent="0.3">
      <c r="F43" s="271" t="s">
        <v>181</v>
      </c>
      <c r="G43" s="11"/>
      <c r="I43" s="258"/>
    </row>
    <row r="44" spans="6:9" x14ac:dyDescent="0.3">
      <c r="F44" s="271"/>
      <c r="I44" s="258"/>
    </row>
    <row r="45" spans="6:9" x14ac:dyDescent="0.3">
      <c r="F45" s="271" t="s">
        <v>130</v>
      </c>
      <c r="I45" s="258"/>
    </row>
    <row r="46" spans="6:9" ht="10.5" thickBot="1" x14ac:dyDescent="0.35">
      <c r="F46" s="288" t="s">
        <v>128</v>
      </c>
      <c r="G46" s="405">
        <f>SUM(G40:G43)</f>
        <v>747892</v>
      </c>
      <c r="H46" s="290" t="s">
        <v>161</v>
      </c>
      <c r="I46" s="298"/>
    </row>
  </sheetData>
  <phoneticPr fontId="39" type="noConversion"/>
  <printOptions gridLines="1"/>
  <pageMargins left="0.25" right="0.25" top="0.65" bottom="0" header="0.19" footer="0"/>
  <pageSetup scale="77" orientation="portrait" horizontalDpi="300" verticalDpi="300" r:id="rId1"/>
  <headerFooter alignWithMargins="0">
    <oddHeader>&amp;L2/15/12 9:01 PM_x000D_K. Dow File&amp;CTOWN OF TOPSFIELD FINANCE COMMITTEE_x000D_BUDGET WORKSHEETS TAX RECAP SUMMARY_x000D_&amp;R&amp;P_x000D_&amp;"Arial,Bold"&amp;12VERSION 2.0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46"/>
  <sheetViews>
    <sheetView workbookViewId="0">
      <selection activeCell="O56" sqref="O56"/>
    </sheetView>
  </sheetViews>
  <sheetFormatPr defaultColWidth="8.86328125" defaultRowHeight="10.15" x14ac:dyDescent="0.3"/>
  <cols>
    <col min="1" max="1" width="33.1328125" style="7" customWidth="1"/>
    <col min="2" max="2" width="13.1328125" style="7" customWidth="1"/>
    <col min="3" max="3" width="0.6640625" style="7" customWidth="1"/>
    <col min="4" max="4" width="16.1328125" style="7" customWidth="1"/>
    <col min="5" max="5" width="4.46484375" style="7" customWidth="1"/>
    <col min="6" max="6" width="33.1328125" style="7" customWidth="1"/>
    <col min="7" max="7" width="12.33203125" style="7" customWidth="1"/>
    <col min="8" max="8" width="13.46484375" style="7" customWidth="1"/>
    <col min="9" max="16384" width="8.86328125" style="7"/>
  </cols>
  <sheetData>
    <row r="1" spans="1:9" ht="13.15" x14ac:dyDescent="0.4">
      <c r="A1" s="259" t="s">
        <v>452</v>
      </c>
      <c r="B1" s="256"/>
      <c r="C1" s="256"/>
      <c r="D1" s="256"/>
      <c r="E1" s="260"/>
      <c r="F1" s="256"/>
      <c r="G1" s="256"/>
      <c r="H1" s="256"/>
      <c r="I1" s="256"/>
    </row>
    <row r="2" spans="1:9" ht="12.75" x14ac:dyDescent="0.35">
      <c r="A2" s="261" t="s">
        <v>340</v>
      </c>
      <c r="B2" s="256"/>
      <c r="C2" s="256"/>
      <c r="D2" s="256"/>
      <c r="E2" s="260"/>
      <c r="F2" s="261" t="s">
        <v>205</v>
      </c>
      <c r="G2" s="256"/>
      <c r="H2" s="256"/>
      <c r="I2" s="256"/>
    </row>
    <row r="3" spans="1:9" ht="13.15" thickBot="1" x14ac:dyDescent="0.4">
      <c r="A3" s="256"/>
      <c r="B3" s="256"/>
      <c r="C3" s="256"/>
      <c r="D3" s="256"/>
      <c r="E3" s="260"/>
      <c r="F3" s="256"/>
      <c r="G3" s="256"/>
      <c r="H3" s="256"/>
      <c r="I3" s="256"/>
    </row>
    <row r="4" spans="1:9" x14ac:dyDescent="0.3">
      <c r="A4" s="262" t="s">
        <v>52</v>
      </c>
      <c r="B4" s="263" t="s">
        <v>420</v>
      </c>
      <c r="C4" s="263"/>
      <c r="D4" s="264" t="s">
        <v>421</v>
      </c>
      <c r="F4" s="265" t="s">
        <v>213</v>
      </c>
      <c r="G4" s="266"/>
      <c r="H4" s="266"/>
      <c r="I4" s="267"/>
    </row>
    <row r="5" spans="1:9" x14ac:dyDescent="0.3">
      <c r="A5" s="268" t="s">
        <v>495</v>
      </c>
      <c r="B5" s="269" t="s">
        <v>215</v>
      </c>
      <c r="C5" s="269"/>
      <c r="D5" s="270" t="s">
        <v>260</v>
      </c>
      <c r="F5" s="271"/>
      <c r="I5" s="258"/>
    </row>
    <row r="6" spans="1:9" x14ac:dyDescent="0.3">
      <c r="A6" s="272" t="s">
        <v>297</v>
      </c>
      <c r="B6" s="273" t="s">
        <v>375</v>
      </c>
      <c r="C6" s="273"/>
      <c r="D6" s="274" t="s">
        <v>376</v>
      </c>
      <c r="F6" s="271" t="s">
        <v>7</v>
      </c>
      <c r="I6" s="258"/>
    </row>
    <row r="7" spans="1:9" x14ac:dyDescent="0.3">
      <c r="A7" s="275" t="s">
        <v>239</v>
      </c>
      <c r="B7" s="276"/>
      <c r="C7" s="277"/>
      <c r="D7" s="278"/>
      <c r="F7" s="271" t="s">
        <v>275</v>
      </c>
      <c r="I7" s="258"/>
    </row>
    <row r="8" spans="1:9" x14ac:dyDescent="0.3">
      <c r="A8" s="275"/>
      <c r="B8" s="276" t="s">
        <v>160</v>
      </c>
      <c r="C8" s="277"/>
      <c r="D8" s="278"/>
      <c r="F8" s="271" t="s">
        <v>240</v>
      </c>
      <c r="G8" s="12"/>
      <c r="I8" s="258"/>
    </row>
    <row r="9" spans="1:9" x14ac:dyDescent="0.3">
      <c r="A9" s="275" t="s">
        <v>241</v>
      </c>
      <c r="B9" s="279"/>
      <c r="C9" s="277"/>
      <c r="D9" s="280">
        <f>SUM(H13,H25)</f>
        <v>0</v>
      </c>
      <c r="F9" s="271" t="s">
        <v>242</v>
      </c>
      <c r="G9" s="12"/>
      <c r="I9" s="258"/>
    </row>
    <row r="10" spans="1:9" x14ac:dyDescent="0.3">
      <c r="A10" s="275" t="s">
        <v>372</v>
      </c>
      <c r="B10" s="279"/>
      <c r="C10" s="277"/>
      <c r="D10" s="280"/>
      <c r="F10" s="271" t="s">
        <v>500</v>
      </c>
      <c r="G10" s="12" t="s">
        <v>160</v>
      </c>
      <c r="I10" s="258"/>
    </row>
    <row r="11" spans="1:9" x14ac:dyDescent="0.3">
      <c r="A11" s="275" t="s">
        <v>628</v>
      </c>
      <c r="B11" s="279"/>
      <c r="C11" s="277"/>
      <c r="D11" s="280"/>
      <c r="F11" s="271" t="s">
        <v>629</v>
      </c>
      <c r="G11" s="12" t="s">
        <v>160</v>
      </c>
      <c r="I11" s="258"/>
    </row>
    <row r="12" spans="1:9" x14ac:dyDescent="0.3">
      <c r="A12" s="275" t="s">
        <v>634</v>
      </c>
      <c r="B12" s="279"/>
      <c r="C12" s="277"/>
      <c r="D12" s="280"/>
      <c r="F12" s="271" t="s">
        <v>820</v>
      </c>
      <c r="G12" s="12"/>
      <c r="I12" s="258"/>
    </row>
    <row r="13" spans="1:9" ht="10.5" thickBot="1" x14ac:dyDescent="0.35">
      <c r="A13" s="275" t="s">
        <v>35</v>
      </c>
      <c r="B13" s="281">
        <f>SUM(B9:B12)</f>
        <v>0</v>
      </c>
      <c r="C13" s="277"/>
      <c r="D13" s="282">
        <f>SUM(D9:D12)</f>
        <v>0</v>
      </c>
      <c r="F13" s="271" t="s">
        <v>36</v>
      </c>
      <c r="G13" s="12"/>
      <c r="H13" s="14">
        <f>SUM(G8:G13)</f>
        <v>0</v>
      </c>
      <c r="I13" s="258"/>
    </row>
    <row r="14" spans="1:9" ht="13.15" thickTop="1" x14ac:dyDescent="0.35">
      <c r="A14" s="275"/>
      <c r="B14" s="276"/>
      <c r="C14" s="277"/>
      <c r="D14" s="284"/>
      <c r="F14" s="285" t="s">
        <v>472</v>
      </c>
      <c r="G14" s="12">
        <f>SUM('SCH. B'!G17)</f>
        <v>0</v>
      </c>
      <c r="H14" s="256"/>
      <c r="I14" s="258"/>
    </row>
    <row r="15" spans="1:9" x14ac:dyDescent="0.3">
      <c r="A15" s="275" t="s">
        <v>699</v>
      </c>
      <c r="B15" s="279"/>
      <c r="C15" s="277"/>
      <c r="D15" s="280">
        <f>SUM(H27)</f>
        <v>37500</v>
      </c>
      <c r="F15" s="271" t="s">
        <v>635</v>
      </c>
      <c r="G15" s="14"/>
      <c r="H15" s="12">
        <v>37500</v>
      </c>
      <c r="I15" s="258"/>
    </row>
    <row r="16" spans="1:9" x14ac:dyDescent="0.3">
      <c r="A16" s="275" t="s">
        <v>766</v>
      </c>
      <c r="B16" s="279"/>
      <c r="C16" s="277"/>
      <c r="D16" s="280"/>
      <c r="F16" s="271" t="s">
        <v>767</v>
      </c>
      <c r="G16" s="14"/>
      <c r="H16" s="7" t="s">
        <v>768</v>
      </c>
      <c r="I16" s="258"/>
    </row>
    <row r="17" spans="1:9" x14ac:dyDescent="0.3">
      <c r="A17" s="275" t="s">
        <v>512</v>
      </c>
      <c r="B17" s="279"/>
      <c r="C17" s="277"/>
      <c r="D17" s="280"/>
      <c r="F17" s="271" t="s">
        <v>639</v>
      </c>
      <c r="G17" s="14"/>
      <c r="H17" s="7" t="s">
        <v>638</v>
      </c>
      <c r="I17" s="258"/>
    </row>
    <row r="18" spans="1:9" ht="10.5" thickBot="1" x14ac:dyDescent="0.35">
      <c r="A18" s="275" t="s">
        <v>519</v>
      </c>
      <c r="B18" s="286">
        <f>SUM(B13,B15:B17)</f>
        <v>0</v>
      </c>
      <c r="C18" s="277"/>
      <c r="D18" s="287">
        <f>SUM(D13:D17)</f>
        <v>37500</v>
      </c>
      <c r="F18" s="271" t="s">
        <v>520</v>
      </c>
      <c r="G18" s="14"/>
      <c r="I18" s="258"/>
    </row>
    <row r="19" spans="1:9" ht="10.9" thickTop="1" thickBot="1" x14ac:dyDescent="0.35">
      <c r="A19" s="288"/>
      <c r="B19" s="289"/>
      <c r="C19" s="290"/>
      <c r="D19" s="299"/>
      <c r="F19" s="271" t="s">
        <v>641</v>
      </c>
      <c r="G19" s="12"/>
      <c r="I19" s="258"/>
    </row>
    <row r="20" spans="1:9" x14ac:dyDescent="0.3">
      <c r="F20" s="271" t="s">
        <v>645</v>
      </c>
      <c r="G20" s="12"/>
      <c r="I20" s="258"/>
    </row>
    <row r="21" spans="1:9" x14ac:dyDescent="0.3">
      <c r="A21" s="292" t="s">
        <v>828</v>
      </c>
      <c r="B21" s="292"/>
      <c r="C21" s="292"/>
      <c r="D21" s="292"/>
      <c r="F21" s="271" t="s">
        <v>515</v>
      </c>
      <c r="G21" s="12"/>
      <c r="I21" s="258"/>
    </row>
    <row r="22" spans="1:9" ht="12.75" x14ac:dyDescent="0.35">
      <c r="A22" s="256"/>
      <c r="F22" s="271" t="s">
        <v>649</v>
      </c>
      <c r="G22" s="12"/>
      <c r="I22" s="258"/>
    </row>
    <row r="23" spans="1:9" x14ac:dyDescent="0.3">
      <c r="A23" s="7" t="s">
        <v>661</v>
      </c>
      <c r="F23" s="271" t="s">
        <v>405</v>
      </c>
      <c r="G23" s="12"/>
      <c r="I23" s="258"/>
    </row>
    <row r="24" spans="1:9" x14ac:dyDescent="0.3">
      <c r="A24" s="7" t="s">
        <v>338</v>
      </c>
      <c r="F24" s="271" t="s">
        <v>531</v>
      </c>
      <c r="G24" s="12"/>
      <c r="I24" s="258"/>
    </row>
    <row r="25" spans="1:9" x14ac:dyDescent="0.3">
      <c r="F25" s="271" t="s">
        <v>532</v>
      </c>
      <c r="H25" s="12">
        <f>SUM(G19:G24)</f>
        <v>0</v>
      </c>
      <c r="I25" s="258"/>
    </row>
    <row r="26" spans="1:9" x14ac:dyDescent="0.3">
      <c r="F26" s="271"/>
      <c r="I26" s="283">
        <f>SUM(H13,H25)</f>
        <v>0</v>
      </c>
    </row>
    <row r="27" spans="1:9" ht="10.5" thickBot="1" x14ac:dyDescent="0.35">
      <c r="F27" s="293" t="s">
        <v>540</v>
      </c>
      <c r="H27" s="294">
        <f>SUM(H25 +H15)</f>
        <v>37500</v>
      </c>
      <c r="I27" s="258"/>
    </row>
    <row r="28" spans="1:9" ht="10.5" thickTop="1" x14ac:dyDescent="0.3">
      <c r="F28" s="295"/>
      <c r="G28" s="11"/>
      <c r="H28" s="11"/>
      <c r="I28" s="296"/>
    </row>
    <row r="29" spans="1:9" x14ac:dyDescent="0.3">
      <c r="F29" s="271" t="s">
        <v>410</v>
      </c>
      <c r="I29" s="258"/>
    </row>
    <row r="30" spans="1:9" x14ac:dyDescent="0.3">
      <c r="F30" s="271"/>
      <c r="I30" s="258"/>
    </row>
    <row r="31" spans="1:9" x14ac:dyDescent="0.3">
      <c r="F31" s="271" t="s">
        <v>404</v>
      </c>
      <c r="G31" s="12">
        <f>SUM(D18)</f>
        <v>37500</v>
      </c>
      <c r="H31" s="7" t="s">
        <v>516</v>
      </c>
      <c r="I31" s="258"/>
    </row>
    <row r="32" spans="1:9" x14ac:dyDescent="0.3">
      <c r="F32" s="271" t="s">
        <v>517</v>
      </c>
      <c r="G32" s="12">
        <f>SUM(H27)</f>
        <v>37500</v>
      </c>
      <c r="H32" s="7" t="s">
        <v>390</v>
      </c>
      <c r="I32" s="258"/>
    </row>
    <row r="33" spans="6:9" x14ac:dyDescent="0.3">
      <c r="F33" s="271" t="s">
        <v>391</v>
      </c>
      <c r="G33" s="11">
        <v>0</v>
      </c>
      <c r="H33" s="7" t="s">
        <v>643</v>
      </c>
      <c r="I33" s="258"/>
    </row>
    <row r="34" spans="6:9" x14ac:dyDescent="0.3">
      <c r="F34" s="271"/>
      <c r="H34" s="7" t="s">
        <v>644</v>
      </c>
      <c r="I34" s="258"/>
    </row>
    <row r="35" spans="6:9" x14ac:dyDescent="0.3">
      <c r="F35" s="271" t="s">
        <v>271</v>
      </c>
      <c r="G35" s="11"/>
      <c r="I35" s="258"/>
    </row>
    <row r="36" spans="6:9" x14ac:dyDescent="0.3">
      <c r="F36" s="295"/>
      <c r="G36" s="11"/>
      <c r="H36" s="11"/>
      <c r="I36" s="296"/>
    </row>
    <row r="37" spans="6:9" x14ac:dyDescent="0.3">
      <c r="F37" s="271" t="s">
        <v>523</v>
      </c>
      <c r="I37" s="258"/>
    </row>
    <row r="38" spans="6:9" x14ac:dyDescent="0.3">
      <c r="F38" s="271" t="s">
        <v>402</v>
      </c>
      <c r="I38" s="258"/>
    </row>
    <row r="39" spans="6:9" x14ac:dyDescent="0.3">
      <c r="F39" s="271"/>
      <c r="I39" s="258"/>
    </row>
    <row r="40" spans="6:9" x14ac:dyDescent="0.3">
      <c r="F40" s="271" t="s">
        <v>144</v>
      </c>
      <c r="G40" s="12">
        <f>SUM(H27-H25)</f>
        <v>37500</v>
      </c>
      <c r="H40" s="7" t="s">
        <v>45</v>
      </c>
      <c r="I40" s="258"/>
    </row>
    <row r="41" spans="6:9" x14ac:dyDescent="0.3">
      <c r="F41" s="271" t="s">
        <v>143</v>
      </c>
      <c r="G41" s="11"/>
      <c r="I41" s="258"/>
    </row>
    <row r="42" spans="6:9" x14ac:dyDescent="0.3">
      <c r="F42" s="271" t="s">
        <v>180</v>
      </c>
      <c r="G42" s="11"/>
      <c r="I42" s="258"/>
    </row>
    <row r="43" spans="6:9" x14ac:dyDescent="0.3">
      <c r="F43" s="271" t="s">
        <v>181</v>
      </c>
      <c r="G43" s="11"/>
      <c r="I43" s="258"/>
    </row>
    <row r="44" spans="6:9" x14ac:dyDescent="0.3">
      <c r="F44" s="271"/>
      <c r="I44" s="258"/>
    </row>
    <row r="45" spans="6:9" x14ac:dyDescent="0.3">
      <c r="F45" s="271" t="s">
        <v>130</v>
      </c>
      <c r="I45" s="258"/>
    </row>
    <row r="46" spans="6:9" ht="10.5" thickBot="1" x14ac:dyDescent="0.35">
      <c r="F46" s="288" t="s">
        <v>128</v>
      </c>
      <c r="G46" s="297">
        <f>SUM(G40:G43)</f>
        <v>37500</v>
      </c>
      <c r="H46" s="290" t="s">
        <v>161</v>
      </c>
      <c r="I46" s="298"/>
    </row>
  </sheetData>
  <phoneticPr fontId="39" type="noConversion"/>
  <printOptions gridLines="1"/>
  <pageMargins left="0.25" right="0.25" top="0.65" bottom="0" header="0.19" footer="0"/>
  <pageSetup scale="77" orientation="portrait" horizontalDpi="300" verticalDpi="300" r:id="rId1"/>
  <headerFooter alignWithMargins="0">
    <oddHeader>&amp;L2/15/12 9:01 PM_x000D_K. Dow File&amp;CTOWN OF TOPSFIELD FINANCE COMMITTEE_x000D_BUDGET WORKSHEETS TAX RECAP SUMMARY_x000D_&amp;R&amp;P_x000D_&amp;"Arial,Bold"&amp;12VERSION 2.0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F28"/>
  <sheetViews>
    <sheetView workbookViewId="0">
      <selection activeCell="O56" sqref="O56"/>
    </sheetView>
  </sheetViews>
  <sheetFormatPr defaultColWidth="8.86328125" defaultRowHeight="12.75" x14ac:dyDescent="0.35"/>
  <cols>
    <col min="1" max="1" width="38.6640625" style="256" customWidth="1"/>
    <col min="2" max="2" width="12" style="256" customWidth="1"/>
    <col min="3" max="3" width="11.33203125" style="256" customWidth="1"/>
    <col min="4" max="5" width="8.33203125" style="256" customWidth="1"/>
    <col min="6" max="6" width="8.6640625" style="256" customWidth="1"/>
    <col min="7" max="16384" width="8.86328125" style="256"/>
  </cols>
  <sheetData>
    <row r="1" spans="1:6" x14ac:dyDescent="0.35">
      <c r="A1" s="300" t="s">
        <v>451</v>
      </c>
      <c r="B1" s="263" t="s">
        <v>691</v>
      </c>
      <c r="C1" s="263" t="s">
        <v>692</v>
      </c>
      <c r="D1" s="263" t="s">
        <v>693</v>
      </c>
      <c r="E1" s="263" t="s">
        <v>694</v>
      </c>
      <c r="F1" s="301" t="s">
        <v>695</v>
      </c>
    </row>
    <row r="2" spans="1:6" x14ac:dyDescent="0.35">
      <c r="A2" s="302" t="s">
        <v>165</v>
      </c>
      <c r="B2" s="269" t="s">
        <v>166</v>
      </c>
      <c r="C2" s="269" t="s">
        <v>301</v>
      </c>
      <c r="D2" s="269" t="s">
        <v>302</v>
      </c>
      <c r="E2" s="269" t="s">
        <v>496</v>
      </c>
      <c r="F2" s="303" t="s">
        <v>437</v>
      </c>
    </row>
    <row r="3" spans="1:6" x14ac:dyDescent="0.35">
      <c r="A3" s="304"/>
      <c r="B3" s="269"/>
      <c r="C3" s="269" t="s">
        <v>428</v>
      </c>
      <c r="D3" s="269" t="s">
        <v>429</v>
      </c>
      <c r="E3" s="269" t="s">
        <v>430</v>
      </c>
      <c r="F3" s="303" t="s">
        <v>553</v>
      </c>
    </row>
    <row r="4" spans="1:6" ht="13.15" thickBot="1" x14ac:dyDescent="0.4">
      <c r="A4" s="305"/>
      <c r="B4" s="306"/>
      <c r="C4" s="306" t="s">
        <v>554</v>
      </c>
      <c r="D4" s="306" t="s">
        <v>432</v>
      </c>
      <c r="E4" s="306" t="s">
        <v>429</v>
      </c>
      <c r="F4" s="307" t="s">
        <v>164</v>
      </c>
    </row>
    <row r="5" spans="1:6" x14ac:dyDescent="0.35">
      <c r="A5" s="308" t="s">
        <v>195</v>
      </c>
      <c r="B5" s="309"/>
      <c r="C5" s="309"/>
      <c r="D5" s="309"/>
      <c r="E5" s="309"/>
      <c r="F5" s="310">
        <f>SUM('SCH. B'!H15)</f>
        <v>0</v>
      </c>
    </row>
    <row r="6" spans="1:6" x14ac:dyDescent="0.35">
      <c r="A6" s="308" t="s">
        <v>196</v>
      </c>
      <c r="B6" s="309"/>
      <c r="C6" s="309"/>
      <c r="D6" s="309"/>
      <c r="E6" s="309"/>
      <c r="F6" s="310">
        <f>SUM('SCH. B'!H16)</f>
        <v>0</v>
      </c>
    </row>
    <row r="7" spans="1:6" x14ac:dyDescent="0.35">
      <c r="A7" s="378" t="s">
        <v>470</v>
      </c>
      <c r="B7" s="377"/>
      <c r="C7" s="311"/>
      <c r="D7" s="311"/>
      <c r="E7" s="311"/>
      <c r="F7" s="312">
        <f>SUM('SCH. B'!H14)</f>
        <v>0</v>
      </c>
    </row>
    <row r="8" spans="1:6" x14ac:dyDescent="0.35">
      <c r="A8" s="295" t="s">
        <v>160</v>
      </c>
      <c r="B8" s="311"/>
      <c r="C8" s="311"/>
      <c r="D8" s="311"/>
      <c r="E8" s="311"/>
      <c r="F8" s="312" t="s">
        <v>160</v>
      </c>
    </row>
    <row r="9" spans="1:6" x14ac:dyDescent="0.35">
      <c r="A9" s="295"/>
      <c r="B9" s="311"/>
      <c r="C9" s="311"/>
      <c r="D9" s="311"/>
      <c r="E9" s="311"/>
      <c r="F9" s="312"/>
    </row>
    <row r="10" spans="1:6" x14ac:dyDescent="0.35">
      <c r="A10" s="295"/>
      <c r="B10" s="311"/>
      <c r="C10" s="311"/>
      <c r="D10" s="311"/>
      <c r="E10" s="311"/>
      <c r="F10" s="312"/>
    </row>
    <row r="11" spans="1:6" ht="13.15" thickBot="1" x14ac:dyDescent="0.4">
      <c r="A11" s="288" t="s">
        <v>322</v>
      </c>
      <c r="B11" s="313"/>
      <c r="C11" s="313"/>
      <c r="D11" s="313"/>
      <c r="E11" s="313"/>
      <c r="F11" s="314">
        <f>SUM(F5:F10)</f>
        <v>0</v>
      </c>
    </row>
    <row r="12" spans="1:6" x14ac:dyDescent="0.35">
      <c r="A12" s="7"/>
      <c r="B12" s="7"/>
      <c r="C12" s="7"/>
      <c r="D12" s="7"/>
      <c r="E12" s="7"/>
      <c r="F12" s="7"/>
    </row>
    <row r="13" spans="1:6" x14ac:dyDescent="0.35">
      <c r="A13" s="292" t="s">
        <v>576</v>
      </c>
      <c r="B13" s="292"/>
      <c r="C13" s="7"/>
      <c r="D13" s="7"/>
      <c r="E13" s="7"/>
      <c r="F13" s="7"/>
    </row>
    <row r="14" spans="1:6" x14ac:dyDescent="0.35">
      <c r="A14" s="7"/>
      <c r="B14" s="7"/>
      <c r="C14" s="7"/>
      <c r="D14" s="7"/>
      <c r="E14" s="7"/>
      <c r="F14" s="7"/>
    </row>
    <row r="15" spans="1:6" x14ac:dyDescent="0.35">
      <c r="A15" s="7" t="s">
        <v>566</v>
      </c>
      <c r="B15" s="7"/>
      <c r="C15" s="7"/>
      <c r="D15" s="7"/>
      <c r="E15" s="7"/>
      <c r="F15" s="7"/>
    </row>
    <row r="17" spans="1:6" ht="13.15" thickBot="1" x14ac:dyDescent="0.4"/>
    <row r="18" spans="1:6" x14ac:dyDescent="0.35">
      <c r="A18" s="300" t="s">
        <v>87</v>
      </c>
      <c r="B18" s="263" t="s">
        <v>691</v>
      </c>
      <c r="C18" s="263" t="s">
        <v>692</v>
      </c>
      <c r="D18" s="263" t="s">
        <v>693</v>
      </c>
      <c r="E18" s="263" t="s">
        <v>694</v>
      </c>
      <c r="F18" s="301" t="s">
        <v>695</v>
      </c>
    </row>
    <row r="19" spans="1:6" x14ac:dyDescent="0.35">
      <c r="A19" s="302" t="s">
        <v>165</v>
      </c>
      <c r="B19" s="269" t="s">
        <v>166</v>
      </c>
      <c r="C19" s="269" t="s">
        <v>301</v>
      </c>
      <c r="D19" s="269" t="s">
        <v>302</v>
      </c>
      <c r="E19" s="269" t="s">
        <v>496</v>
      </c>
      <c r="F19" s="303" t="s">
        <v>437</v>
      </c>
    </row>
    <row r="20" spans="1:6" x14ac:dyDescent="0.35">
      <c r="A20" s="304"/>
      <c r="B20" s="269"/>
      <c r="C20" s="269" t="s">
        <v>428</v>
      </c>
      <c r="D20" s="269" t="s">
        <v>429</v>
      </c>
      <c r="E20" s="269" t="s">
        <v>430</v>
      </c>
      <c r="F20" s="303" t="s">
        <v>553</v>
      </c>
    </row>
    <row r="21" spans="1:6" ht="13.15" thickBot="1" x14ac:dyDescent="0.4">
      <c r="A21" s="305"/>
      <c r="B21" s="306"/>
      <c r="C21" s="306" t="s">
        <v>554</v>
      </c>
      <c r="D21" s="306" t="s">
        <v>432</v>
      </c>
      <c r="E21" s="306" t="s">
        <v>429</v>
      </c>
      <c r="F21" s="307" t="s">
        <v>164</v>
      </c>
    </row>
    <row r="22" spans="1:6" x14ac:dyDescent="0.35">
      <c r="A22" s="308" t="s">
        <v>195</v>
      </c>
      <c r="B22" s="309"/>
      <c r="C22" s="309"/>
      <c r="D22" s="309"/>
      <c r="E22" s="309"/>
      <c r="F22" s="310">
        <f>SUM('SCH. B'!H32)</f>
        <v>0</v>
      </c>
    </row>
    <row r="23" spans="1:6" x14ac:dyDescent="0.35">
      <c r="A23" s="308" t="s">
        <v>196</v>
      </c>
      <c r="B23" s="309"/>
      <c r="C23" s="309"/>
      <c r="D23" s="309"/>
      <c r="E23" s="309"/>
      <c r="F23" s="310">
        <f>SUM('SCH. B'!H33)</f>
        <v>0</v>
      </c>
    </row>
    <row r="24" spans="1:6" x14ac:dyDescent="0.35">
      <c r="A24" s="378" t="s">
        <v>470</v>
      </c>
      <c r="B24" s="377"/>
      <c r="C24" s="311"/>
      <c r="D24" s="311"/>
      <c r="E24" s="311"/>
      <c r="F24" s="312">
        <f>SUM('SCH. B'!H31)</f>
        <v>0</v>
      </c>
    </row>
    <row r="25" spans="1:6" x14ac:dyDescent="0.35">
      <c r="A25" s="295" t="s">
        <v>160</v>
      </c>
      <c r="B25" s="311"/>
      <c r="C25" s="311"/>
      <c r="D25" s="311"/>
      <c r="E25" s="311"/>
      <c r="F25" s="312" t="s">
        <v>160</v>
      </c>
    </row>
    <row r="26" spans="1:6" x14ac:dyDescent="0.35">
      <c r="A26" s="295"/>
      <c r="B26" s="311"/>
      <c r="C26" s="311"/>
      <c r="D26" s="311"/>
      <c r="E26" s="311"/>
      <c r="F26" s="312"/>
    </row>
    <row r="27" spans="1:6" x14ac:dyDescent="0.35">
      <c r="A27" s="295"/>
      <c r="B27" s="311"/>
      <c r="C27" s="311"/>
      <c r="D27" s="311"/>
      <c r="E27" s="311"/>
      <c r="F27" s="312"/>
    </row>
    <row r="28" spans="1:6" ht="13.15" thickBot="1" x14ac:dyDescent="0.4">
      <c r="A28" s="288" t="s">
        <v>322</v>
      </c>
      <c r="B28" s="313"/>
      <c r="C28" s="313"/>
      <c r="D28" s="313"/>
      <c r="E28" s="313"/>
      <c r="F28" s="314">
        <f>SUM(F22:F27)</f>
        <v>0</v>
      </c>
    </row>
  </sheetData>
  <phoneticPr fontId="39" type="noConversion"/>
  <printOptions gridLines="1"/>
  <pageMargins left="0.25" right="0.25" top="0.65" bottom="0" header="0.19" footer="0"/>
  <pageSetup orientation="portrait" horizontalDpi="300" verticalDpi="300" r:id="rId1"/>
  <headerFooter alignWithMargins="0">
    <oddHeader>&amp;L2/15/12 9:01 PM_x000D_K. Dow File&amp;CTOWN OF TOPSFIELD FINANCE COMMITTEE_x000D_BUDGET WORKSHEETS TAX RECAP SUMMARY_x000D_&amp;R&amp;P_x000D_&amp;"Arial,Bold"&amp;12VERSION 2.0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G39"/>
  <sheetViews>
    <sheetView workbookViewId="0">
      <selection activeCell="O56" sqref="O56"/>
    </sheetView>
  </sheetViews>
  <sheetFormatPr defaultColWidth="8.86328125" defaultRowHeight="10.15" x14ac:dyDescent="0.3"/>
  <cols>
    <col min="1" max="3" width="8.86328125" style="7"/>
    <col min="4" max="4" width="10.86328125" style="7" customWidth="1"/>
    <col min="5" max="5" width="12.33203125" style="7" customWidth="1"/>
    <col min="6" max="6" width="1.6640625" style="7" customWidth="1"/>
    <col min="7" max="7" width="40.1328125" style="7" customWidth="1"/>
    <col min="8" max="16384" width="8.86328125" style="7"/>
  </cols>
  <sheetData>
    <row r="1" spans="1:7" s="319" customFormat="1" x14ac:dyDescent="0.3">
      <c r="A1" s="300" t="s">
        <v>583</v>
      </c>
      <c r="B1" s="315"/>
      <c r="C1" s="315"/>
      <c r="D1" s="316"/>
      <c r="E1" s="317"/>
      <c r="F1" s="317"/>
      <c r="G1" s="318"/>
    </row>
    <row r="2" spans="1:7" s="319" customFormat="1" x14ac:dyDescent="0.3">
      <c r="A2" s="302" t="s">
        <v>704</v>
      </c>
      <c r="B2" s="320"/>
      <c r="C2" s="320"/>
      <c r="D2" s="321"/>
      <c r="E2" s="322"/>
      <c r="F2" s="322"/>
      <c r="G2" s="323"/>
    </row>
    <row r="3" spans="1:7" s="319" customFormat="1" ht="10.5" thickBot="1" x14ac:dyDescent="0.35">
      <c r="A3" s="324" t="s">
        <v>446</v>
      </c>
      <c r="B3" s="325"/>
      <c r="C3" s="325"/>
      <c r="D3" s="326"/>
      <c r="E3" s="327" t="s">
        <v>710</v>
      </c>
      <c r="F3" s="328"/>
      <c r="G3" s="329" t="s">
        <v>350</v>
      </c>
    </row>
    <row r="4" spans="1:7" x14ac:dyDescent="0.3">
      <c r="A4" s="271"/>
      <c r="D4" s="330"/>
      <c r="E4" s="330"/>
      <c r="F4" s="330"/>
      <c r="G4" s="258"/>
    </row>
    <row r="5" spans="1:7" x14ac:dyDescent="0.3">
      <c r="A5" s="331" t="s">
        <v>711</v>
      </c>
      <c r="D5" s="330"/>
      <c r="E5" s="332"/>
      <c r="F5" s="330"/>
      <c r="G5" s="258"/>
    </row>
    <row r="6" spans="1:7" x14ac:dyDescent="0.3">
      <c r="A6" s="271" t="s">
        <v>450</v>
      </c>
      <c r="D6" s="330"/>
      <c r="E6" s="333"/>
      <c r="F6" s="330"/>
      <c r="G6" s="258"/>
    </row>
    <row r="7" spans="1:7" x14ac:dyDescent="0.3">
      <c r="A7" s="271" t="s">
        <v>712</v>
      </c>
      <c r="D7" s="330"/>
      <c r="E7" s="332"/>
      <c r="F7" s="330"/>
      <c r="G7" s="258"/>
    </row>
    <row r="8" spans="1:7" x14ac:dyDescent="0.3">
      <c r="A8" s="271" t="s">
        <v>574</v>
      </c>
      <c r="D8" s="330"/>
      <c r="E8" s="333"/>
      <c r="F8" s="330"/>
      <c r="G8" s="258"/>
    </row>
    <row r="9" spans="1:7" x14ac:dyDescent="0.3">
      <c r="A9" s="271"/>
      <c r="D9" s="330"/>
      <c r="E9" s="332"/>
      <c r="F9" s="330"/>
      <c r="G9" s="258"/>
    </row>
    <row r="10" spans="1:7" x14ac:dyDescent="0.3">
      <c r="A10" s="331" t="s">
        <v>575</v>
      </c>
      <c r="D10" s="330"/>
      <c r="E10" s="333">
        <f>SUM(E6:E8)</f>
        <v>0</v>
      </c>
      <c r="F10" s="330"/>
      <c r="G10" s="258"/>
    </row>
    <row r="11" spans="1:7" x14ac:dyDescent="0.3">
      <c r="A11" s="271"/>
      <c r="D11" s="330"/>
      <c r="E11" s="332"/>
      <c r="F11" s="330"/>
      <c r="G11" s="258"/>
    </row>
    <row r="12" spans="1:7" x14ac:dyDescent="0.3">
      <c r="A12" s="271" t="s">
        <v>728</v>
      </c>
      <c r="D12" s="330"/>
      <c r="E12" s="332"/>
      <c r="F12" s="330"/>
      <c r="G12" s="258"/>
    </row>
    <row r="13" spans="1:7" x14ac:dyDescent="0.3">
      <c r="A13" s="271" t="s">
        <v>713</v>
      </c>
      <c r="D13" s="330"/>
      <c r="E13" s="332"/>
      <c r="F13" s="330"/>
      <c r="G13" s="258"/>
    </row>
    <row r="14" spans="1:7" x14ac:dyDescent="0.3">
      <c r="A14" s="271"/>
      <c r="D14" s="330"/>
      <c r="E14" s="332"/>
      <c r="F14" s="330"/>
      <c r="G14" s="258"/>
    </row>
    <row r="15" spans="1:7" x14ac:dyDescent="0.3">
      <c r="A15" s="271" t="s">
        <v>331</v>
      </c>
      <c r="D15" s="330"/>
      <c r="E15" s="333">
        <v>0</v>
      </c>
      <c r="F15" s="330"/>
      <c r="G15" s="258" t="s">
        <v>330</v>
      </c>
    </row>
    <row r="16" spans="1:7" x14ac:dyDescent="0.3">
      <c r="A16" s="271" t="s">
        <v>398</v>
      </c>
      <c r="C16" s="7" t="s">
        <v>160</v>
      </c>
      <c r="D16" s="330"/>
      <c r="E16" s="332"/>
      <c r="F16" s="330"/>
      <c r="G16" s="258"/>
    </row>
    <row r="17" spans="1:7" x14ac:dyDescent="0.3">
      <c r="A17" s="271" t="s">
        <v>448</v>
      </c>
      <c r="D17" s="330"/>
      <c r="E17" s="333" t="e">
        <f>'RECAP SUMMARY'!#REF!</f>
        <v>#REF!</v>
      </c>
      <c r="F17" s="330"/>
      <c r="G17" s="258" t="s">
        <v>570</v>
      </c>
    </row>
    <row r="18" spans="1:7" x14ac:dyDescent="0.3">
      <c r="A18" s="271" t="s">
        <v>571</v>
      </c>
      <c r="D18" s="330"/>
      <c r="E18" s="333" t="e">
        <f>'RECAP SUMMARY'!#REF!</f>
        <v>#REF!</v>
      </c>
      <c r="F18" s="330"/>
      <c r="G18" s="258" t="s">
        <v>731</v>
      </c>
    </row>
    <row r="19" spans="1:7" x14ac:dyDescent="0.3">
      <c r="A19" s="271"/>
      <c r="D19" s="330"/>
      <c r="E19" s="332"/>
      <c r="F19" s="330"/>
      <c r="G19" s="258"/>
    </row>
    <row r="20" spans="1:7" x14ac:dyDescent="0.3">
      <c r="A20" s="331" t="s">
        <v>584</v>
      </c>
      <c r="D20" s="330"/>
      <c r="E20" s="333" t="e">
        <f>SUM(E10-E15-E17-E18)</f>
        <v>#REF!</v>
      </c>
      <c r="F20" s="330"/>
      <c r="G20" s="258" t="s">
        <v>585</v>
      </c>
    </row>
    <row r="21" spans="1:7" x14ac:dyDescent="0.3">
      <c r="A21" s="271"/>
      <c r="D21" s="330"/>
      <c r="E21" s="332"/>
      <c r="F21" s="330"/>
      <c r="G21" s="258"/>
    </row>
    <row r="22" spans="1:7" x14ac:dyDescent="0.3">
      <c r="A22" s="331" t="s">
        <v>586</v>
      </c>
      <c r="D22" s="330"/>
      <c r="E22" s="332"/>
      <c r="F22" s="330"/>
      <c r="G22" s="258"/>
    </row>
    <row r="23" spans="1:7" x14ac:dyDescent="0.3">
      <c r="A23" s="271"/>
      <c r="D23" s="330"/>
      <c r="E23" s="332"/>
      <c r="F23" s="330"/>
      <c r="G23" s="258"/>
    </row>
    <row r="24" spans="1:7" x14ac:dyDescent="0.3">
      <c r="A24" s="271" t="s">
        <v>80</v>
      </c>
      <c r="D24" s="330"/>
      <c r="E24" s="333">
        <v>0</v>
      </c>
      <c r="F24" s="330"/>
      <c r="G24" s="258"/>
    </row>
    <row r="25" spans="1:7" x14ac:dyDescent="0.3">
      <c r="A25" s="271" t="s">
        <v>712</v>
      </c>
      <c r="D25" s="330"/>
      <c r="E25" s="332"/>
      <c r="F25" s="330"/>
      <c r="G25" s="258"/>
    </row>
    <row r="26" spans="1:7" x14ac:dyDescent="0.3">
      <c r="A26" s="271" t="s">
        <v>574</v>
      </c>
      <c r="D26" s="330"/>
      <c r="E26" s="333">
        <v>0</v>
      </c>
      <c r="F26" s="330"/>
      <c r="G26" s="258"/>
    </row>
    <row r="27" spans="1:7" x14ac:dyDescent="0.3">
      <c r="A27" s="271"/>
      <c r="D27" s="330"/>
      <c r="E27" s="332"/>
      <c r="F27" s="330"/>
      <c r="G27" s="258"/>
    </row>
    <row r="28" spans="1:7" x14ac:dyDescent="0.3">
      <c r="A28" s="331" t="s">
        <v>320</v>
      </c>
      <c r="D28" s="330"/>
      <c r="E28" s="333">
        <f>SUM(E24+E26)</f>
        <v>0</v>
      </c>
      <c r="F28" s="330"/>
      <c r="G28" s="258"/>
    </row>
    <row r="29" spans="1:7" x14ac:dyDescent="0.3">
      <c r="A29" s="271"/>
      <c r="D29" s="330"/>
      <c r="E29" s="332"/>
      <c r="F29" s="330"/>
      <c r="G29" s="258"/>
    </row>
    <row r="30" spans="1:7" x14ac:dyDescent="0.3">
      <c r="A30" s="271" t="s">
        <v>459</v>
      </c>
      <c r="D30" s="330"/>
      <c r="E30" s="332"/>
      <c r="F30" s="330"/>
      <c r="G30" s="258"/>
    </row>
    <row r="31" spans="1:7" x14ac:dyDescent="0.3">
      <c r="A31" s="271" t="s">
        <v>597</v>
      </c>
      <c r="D31" s="330"/>
      <c r="E31" s="332"/>
      <c r="F31" s="330"/>
      <c r="G31" s="258"/>
    </row>
    <row r="32" spans="1:7" x14ac:dyDescent="0.3">
      <c r="A32" s="271"/>
      <c r="D32" s="330"/>
      <c r="E32" s="332"/>
      <c r="F32" s="330"/>
      <c r="G32" s="258"/>
    </row>
    <row r="33" spans="1:7" x14ac:dyDescent="0.3">
      <c r="A33" s="271" t="s">
        <v>342</v>
      </c>
      <c r="D33" s="330"/>
      <c r="E33" s="333" t="s">
        <v>157</v>
      </c>
      <c r="F33" s="330"/>
      <c r="G33" s="258"/>
    </row>
    <row r="34" spans="1:7" x14ac:dyDescent="0.3">
      <c r="A34" s="271"/>
      <c r="D34" s="330"/>
      <c r="E34" s="333"/>
      <c r="F34" s="330"/>
      <c r="G34" s="258"/>
    </row>
    <row r="35" spans="1:7" x14ac:dyDescent="0.3">
      <c r="A35" s="331" t="s">
        <v>584</v>
      </c>
      <c r="D35" s="330"/>
      <c r="E35" s="333" t="s">
        <v>157</v>
      </c>
      <c r="F35" s="330"/>
      <c r="G35" s="258"/>
    </row>
    <row r="36" spans="1:7" ht="10.5" thickBot="1" x14ac:dyDescent="0.35">
      <c r="A36" s="288"/>
      <c r="B36" s="290"/>
      <c r="C36" s="290"/>
      <c r="D36" s="290"/>
      <c r="E36" s="334"/>
      <c r="F36" s="290"/>
      <c r="G36" s="298"/>
    </row>
    <row r="37" spans="1:7" x14ac:dyDescent="0.3">
      <c r="E37" s="21"/>
    </row>
    <row r="38" spans="1:7" x14ac:dyDescent="0.3">
      <c r="E38" s="21"/>
    </row>
    <row r="39" spans="1:7" x14ac:dyDescent="0.3">
      <c r="E39" s="21"/>
    </row>
  </sheetData>
  <phoneticPr fontId="39" type="noConversion"/>
  <printOptions gridLines="1"/>
  <pageMargins left="0.25" right="0.25" top="0.65" bottom="0" header="0.19" footer="0"/>
  <pageSetup orientation="portrait" horizontalDpi="300" verticalDpi="300" r:id="rId1"/>
  <headerFooter alignWithMargins="0">
    <oddHeader>&amp;L2/15/12 9:01 PM_x000D_K. Dow File&amp;CTOWN OF TOPSFIELD FINANCE COMMITTEE_x000D_BUDGET WORKSHEETS TAX RECAP SUMMARY_x000D_&amp;R&amp;P_x000D_&amp;"Arial,Bold"&amp;12VERSION 2.0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F26"/>
  <sheetViews>
    <sheetView workbookViewId="0">
      <selection activeCell="O56" sqref="O56"/>
    </sheetView>
  </sheetViews>
  <sheetFormatPr defaultRowHeight="12.75" x14ac:dyDescent="0.35"/>
  <cols>
    <col min="1" max="1" width="45.6640625" style="7" customWidth="1"/>
    <col min="2" max="2" width="12.46484375" style="1540" customWidth="1"/>
    <col min="3" max="3" width="3.1328125" customWidth="1"/>
    <col min="4" max="4" width="45.6640625" customWidth="1"/>
    <col min="5" max="5" width="10.6640625" style="1557" bestFit="1" customWidth="1"/>
    <col min="6" max="6" width="8.6640625" customWidth="1"/>
  </cols>
  <sheetData>
    <row r="1" spans="1:6" x14ac:dyDescent="0.35">
      <c r="A1" s="7" t="s">
        <v>995</v>
      </c>
      <c r="D1" s="256" t="s">
        <v>1025</v>
      </c>
    </row>
    <row r="2" spans="1:6" x14ac:dyDescent="0.35">
      <c r="D2" s="7"/>
      <c r="E2" s="1540"/>
    </row>
    <row r="3" spans="1:6" x14ac:dyDescent="0.35">
      <c r="A3" s="7" t="s">
        <v>975</v>
      </c>
      <c r="B3" s="1540">
        <v>0</v>
      </c>
      <c r="D3" s="7" t="s">
        <v>975</v>
      </c>
      <c r="E3" s="1540">
        <v>119250</v>
      </c>
    </row>
    <row r="4" spans="1:6" x14ac:dyDescent="0.35">
      <c r="A4" s="7" t="s">
        <v>1017</v>
      </c>
      <c r="B4" s="1540">
        <v>311899.45</v>
      </c>
      <c r="D4" s="7" t="s">
        <v>1017</v>
      </c>
      <c r="E4" s="1540">
        <v>302815</v>
      </c>
    </row>
    <row r="5" spans="1:6" x14ac:dyDescent="0.35">
      <c r="A5" s="7" t="s">
        <v>987</v>
      </c>
      <c r="B5" s="1540">
        <v>0</v>
      </c>
      <c r="D5" s="7" t="s">
        <v>987</v>
      </c>
      <c r="E5" s="1540">
        <v>0</v>
      </c>
    </row>
    <row r="6" spans="1:6" x14ac:dyDescent="0.35">
      <c r="A6" s="7" t="s">
        <v>873</v>
      </c>
      <c r="B6" s="1540">
        <v>0</v>
      </c>
      <c r="D6" s="7" t="s">
        <v>873</v>
      </c>
      <c r="E6" s="1540">
        <v>0</v>
      </c>
    </row>
    <row r="7" spans="1:6" x14ac:dyDescent="0.35">
      <c r="A7" s="7" t="s">
        <v>588</v>
      </c>
      <c r="B7" s="1540">
        <v>1250</v>
      </c>
      <c r="D7" s="7" t="s">
        <v>588</v>
      </c>
      <c r="E7" s="1540">
        <v>1250</v>
      </c>
    </row>
    <row r="8" spans="1:6" x14ac:dyDescent="0.35">
      <c r="A8" s="7" t="s">
        <v>1018</v>
      </c>
      <c r="B8" s="1540">
        <v>20500</v>
      </c>
      <c r="D8" s="7" t="s">
        <v>1018</v>
      </c>
      <c r="E8" s="1540">
        <v>20500</v>
      </c>
    </row>
    <row r="9" spans="1:6" x14ac:dyDescent="0.35">
      <c r="A9" s="7" t="s">
        <v>1019</v>
      </c>
      <c r="B9" s="1540">
        <v>1500</v>
      </c>
      <c r="D9" s="7" t="s">
        <v>1019</v>
      </c>
      <c r="E9" s="1540">
        <v>1500</v>
      </c>
    </row>
    <row r="10" spans="1:6" x14ac:dyDescent="0.35">
      <c r="A10" s="7" t="s">
        <v>1016</v>
      </c>
      <c r="B10" s="1540">
        <v>300000</v>
      </c>
      <c r="D10" s="7" t="s">
        <v>1020</v>
      </c>
      <c r="E10" s="1559">
        <v>37000</v>
      </c>
      <c r="F10" s="1561">
        <f>SUM(E10:E20)-E12-E13-E14</f>
        <v>615000</v>
      </c>
    </row>
    <row r="11" spans="1:6" x14ac:dyDescent="0.35">
      <c r="A11" s="1558" t="s">
        <v>977</v>
      </c>
      <c r="B11" s="1540">
        <v>0</v>
      </c>
      <c r="D11" s="7" t="s">
        <v>977</v>
      </c>
      <c r="E11" s="1559">
        <v>62000</v>
      </c>
    </row>
    <row r="12" spans="1:6" x14ac:dyDescent="0.35">
      <c r="A12" s="1558" t="s">
        <v>978</v>
      </c>
      <c r="B12" s="1540">
        <v>0</v>
      </c>
      <c r="D12" s="7" t="s">
        <v>978</v>
      </c>
      <c r="E12" s="1560">
        <v>100000</v>
      </c>
    </row>
    <row r="13" spans="1:6" x14ac:dyDescent="0.35">
      <c r="A13" s="1558" t="s">
        <v>979</v>
      </c>
      <c r="B13" s="1540">
        <v>0</v>
      </c>
      <c r="D13" s="7" t="s">
        <v>979</v>
      </c>
      <c r="E13" s="1560">
        <v>25000</v>
      </c>
    </row>
    <row r="14" spans="1:6" x14ac:dyDescent="0.35">
      <c r="A14" s="1558" t="s">
        <v>980</v>
      </c>
      <c r="B14" s="1540">
        <v>0</v>
      </c>
      <c r="D14" s="7" t="s">
        <v>980</v>
      </c>
      <c r="E14" s="1560">
        <v>100000</v>
      </c>
    </row>
    <row r="15" spans="1:6" x14ac:dyDescent="0.35">
      <c r="A15" s="1558" t="s">
        <v>981</v>
      </c>
      <c r="B15" s="1540">
        <v>0</v>
      </c>
      <c r="D15" s="7" t="s">
        <v>981</v>
      </c>
      <c r="E15" s="1559">
        <v>165000</v>
      </c>
    </row>
    <row r="16" spans="1:6" x14ac:dyDescent="0.35">
      <c r="A16" s="1558" t="s">
        <v>982</v>
      </c>
      <c r="B16" s="1540">
        <v>0</v>
      </c>
      <c r="D16" s="7" t="s">
        <v>982</v>
      </c>
      <c r="E16" s="1559">
        <v>26000</v>
      </c>
    </row>
    <row r="17" spans="1:5" x14ac:dyDescent="0.35">
      <c r="A17" s="1558" t="s">
        <v>983</v>
      </c>
      <c r="B17" s="1540">
        <v>0</v>
      </c>
      <c r="D17" s="7" t="s">
        <v>983</v>
      </c>
      <c r="E17" s="1559">
        <v>30000</v>
      </c>
    </row>
    <row r="18" spans="1:5" x14ac:dyDescent="0.35">
      <c r="B18" s="1540">
        <v>0</v>
      </c>
      <c r="D18" s="7" t="s">
        <v>1021</v>
      </c>
      <c r="E18" s="1559">
        <v>210000</v>
      </c>
    </row>
    <row r="19" spans="1:5" x14ac:dyDescent="0.35">
      <c r="B19" s="1540">
        <v>0</v>
      </c>
      <c r="D19" s="7" t="s">
        <v>1022</v>
      </c>
      <c r="E19" s="1559">
        <v>85000</v>
      </c>
    </row>
    <row r="20" spans="1:5" x14ac:dyDescent="0.35">
      <c r="B20" s="1540">
        <v>0</v>
      </c>
      <c r="D20" s="7" t="s">
        <v>1023</v>
      </c>
      <c r="E20" s="1540">
        <v>0</v>
      </c>
    </row>
    <row r="21" spans="1:5" x14ac:dyDescent="0.35">
      <c r="A21" s="7" t="str">
        <f>D21</f>
        <v>General Stabilization</v>
      </c>
      <c r="B21" s="1540">
        <v>25000</v>
      </c>
      <c r="D21" s="7" t="s">
        <v>1024</v>
      </c>
      <c r="E21" s="1540">
        <v>25000</v>
      </c>
    </row>
    <row r="22" spans="1:5" x14ac:dyDescent="0.35">
      <c r="A22" s="7" t="s">
        <v>935</v>
      </c>
      <c r="B22" s="1540">
        <v>100000</v>
      </c>
      <c r="D22" s="7" t="s">
        <v>935</v>
      </c>
      <c r="E22" s="1540">
        <v>100000</v>
      </c>
    </row>
    <row r="23" spans="1:5" x14ac:dyDescent="0.35">
      <c r="A23" s="7" t="s">
        <v>986</v>
      </c>
      <c r="B23" s="1540">
        <v>320000</v>
      </c>
      <c r="D23" s="7" t="s">
        <v>986</v>
      </c>
      <c r="E23" s="1540">
        <v>300000</v>
      </c>
    </row>
    <row r="24" spans="1:5" x14ac:dyDescent="0.35">
      <c r="A24" s="7" t="s">
        <v>985</v>
      </c>
      <c r="B24" s="1540">
        <v>0</v>
      </c>
      <c r="D24" s="7" t="s">
        <v>985</v>
      </c>
      <c r="E24" s="1540">
        <v>0</v>
      </c>
    </row>
    <row r="26" spans="1:5" x14ac:dyDescent="0.35">
      <c r="A26" s="7" t="s">
        <v>1026</v>
      </c>
      <c r="B26" s="1562">
        <v>0.03</v>
      </c>
    </row>
  </sheetData>
  <pageMargins left="0.7" right="0.7" top="0.75" bottom="0.75" header="0.3" footer="0.3"/>
  <pageSetup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Y52"/>
  <sheetViews>
    <sheetView workbookViewId="0">
      <selection activeCell="AT10" sqref="AT10"/>
    </sheetView>
  </sheetViews>
  <sheetFormatPr defaultColWidth="5.6640625" defaultRowHeight="10.15" x14ac:dyDescent="0.3"/>
  <cols>
    <col min="1" max="1" width="0.6640625" style="7" customWidth="1"/>
    <col min="2" max="2" width="2" style="7" customWidth="1"/>
    <col min="3" max="5" width="5.6640625" style="7" customWidth="1"/>
    <col min="6" max="6" width="12.46484375" style="7" customWidth="1"/>
    <col min="7" max="7" width="17.6640625" style="7" customWidth="1"/>
    <col min="8" max="8" width="1.6640625" style="7" customWidth="1"/>
    <col min="9" max="9" width="5.6640625" style="7" customWidth="1"/>
    <col min="10" max="10" width="9.86328125" style="7" hidden="1" customWidth="1"/>
    <col min="11" max="11" width="1.46484375" style="7" hidden="1" customWidth="1"/>
    <col min="12" max="12" width="10.6640625" style="7" hidden="1" customWidth="1"/>
    <col min="13" max="13" width="1.46484375" style="7" hidden="1" customWidth="1"/>
    <col min="14" max="14" width="10.6640625" style="7" hidden="1" customWidth="1"/>
    <col min="15" max="15" width="1.46484375" style="7" hidden="1" customWidth="1"/>
    <col min="16" max="16" width="10.6640625" style="7" hidden="1" customWidth="1"/>
    <col min="17" max="17" width="1.6640625" style="7" hidden="1" customWidth="1"/>
    <col min="18" max="18" width="10.6640625" style="7" hidden="1" customWidth="1"/>
    <col min="19" max="19" width="2.33203125" style="7" hidden="1" customWidth="1"/>
    <col min="20" max="20" width="9.6640625" style="7" hidden="1" customWidth="1"/>
    <col min="21" max="21" width="2.33203125" style="7" hidden="1" customWidth="1"/>
    <col min="22" max="22" width="9.6640625" style="7" hidden="1" customWidth="1"/>
    <col min="23" max="23" width="2.33203125" style="7" hidden="1" customWidth="1"/>
    <col min="24" max="24" width="11.1328125" style="7" hidden="1" customWidth="1"/>
    <col min="25" max="25" width="2.33203125" style="7" hidden="1" customWidth="1"/>
    <col min="26" max="26" width="11.1328125" style="7" hidden="1" customWidth="1"/>
    <col min="27" max="27" width="2.33203125" style="7" hidden="1" customWidth="1"/>
    <col min="28" max="28" width="11.1328125" style="7" hidden="1" customWidth="1"/>
    <col min="29" max="29" width="2.33203125" style="7" hidden="1" customWidth="1"/>
    <col min="30" max="30" width="11.1328125" style="7" hidden="1" customWidth="1"/>
    <col min="31" max="31" width="3.6640625" style="7" hidden="1" customWidth="1"/>
    <col min="32" max="32" width="11" style="7" hidden="1" customWidth="1"/>
    <col min="33" max="33" width="3.6640625" style="7" customWidth="1"/>
    <col min="34" max="34" width="11" style="7" customWidth="1"/>
    <col min="35" max="35" width="3.6640625" style="7" customWidth="1"/>
    <col min="36" max="36" width="11" style="7" customWidth="1"/>
    <col min="37" max="37" width="3.6640625" style="7" customWidth="1"/>
    <col min="38" max="38" width="11" style="7" customWidth="1"/>
    <col min="39" max="39" width="3.6640625" style="7" customWidth="1"/>
    <col min="40" max="40" width="11" style="7" customWidth="1"/>
    <col min="41" max="41" width="3.6640625" style="7" customWidth="1"/>
    <col min="42" max="42" width="11" style="7" customWidth="1"/>
    <col min="43" max="43" width="3.6640625" style="7" customWidth="1"/>
    <col min="44" max="44" width="11" style="7" customWidth="1"/>
    <col min="45" max="45" width="3.6640625" style="7" customWidth="1"/>
    <col min="46" max="46" width="11" style="7" customWidth="1"/>
    <col min="47" max="50" width="5.6640625" style="7"/>
    <col min="51" max="51" width="8.6640625" style="7" bestFit="1" customWidth="1"/>
    <col min="52" max="16384" width="5.6640625" style="7"/>
  </cols>
  <sheetData>
    <row r="1" spans="2:51" ht="11.65" x14ac:dyDescent="0.35">
      <c r="F1" s="486" t="s">
        <v>79</v>
      </c>
      <c r="G1" s="487"/>
      <c r="H1" s="487"/>
      <c r="I1" s="487"/>
      <c r="J1" s="487"/>
      <c r="K1" s="487"/>
      <c r="L1" s="488"/>
      <c r="M1" s="489"/>
      <c r="N1" s="488"/>
      <c r="O1" s="488"/>
      <c r="P1" s="488"/>
      <c r="Q1" s="505"/>
      <c r="R1" s="266"/>
      <c r="S1" s="267"/>
      <c r="V1" s="1449" t="str">
        <f>F1</f>
        <v>DISCLAIMER: THIS DOCUMENT IS A "WORK-IN-PROGRESS'. IT HAS BEEN PREPARED FOR AND IS INTENDED</v>
      </c>
    </row>
    <row r="2" spans="2:51" ht="11.65" x14ac:dyDescent="0.35">
      <c r="F2" s="490" t="s">
        <v>395</v>
      </c>
      <c r="G2" s="491"/>
      <c r="H2" s="492"/>
      <c r="I2" s="492"/>
      <c r="J2" s="492"/>
      <c r="K2" s="492"/>
      <c r="L2" s="493"/>
      <c r="M2" s="494"/>
      <c r="N2" s="493"/>
      <c r="O2" s="493"/>
      <c r="P2" s="493"/>
      <c r="Q2" s="504"/>
      <c r="S2" s="258"/>
      <c r="V2" s="1449" t="str">
        <f t="shared" ref="V2:V3" si="0">F2</f>
        <v>SOLELY FOR THE USE OF THE TOPSFIELD FINANCE COMMITTEE FOR MODELING AND PLANNING PURPOSES.</v>
      </c>
    </row>
    <row r="3" spans="2:51" ht="12" thickBot="1" x14ac:dyDescent="0.4">
      <c r="F3" s="495" t="s">
        <v>99</v>
      </c>
      <c r="G3" s="496"/>
      <c r="H3" s="497"/>
      <c r="I3" s="497"/>
      <c r="J3" s="497"/>
      <c r="K3" s="497"/>
      <c r="L3" s="498"/>
      <c r="M3" s="499"/>
      <c r="N3" s="498"/>
      <c r="O3" s="498"/>
      <c r="P3" s="498"/>
      <c r="Q3" s="506"/>
      <c r="R3" s="290"/>
      <c r="S3" s="298"/>
      <c r="V3" s="1449" t="str">
        <f t="shared" si="0"/>
        <v>IT IS NOT TO BE CONSIDERED AS A RECOMMENDATION OF THE FINANCE COMMITTEE.</v>
      </c>
    </row>
    <row r="4" spans="2:51" x14ac:dyDescent="0.3">
      <c r="B4" s="8" t="s">
        <v>335</v>
      </c>
      <c r="C4" s="9"/>
      <c r="D4" s="9"/>
      <c r="E4" s="9"/>
      <c r="F4" s="9"/>
      <c r="G4" s="9"/>
      <c r="I4" s="500"/>
      <c r="J4" s="501" t="s">
        <v>578</v>
      </c>
      <c r="K4" s="501"/>
      <c r="L4" s="502" t="s">
        <v>17</v>
      </c>
      <c r="M4" s="501"/>
      <c r="N4" s="502" t="s">
        <v>18</v>
      </c>
      <c r="O4" s="501"/>
      <c r="P4" s="502" t="s">
        <v>76</v>
      </c>
      <c r="Q4" s="501"/>
      <c r="R4" s="502" t="s">
        <v>21</v>
      </c>
      <c r="S4" s="501"/>
      <c r="T4" s="534" t="s">
        <v>191</v>
      </c>
      <c r="U4" s="422"/>
      <c r="V4" s="534" t="s">
        <v>396</v>
      </c>
      <c r="W4" s="534"/>
      <c r="X4" s="534" t="s">
        <v>237</v>
      </c>
      <c r="Y4" s="422"/>
      <c r="Z4" s="534" t="s">
        <v>238</v>
      </c>
      <c r="AA4" s="422"/>
      <c r="AB4" s="534" t="s">
        <v>589</v>
      </c>
      <c r="AC4" s="422"/>
      <c r="AD4" s="534" t="s">
        <v>796</v>
      </c>
      <c r="AE4" s="422"/>
      <c r="AF4" s="590" t="s">
        <v>854</v>
      </c>
      <c r="AG4" s="422"/>
      <c r="AH4" s="534" t="s">
        <v>902</v>
      </c>
      <c r="AI4" s="422"/>
      <c r="AJ4" s="534" t="s">
        <v>964</v>
      </c>
      <c r="AK4" s="422"/>
      <c r="AL4" s="534" t="s">
        <v>996</v>
      </c>
      <c r="AM4" s="422"/>
      <c r="AN4" s="534" t="s">
        <v>1033</v>
      </c>
      <c r="AO4" s="422"/>
      <c r="AP4" s="534" t="s">
        <v>1054</v>
      </c>
      <c r="AQ4" s="534"/>
      <c r="AR4" s="534" t="s">
        <v>1075</v>
      </c>
      <c r="AS4" s="534"/>
      <c r="AT4" s="534" t="s">
        <v>1168</v>
      </c>
    </row>
    <row r="5" spans="2:51" x14ac:dyDescent="0.3">
      <c r="J5" s="10"/>
    </row>
    <row r="6" spans="2:51" x14ac:dyDescent="0.3">
      <c r="B6" s="7" t="s">
        <v>281</v>
      </c>
      <c r="C6" s="7" t="s">
        <v>254</v>
      </c>
      <c r="J6" s="14">
        <v>13474669</v>
      </c>
      <c r="L6" s="14">
        <f>J15</f>
        <v>14184854.725</v>
      </c>
      <c r="N6" s="14">
        <f>L15</f>
        <v>14723544.093125001</v>
      </c>
      <c r="P6" s="14">
        <f>N15</f>
        <v>15454564.695453126</v>
      </c>
      <c r="R6" s="14">
        <f>P15+65265</f>
        <v>16146517.812839454</v>
      </c>
      <c r="T6" s="14">
        <f>R15</f>
        <v>16770916.75816044</v>
      </c>
      <c r="V6" s="14">
        <f>ROUND(T15,0)</f>
        <v>17502715</v>
      </c>
      <c r="W6" s="14"/>
      <c r="X6" s="14">
        <v>17888276</v>
      </c>
      <c r="Z6" s="14">
        <f>ROUND(X15,0)</f>
        <v>18795345</v>
      </c>
      <c r="AB6" s="14">
        <f>ROUND(Z15,0)</f>
        <v>19882669</v>
      </c>
      <c r="AD6" s="14">
        <f>ROUND(AB15,0)</f>
        <v>20915197</v>
      </c>
      <c r="AF6" s="14">
        <f>ROUND(AD15,0)</f>
        <v>21663706</v>
      </c>
      <c r="AH6" s="14">
        <f>ROUND(AF15,0)-1</f>
        <v>22285112</v>
      </c>
      <c r="AJ6" s="14">
        <f>ROUND(AH15,0)</f>
        <v>22917281</v>
      </c>
      <c r="AL6" s="14">
        <f>ROUND(AJ15,0)</f>
        <v>24422083</v>
      </c>
      <c r="AN6" s="14">
        <f>ROUND(AL15,0)</f>
        <v>25256907</v>
      </c>
      <c r="AP6" s="14">
        <f>ROUND(AN15,0)</f>
        <v>26038049</v>
      </c>
      <c r="AR6" s="14">
        <f>ROUND(AP15,0)</f>
        <v>26851890</v>
      </c>
      <c r="AT6" s="14">
        <f>ROUND(AR15,0)</f>
        <v>29044092</v>
      </c>
    </row>
    <row r="7" spans="2:51" x14ac:dyDescent="0.3">
      <c r="C7" s="7" t="s">
        <v>29</v>
      </c>
      <c r="H7" s="7" t="s">
        <v>150</v>
      </c>
      <c r="I7" s="7" t="s">
        <v>157</v>
      </c>
      <c r="J7" s="14">
        <v>0</v>
      </c>
      <c r="L7" s="7">
        <v>0</v>
      </c>
      <c r="N7" s="7">
        <v>0</v>
      </c>
      <c r="P7" s="7">
        <v>0</v>
      </c>
      <c r="R7" s="7">
        <v>0</v>
      </c>
      <c r="T7" s="7">
        <v>0</v>
      </c>
      <c r="V7" s="7">
        <v>0</v>
      </c>
      <c r="X7" s="7">
        <v>0</v>
      </c>
      <c r="Z7" s="7">
        <v>0</v>
      </c>
      <c r="AB7" s="7">
        <v>0</v>
      </c>
      <c r="AD7" s="7">
        <v>0</v>
      </c>
      <c r="AF7" s="7">
        <v>0</v>
      </c>
      <c r="AH7" s="7">
        <v>0</v>
      </c>
    </row>
    <row r="8" spans="2:51" x14ac:dyDescent="0.3">
      <c r="C8" s="7" t="s">
        <v>145</v>
      </c>
      <c r="H8" s="7" t="s">
        <v>150</v>
      </c>
      <c r="I8" s="7" t="s">
        <v>157</v>
      </c>
      <c r="J8" s="14">
        <f>SUM(J6+J7)*0.025</f>
        <v>336866.72500000003</v>
      </c>
      <c r="L8" s="82">
        <f>(L6+L7)*0.025</f>
        <v>354621.36812500004</v>
      </c>
      <c r="N8" s="82">
        <f>(N6+N7)*0.025</f>
        <v>368088.60232812504</v>
      </c>
      <c r="P8" s="82">
        <f>(P6+P7)*0.025</f>
        <v>386364.11738632817</v>
      </c>
      <c r="R8" s="82">
        <f>(R6+R7)*0.025</f>
        <v>403662.94532098639</v>
      </c>
      <c r="T8" s="82">
        <f>(T6+T7)*0.025</f>
        <v>419272.91895401105</v>
      </c>
      <c r="V8" s="82">
        <f>(V6+V7)*0.025</f>
        <v>437567.875</v>
      </c>
      <c r="W8" s="82"/>
      <c r="X8" s="82">
        <v>447206.9</v>
      </c>
      <c r="Z8" s="82">
        <f>(Z6+Z7)*0.025</f>
        <v>469883.625</v>
      </c>
      <c r="AB8" s="82">
        <f>(AB6+AB7)*0.025</f>
        <v>497066.72500000003</v>
      </c>
      <c r="AD8" s="82">
        <f>(AD6+AD7)*0.025</f>
        <v>522879.92500000005</v>
      </c>
      <c r="AF8" s="82">
        <f>(AF6+AF7)*0.025</f>
        <v>541592.65</v>
      </c>
      <c r="AH8" s="82">
        <f>(AH6+AH7)*0.025</f>
        <v>557127.80000000005</v>
      </c>
      <c r="AJ8" s="82">
        <f>(AJ6+AJ7)*0.025</f>
        <v>572932.02500000002</v>
      </c>
      <c r="AL8" s="82">
        <f>(AL6+AL7)*0.025</f>
        <v>610552.07500000007</v>
      </c>
      <c r="AN8" s="82">
        <f>(AN6+AN7)*0.025</f>
        <v>631422.67500000005</v>
      </c>
      <c r="AP8" s="82">
        <f>(AP6+AP7)*0.025</f>
        <v>650951.22500000009</v>
      </c>
      <c r="AR8" s="82">
        <f>(AR6+AR7)*0.025</f>
        <v>671297.25</v>
      </c>
      <c r="AT8" s="82">
        <f>(AT6+AT7)*0.025</f>
        <v>726102.3</v>
      </c>
    </row>
    <row r="9" spans="2:51" x14ac:dyDescent="0.3">
      <c r="C9" s="7" t="s">
        <v>393</v>
      </c>
      <c r="H9" s="7" t="s">
        <v>150</v>
      </c>
      <c r="I9" s="7" t="s">
        <v>157</v>
      </c>
      <c r="J9" s="14">
        <v>190928</v>
      </c>
      <c r="L9" s="82">
        <f>125000+59068</f>
        <v>184068</v>
      </c>
      <c r="N9" s="82">
        <v>221475</v>
      </c>
      <c r="P9" s="82">
        <v>110265</v>
      </c>
      <c r="R9" s="540">
        <v>116429</v>
      </c>
      <c r="T9" s="599">
        <v>120986.79</v>
      </c>
      <c r="V9" s="599">
        <v>174438</v>
      </c>
      <c r="W9" s="599"/>
      <c r="X9" s="599">
        <v>459862</v>
      </c>
      <c r="Y9" s="600"/>
      <c r="Z9" s="599">
        <v>417940</v>
      </c>
      <c r="AA9" s="600"/>
      <c r="AB9" s="599">
        <v>342461</v>
      </c>
      <c r="AD9" s="583">
        <v>85629</v>
      </c>
      <c r="AF9" s="583">
        <v>79814</v>
      </c>
      <c r="AH9" s="583">
        <v>75041</v>
      </c>
      <c r="AJ9" s="583">
        <v>338802</v>
      </c>
      <c r="AL9" s="583">
        <v>224272</v>
      </c>
      <c r="AN9" s="583">
        <v>149719</v>
      </c>
      <c r="AP9" s="583">
        <v>162890</v>
      </c>
      <c r="AR9" s="583">
        <v>134058</v>
      </c>
      <c r="AT9" s="2260">
        <v>55000</v>
      </c>
    </row>
    <row r="10" spans="2:51" x14ac:dyDescent="0.3">
      <c r="C10" s="7" t="s">
        <v>30</v>
      </c>
      <c r="H10" s="7" t="s">
        <v>150</v>
      </c>
      <c r="I10" s="7" t="s">
        <v>157</v>
      </c>
      <c r="J10" s="14">
        <v>182391</v>
      </c>
      <c r="L10" s="7">
        <v>0</v>
      </c>
      <c r="N10" s="7">
        <v>0</v>
      </c>
      <c r="P10" s="82">
        <v>130059</v>
      </c>
      <c r="R10" s="7">
        <v>104307</v>
      </c>
      <c r="T10" s="7">
        <v>191539</v>
      </c>
      <c r="V10" s="7">
        <v>0</v>
      </c>
      <c r="X10" s="7">
        <v>0</v>
      </c>
      <c r="Z10" s="7">
        <v>199500</v>
      </c>
      <c r="AB10" s="14">
        <v>193000</v>
      </c>
      <c r="AD10" s="14">
        <v>140000</v>
      </c>
      <c r="AF10" s="7">
        <v>0</v>
      </c>
      <c r="AH10" s="7">
        <v>0</v>
      </c>
      <c r="AJ10" s="7">
        <v>593068</v>
      </c>
      <c r="AL10" s="7">
        <f>SUM('PROJECTED SCH. B'!D35:D35)</f>
        <v>0</v>
      </c>
      <c r="AP10" s="82">
        <f>'PROJECTED SCH. B'!D56</f>
        <v>0</v>
      </c>
      <c r="AR10" s="82">
        <f>246921+1139926</f>
        <v>1386847</v>
      </c>
      <c r="AT10" s="82">
        <v>336555.54999999888</v>
      </c>
    </row>
    <row r="11" spans="2:51" x14ac:dyDescent="0.3">
      <c r="C11" s="7" t="s">
        <v>160</v>
      </c>
      <c r="H11" s="7" t="s">
        <v>150</v>
      </c>
      <c r="I11" s="7" t="s">
        <v>157</v>
      </c>
      <c r="J11" s="14">
        <v>0</v>
      </c>
      <c r="AY11" s="2071"/>
    </row>
    <row r="12" spans="2:51" x14ac:dyDescent="0.3">
      <c r="C12" s="13" t="s">
        <v>160</v>
      </c>
      <c r="H12" s="7" t="s">
        <v>150</v>
      </c>
      <c r="I12" s="7" t="s">
        <v>157</v>
      </c>
      <c r="J12" s="14">
        <v>0</v>
      </c>
      <c r="L12" s="7">
        <v>0</v>
      </c>
      <c r="N12" s="7">
        <v>141457</v>
      </c>
    </row>
    <row r="13" spans="2:51" x14ac:dyDescent="0.3">
      <c r="C13" s="7" t="s">
        <v>31</v>
      </c>
      <c r="H13" s="7" t="s">
        <v>146</v>
      </c>
      <c r="I13" s="7" t="s">
        <v>157</v>
      </c>
      <c r="J13" s="14">
        <f>SUM(J6:J12)</f>
        <v>14184854.725</v>
      </c>
      <c r="L13" s="14">
        <f>SUM(L6:L12)</f>
        <v>14723544.093125001</v>
      </c>
      <c r="N13" s="14">
        <f>SUM(N6:N12)</f>
        <v>15454564.695453126</v>
      </c>
      <c r="P13" s="14">
        <f>SUM(P6:P12)</f>
        <v>16081252.812839454</v>
      </c>
      <c r="R13" s="14">
        <f>SUM(R6:R12)</f>
        <v>16770916.75816044</v>
      </c>
      <c r="T13" s="14">
        <f>SUM(T6:T12)</f>
        <v>17502715.467114449</v>
      </c>
      <c r="V13" s="14">
        <f>SUM(V6:V12)</f>
        <v>18114720.875</v>
      </c>
      <c r="W13" s="14"/>
      <c r="X13" s="14">
        <f>SUM(X6:X12)</f>
        <v>18795344.899999999</v>
      </c>
      <c r="Z13" s="14">
        <f>SUM(Z6:Z12)</f>
        <v>19882668.625</v>
      </c>
      <c r="AB13" s="14">
        <f>SUM(AB6:AB12)</f>
        <v>20915196.725000001</v>
      </c>
      <c r="AD13" s="14">
        <f>SUM(AD6:AD12)</f>
        <v>21663705.925000001</v>
      </c>
      <c r="AF13" s="14">
        <f>SUM(AF6:AF12)</f>
        <v>22285112.649999999</v>
      </c>
      <c r="AH13" s="14">
        <f>SUM(AH6:AH12)</f>
        <v>22917280.800000001</v>
      </c>
      <c r="AJ13" s="14">
        <f>SUM(AJ6:AJ12)</f>
        <v>24422083.024999999</v>
      </c>
      <c r="AL13" s="14">
        <f>SUM(AL6:AL12)</f>
        <v>25256907.074999999</v>
      </c>
      <c r="AN13" s="14">
        <f>SUM(AN6:AN12)</f>
        <v>26038048.675000001</v>
      </c>
      <c r="AP13" s="14">
        <f>SUM(AP6:AP12)</f>
        <v>26851890.225000001</v>
      </c>
      <c r="AR13" s="14">
        <f>SUM(AR6:AR12)</f>
        <v>29044092.25</v>
      </c>
      <c r="AT13" s="14">
        <f>SUM(AT6:AT12)</f>
        <v>30161749.850000001</v>
      </c>
    </row>
    <row r="14" spans="2:51" x14ac:dyDescent="0.3">
      <c r="C14" s="7" t="s">
        <v>9</v>
      </c>
      <c r="F14" s="14"/>
      <c r="G14" s="14"/>
      <c r="I14" s="11" t="s">
        <v>157</v>
      </c>
      <c r="J14" s="12"/>
    </row>
    <row r="15" spans="2:51" x14ac:dyDescent="0.3">
      <c r="C15" s="15" t="s">
        <v>246</v>
      </c>
      <c r="H15" s="7" t="s">
        <v>146</v>
      </c>
      <c r="I15" s="16" t="s">
        <v>157</v>
      </c>
      <c r="J15" s="17">
        <f>SUM(J13)</f>
        <v>14184854.725</v>
      </c>
      <c r="L15" s="423">
        <f>L13</f>
        <v>14723544.093125001</v>
      </c>
      <c r="N15" s="423">
        <f>N13</f>
        <v>15454564.695453126</v>
      </c>
      <c r="P15" s="423">
        <f>P13</f>
        <v>16081252.812839454</v>
      </c>
      <c r="R15" s="423">
        <f>R13</f>
        <v>16770916.75816044</v>
      </c>
      <c r="T15" s="423">
        <f>T13</f>
        <v>17502715.467114449</v>
      </c>
      <c r="V15" s="423">
        <f>V13</f>
        <v>18114720.875</v>
      </c>
      <c r="W15" s="571"/>
      <c r="X15" s="423">
        <f>X13</f>
        <v>18795344.899999999</v>
      </c>
      <c r="Z15" s="423">
        <f>Z13</f>
        <v>19882668.625</v>
      </c>
      <c r="AB15" s="423">
        <f>AB13</f>
        <v>20915196.725000001</v>
      </c>
      <c r="AD15" s="423">
        <f>AD13</f>
        <v>21663705.925000001</v>
      </c>
      <c r="AF15" s="423">
        <f>AF13</f>
        <v>22285112.649999999</v>
      </c>
      <c r="AH15" s="423">
        <f>AH13</f>
        <v>22917280.800000001</v>
      </c>
      <c r="AJ15" s="423">
        <f>AJ13</f>
        <v>24422083.024999999</v>
      </c>
      <c r="AL15" s="423">
        <f>AL13</f>
        <v>25256907.074999999</v>
      </c>
      <c r="AN15" s="423">
        <f>AN13</f>
        <v>26038048.675000001</v>
      </c>
      <c r="AP15" s="423">
        <f>AP13</f>
        <v>26851890.225000001</v>
      </c>
      <c r="AR15" s="423">
        <f>AR13</f>
        <v>29044092.25</v>
      </c>
      <c r="AT15" s="423">
        <f>AT13</f>
        <v>30161749.850000001</v>
      </c>
    </row>
    <row r="18" spans="2:46" x14ac:dyDescent="0.3">
      <c r="B18" s="9" t="s">
        <v>88</v>
      </c>
      <c r="C18" s="9"/>
      <c r="D18" s="9"/>
      <c r="E18" s="9"/>
      <c r="F18" s="9"/>
      <c r="G18" s="9"/>
      <c r="H18" s="18"/>
    </row>
    <row r="19" spans="2:46" x14ac:dyDescent="0.3">
      <c r="C19" s="7" t="s">
        <v>85</v>
      </c>
      <c r="I19" s="7" t="s">
        <v>157</v>
      </c>
      <c r="J19" s="14">
        <f>SUM(J15)</f>
        <v>14184854.725</v>
      </c>
      <c r="L19" s="82">
        <f>L15+L25</f>
        <v>14714026.093125001</v>
      </c>
      <c r="N19" s="14">
        <f>N15</f>
        <v>15454564.695453126</v>
      </c>
      <c r="P19" s="14">
        <f>P15</f>
        <v>16081252.812839454</v>
      </c>
      <c r="R19" s="14">
        <f>R15</f>
        <v>16770916.75816044</v>
      </c>
      <c r="T19" s="14">
        <f>T15</f>
        <v>17502715.467114449</v>
      </c>
      <c r="V19" s="14">
        <f>V15</f>
        <v>18114720.875</v>
      </c>
      <c r="W19" s="14"/>
      <c r="X19" s="14">
        <v>18795364.899999999</v>
      </c>
      <c r="Z19" s="14">
        <f>Z15</f>
        <v>19882668.625</v>
      </c>
      <c r="AB19" s="14">
        <f>AB15</f>
        <v>20915196.725000001</v>
      </c>
      <c r="AD19" s="14">
        <f>AD15</f>
        <v>21663705.925000001</v>
      </c>
      <c r="AF19" s="14">
        <f>AF15</f>
        <v>22285112.649999999</v>
      </c>
      <c r="AH19" s="14">
        <f>AH15</f>
        <v>22917280.800000001</v>
      </c>
      <c r="AJ19" s="14">
        <f>AJ15</f>
        <v>24422083.024999999</v>
      </c>
      <c r="AL19" s="14">
        <f>AL15</f>
        <v>25256907.074999999</v>
      </c>
      <c r="AN19" s="14">
        <f>AN15</f>
        <v>26038048.675000001</v>
      </c>
      <c r="AP19" s="14">
        <f>AP15</f>
        <v>26851890.225000001</v>
      </c>
      <c r="AR19" s="14">
        <f>AR15</f>
        <v>29044092.25</v>
      </c>
      <c r="AT19" s="14">
        <f>AT15</f>
        <v>30161749.850000001</v>
      </c>
    </row>
    <row r="20" spans="2:46" x14ac:dyDescent="0.3">
      <c r="C20" s="7" t="s">
        <v>86</v>
      </c>
      <c r="H20" s="7" t="s">
        <v>150</v>
      </c>
      <c r="I20" s="7" t="s">
        <v>157</v>
      </c>
      <c r="J20" s="14">
        <f>SUM('DE 1'!J36)</f>
        <v>940991.37</v>
      </c>
      <c r="K20" s="7" t="s">
        <v>46</v>
      </c>
      <c r="L20" s="82">
        <f>'DE 1'!E94</f>
        <v>867410.43</v>
      </c>
      <c r="N20" s="82">
        <f>'DE 1'!J94</f>
        <v>934619.87</v>
      </c>
      <c r="P20" s="82">
        <f>'DE 1'!J120</f>
        <v>933085.96000000008</v>
      </c>
      <c r="R20" s="82">
        <f>'DE 1'!J146</f>
        <v>897000.62</v>
      </c>
      <c r="T20" s="82">
        <f>'DE 1'!J177</f>
        <v>925197.84</v>
      </c>
      <c r="V20" s="82">
        <f>'DE 1'!J208</f>
        <v>821523.98539999989</v>
      </c>
      <c r="W20" s="82"/>
      <c r="X20" s="82">
        <v>790655.9</v>
      </c>
      <c r="Z20" s="82">
        <f>'DE 1'!J270</f>
        <v>803529.43</v>
      </c>
      <c r="AB20" s="82">
        <f>'DE 1'!J301</f>
        <v>777719.89</v>
      </c>
      <c r="AD20" s="82">
        <f>'DE 1'!J332</f>
        <v>802449.89</v>
      </c>
      <c r="AF20" s="598">
        <f>'DE 1'!J373</f>
        <v>839738.63</v>
      </c>
      <c r="AH20" s="598">
        <f>'DE 1'!$J418*0+1268247</f>
        <v>1268247</v>
      </c>
      <c r="AJ20" s="598">
        <f>'DE 1'!J470+AM20*0</f>
        <v>1463100.54</v>
      </c>
      <c r="AL20" s="598">
        <f>'DE 1'!J517</f>
        <v>1283528.202</v>
      </c>
      <c r="AN20" s="598">
        <f>'DE 1'!J563</f>
        <v>1226381.75</v>
      </c>
      <c r="AP20" s="2074">
        <f>'DE 1'!J610</f>
        <v>805250.76</v>
      </c>
      <c r="AR20" s="2074">
        <f>'DE 1'!J657</f>
        <v>949337.76</v>
      </c>
      <c r="AT20" s="2074">
        <f>'DE 1'!J681</f>
        <v>949312.76</v>
      </c>
    </row>
    <row r="21" spans="2:46" x14ac:dyDescent="0.3">
      <c r="C21" s="7" t="s">
        <v>202</v>
      </c>
      <c r="J21" s="14"/>
      <c r="L21" s="7">
        <v>0</v>
      </c>
      <c r="N21" s="7">
        <v>0</v>
      </c>
      <c r="P21" s="7">
        <v>0</v>
      </c>
      <c r="R21" s="410"/>
    </row>
    <row r="22" spans="2:46" x14ac:dyDescent="0.3">
      <c r="C22" s="7" t="s">
        <v>63</v>
      </c>
      <c r="H22" s="7" t="s">
        <v>150</v>
      </c>
      <c r="I22" s="7" t="s">
        <v>157</v>
      </c>
      <c r="J22" s="14"/>
      <c r="L22" s="7">
        <v>0</v>
      </c>
      <c r="N22" s="7">
        <v>0</v>
      </c>
      <c r="P22" s="7">
        <v>0</v>
      </c>
      <c r="R22" s="7">
        <v>0</v>
      </c>
      <c r="T22" s="555"/>
      <c r="V22" s="555"/>
      <c r="W22" s="555"/>
      <c r="X22" s="555"/>
      <c r="Z22" s="555"/>
      <c r="AB22" s="555"/>
      <c r="AD22" s="555"/>
      <c r="AF22" s="1407">
        <v>500000</v>
      </c>
      <c r="AH22" s="555"/>
      <c r="AJ22" s="555"/>
      <c r="AL22" s="555"/>
      <c r="AN22" s="555"/>
      <c r="AP22" s="555"/>
      <c r="AR22" s="555"/>
      <c r="AT22" s="555"/>
    </row>
    <row r="23" spans="2:46" x14ac:dyDescent="0.3">
      <c r="C23" s="7" t="s">
        <v>82</v>
      </c>
      <c r="H23" s="7" t="s">
        <v>150</v>
      </c>
      <c r="I23" s="7" t="s">
        <v>157</v>
      </c>
      <c r="J23" s="14"/>
      <c r="L23" s="82">
        <v>-85258</v>
      </c>
      <c r="N23" s="7">
        <v>0</v>
      </c>
      <c r="P23" s="7">
        <v>0</v>
      </c>
      <c r="Q23" s="82"/>
      <c r="R23" s="7">
        <v>-11</v>
      </c>
      <c r="AD23" s="591" t="s">
        <v>160</v>
      </c>
    </row>
    <row r="24" spans="2:46" x14ac:dyDescent="0.3">
      <c r="C24" s="7" t="s">
        <v>83</v>
      </c>
      <c r="H24" s="7" t="s">
        <v>150</v>
      </c>
      <c r="I24" s="7" t="s">
        <v>157</v>
      </c>
      <c r="J24" s="14"/>
      <c r="L24" s="7">
        <v>0</v>
      </c>
      <c r="N24" s="7">
        <v>0</v>
      </c>
      <c r="P24" s="7">
        <v>0</v>
      </c>
      <c r="R24" s="7">
        <v>0</v>
      </c>
    </row>
    <row r="25" spans="2:46" x14ac:dyDescent="0.3">
      <c r="C25" s="546"/>
      <c r="L25" s="82">
        <v>-9518</v>
      </c>
      <c r="P25" s="82">
        <v>12201</v>
      </c>
    </row>
    <row r="26" spans="2:46" x14ac:dyDescent="0.3">
      <c r="C26" s="7" t="s">
        <v>336</v>
      </c>
      <c r="H26" s="7" t="s">
        <v>146</v>
      </c>
      <c r="I26" s="461" t="s">
        <v>157</v>
      </c>
      <c r="J26" s="462">
        <f>SUM(J19:J25)</f>
        <v>15125846.094999999</v>
      </c>
      <c r="L26" s="462">
        <f>SUM(L19:L25)</f>
        <v>15486660.523125</v>
      </c>
      <c r="N26" s="462">
        <f>SUM(N19:N25)</f>
        <v>16389184.565453125</v>
      </c>
      <c r="P26" s="462">
        <f>SUM(P19:P25)</f>
        <v>17026539.772839453</v>
      </c>
      <c r="R26" s="462">
        <f>SUM(R19:R25)</f>
        <v>17667906.378160439</v>
      </c>
      <c r="T26" s="462">
        <f>SUM(T19:T25)</f>
        <v>18427913.307114448</v>
      </c>
      <c r="V26" s="462">
        <f>SUM(V19:V25)</f>
        <v>18936244.860399999</v>
      </c>
      <c r="W26" s="572"/>
      <c r="X26" s="572">
        <v>19586020.799999997</v>
      </c>
      <c r="Z26" s="462">
        <f>SUM(Z19:Z25)</f>
        <v>20686198.055</v>
      </c>
      <c r="AB26" s="462">
        <f>SUM(AB19:AB25)</f>
        <v>21692916.615000002</v>
      </c>
      <c r="AD26" s="462">
        <f>SUM(AD19:AD25)</f>
        <v>22466155.815000001</v>
      </c>
      <c r="AF26" s="462">
        <f>SUM(AF19:AF25)</f>
        <v>23624851.279999997</v>
      </c>
      <c r="AH26" s="462">
        <f>SUM(AH19:AH25)</f>
        <v>24185527.800000001</v>
      </c>
      <c r="AJ26" s="462">
        <f>SUM(AJ19:AJ25)</f>
        <v>25885183.564999998</v>
      </c>
      <c r="AL26" s="462">
        <f>SUM(AL19:AL25)</f>
        <v>26540435.276999999</v>
      </c>
      <c r="AN26" s="462">
        <f>SUM(AN19:AN25)</f>
        <v>27264430.425000001</v>
      </c>
      <c r="AP26" s="462">
        <f>SUM(AP19:AP25)</f>
        <v>27657140.985000003</v>
      </c>
      <c r="AR26" s="462">
        <f>SUM(AR19:AR25)</f>
        <v>29993430.010000002</v>
      </c>
      <c r="AT26" s="462">
        <f>SUM(AT19:AT25)</f>
        <v>31111062.610000003</v>
      </c>
    </row>
    <row r="27" spans="2:46" x14ac:dyDescent="0.3">
      <c r="C27" s="478"/>
      <c r="L27" s="82"/>
      <c r="P27" s="82"/>
    </row>
    <row r="28" spans="2:46" x14ac:dyDescent="0.3">
      <c r="B28" s="546">
        <v>3</v>
      </c>
      <c r="C28" s="548" t="s">
        <v>261</v>
      </c>
      <c r="D28" s="548"/>
      <c r="E28" s="548"/>
      <c r="F28" s="548"/>
      <c r="G28" s="548"/>
      <c r="H28" s="547" t="s">
        <v>337</v>
      </c>
      <c r="L28" s="82"/>
      <c r="P28" s="82"/>
      <c r="AD28" s="14">
        <v>385000</v>
      </c>
      <c r="AF28" s="14">
        <v>100000</v>
      </c>
      <c r="AH28" s="14">
        <v>150000</v>
      </c>
      <c r="AJ28" s="14">
        <v>100000</v>
      </c>
      <c r="AL28" s="14">
        <v>150000</v>
      </c>
      <c r="AN28" s="14">
        <v>150000</v>
      </c>
      <c r="AP28" s="14">
        <v>100000</v>
      </c>
      <c r="AR28" s="14">
        <v>150000</v>
      </c>
      <c r="AT28" s="14">
        <v>100000</v>
      </c>
    </row>
    <row r="29" spans="2:46" x14ac:dyDescent="0.3">
      <c r="C29" s="478"/>
      <c r="L29" s="82"/>
      <c r="P29" s="82"/>
    </row>
    <row r="30" spans="2:46" x14ac:dyDescent="0.3">
      <c r="C30" s="7" t="s">
        <v>126</v>
      </c>
      <c r="H30" s="7" t="s">
        <v>146</v>
      </c>
      <c r="I30" s="461" t="s">
        <v>157</v>
      </c>
      <c r="J30" s="418">
        <f>J26-J28</f>
        <v>15125846.094999999</v>
      </c>
      <c r="L30" s="418">
        <f>L26-L28</f>
        <v>15486660.523125</v>
      </c>
      <c r="N30" s="418">
        <f>N26-N28</f>
        <v>16389184.565453125</v>
      </c>
      <c r="P30" s="418">
        <f>P26-P28</f>
        <v>17026539.772839453</v>
      </c>
      <c r="R30" s="418">
        <f>R26-R28</f>
        <v>17667906.378160439</v>
      </c>
      <c r="T30" s="418">
        <f>T26-T28</f>
        <v>18427913.307114448</v>
      </c>
      <c r="V30" s="418">
        <f>V26-V28</f>
        <v>18936244.860399999</v>
      </c>
      <c r="W30" s="573"/>
      <c r="X30" s="418">
        <v>19586020.799999997</v>
      </c>
      <c r="Z30" s="418">
        <f>Z26-Z28</f>
        <v>20686198.055</v>
      </c>
      <c r="AB30" s="418">
        <f>AB26-AB28</f>
        <v>21692916.615000002</v>
      </c>
      <c r="AD30" s="418">
        <f>AD26-AD28</f>
        <v>22081155.815000001</v>
      </c>
      <c r="AF30" s="418">
        <f>AF26-AF28</f>
        <v>23524851.279999997</v>
      </c>
      <c r="AH30" s="418">
        <f>AH26-AH28</f>
        <v>24035527.800000001</v>
      </c>
      <c r="AJ30" s="418">
        <f>AJ26-AJ28</f>
        <v>25785183.564999998</v>
      </c>
      <c r="AL30" s="418">
        <f>AL26-AL28</f>
        <v>26390435.276999999</v>
      </c>
      <c r="AN30" s="418">
        <f>AN26-AN28</f>
        <v>27114430.425000001</v>
      </c>
      <c r="AP30" s="418">
        <f>AP26-AP28</f>
        <v>27557140.985000003</v>
      </c>
      <c r="AR30" s="418">
        <f>AR26-AR28</f>
        <v>29843430.010000002</v>
      </c>
      <c r="AT30" s="418">
        <f>AT26-AT28</f>
        <v>31011062.610000003</v>
      </c>
    </row>
    <row r="32" spans="2:46" x14ac:dyDescent="0.3">
      <c r="N32" s="82"/>
    </row>
    <row r="34" spans="2:12" x14ac:dyDescent="0.3">
      <c r="B34" s="13"/>
    </row>
    <row r="35" spans="2:12" x14ac:dyDescent="0.3">
      <c r="J35" s="433"/>
      <c r="L35" s="434"/>
    </row>
    <row r="36" spans="2:12" x14ac:dyDescent="0.3">
      <c r="J36" s="19"/>
      <c r="L36" s="434"/>
    </row>
    <row r="37" spans="2:12" x14ac:dyDescent="0.3">
      <c r="J37" s="19"/>
      <c r="L37" s="434"/>
    </row>
    <row r="38" spans="2:12" x14ac:dyDescent="0.3">
      <c r="J38" s="19"/>
      <c r="L38" s="434"/>
    </row>
    <row r="39" spans="2:12" x14ac:dyDescent="0.3">
      <c r="J39" s="19"/>
      <c r="L39" s="434"/>
    </row>
    <row r="40" spans="2:12" x14ac:dyDescent="0.3">
      <c r="J40" s="19"/>
      <c r="L40" s="434"/>
    </row>
    <row r="41" spans="2:12" x14ac:dyDescent="0.3">
      <c r="J41" s="19"/>
      <c r="L41" s="434"/>
    </row>
    <row r="42" spans="2:12" x14ac:dyDescent="0.3">
      <c r="J42" s="19"/>
      <c r="L42" s="434"/>
    </row>
    <row r="43" spans="2:12" x14ac:dyDescent="0.3">
      <c r="J43" s="20"/>
      <c r="L43" s="434"/>
    </row>
    <row r="44" spans="2:12" x14ac:dyDescent="0.3">
      <c r="J44" s="19"/>
      <c r="L44" s="434"/>
    </row>
    <row r="46" spans="2:12" x14ac:dyDescent="0.3">
      <c r="J46" s="21"/>
    </row>
    <row r="49" spans="10:10" x14ac:dyDescent="0.3">
      <c r="J49" s="21"/>
    </row>
    <row r="52" spans="10:10" x14ac:dyDescent="0.3">
      <c r="J52" s="21"/>
    </row>
  </sheetData>
  <phoneticPr fontId="39" type="noConversion"/>
  <printOptions gridLines="1"/>
  <pageMargins left="0.23622047244094491" right="0.23622047244094491" top="0.70866141732283472" bottom="0" header="0.19685039370078741" footer="0"/>
  <pageSetup fitToWidth="0" orientation="landscape" horizontalDpi="300" verticalDpi="300" r:id="rId1"/>
  <headerFooter alignWithMargins="0">
    <oddHeader xml:space="preserve">&amp;L30-Mar-2023
&amp;A
&amp;CTOWN OF TOPSFIELD FINANCE COMMITTEE
BUDGET WORKSHEETS
&amp;R&amp;"Arial,Bold"&amp;12VERSION 2.0
FY 2024
</oddHeader>
    <oddFooter xml:space="preserve">&amp;R
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728"/>
  <sheetViews>
    <sheetView topLeftCell="A8" workbookViewId="0">
      <selection activeCell="AB37" sqref="AB37"/>
    </sheetView>
  </sheetViews>
  <sheetFormatPr defaultColWidth="8.86328125" defaultRowHeight="9" x14ac:dyDescent="0.25"/>
  <cols>
    <col min="1" max="1" width="5.46484375" style="1" customWidth="1"/>
    <col min="2" max="2" width="23.6640625" style="1" customWidth="1"/>
    <col min="3" max="3" width="15.86328125" style="22" customWidth="1"/>
    <col min="4" max="4" width="6.46484375" style="1" customWidth="1"/>
    <col min="5" max="5" width="10.6640625" style="1" customWidth="1"/>
    <col min="6" max="6" width="12.6640625" style="1" customWidth="1"/>
    <col min="7" max="7" width="13.33203125" style="1" customWidth="1"/>
    <col min="8" max="8" width="2.86328125" style="1" customWidth="1"/>
    <col min="9" max="9" width="18.46484375" style="1" customWidth="1"/>
    <col min="10" max="10" width="11.33203125" style="1" customWidth="1"/>
    <col min="11" max="11" width="12.33203125" style="1" customWidth="1"/>
    <col min="12" max="16384" width="8.86328125" style="1"/>
  </cols>
  <sheetData>
    <row r="1" spans="1:22" ht="11.65" hidden="1" x14ac:dyDescent="0.35">
      <c r="C1" s="486" t="s">
        <v>79</v>
      </c>
      <c r="D1" s="487"/>
      <c r="E1" s="487"/>
      <c r="F1" s="487"/>
      <c r="G1" s="487"/>
      <c r="H1" s="487"/>
      <c r="I1" s="488"/>
      <c r="J1" s="489"/>
      <c r="K1" s="507"/>
      <c r="L1" s="493"/>
      <c r="M1" s="493"/>
    </row>
    <row r="2" spans="1:22" ht="11.65" hidden="1" x14ac:dyDescent="0.35">
      <c r="C2" s="490" t="s">
        <v>395</v>
      </c>
      <c r="D2" s="491"/>
      <c r="E2" s="492"/>
      <c r="F2" s="492"/>
      <c r="G2" s="492"/>
      <c r="H2" s="492"/>
      <c r="I2" s="493"/>
      <c r="J2" s="494"/>
      <c r="K2" s="508"/>
      <c r="L2" s="493"/>
      <c r="M2" s="493"/>
    </row>
    <row r="3" spans="1:22" ht="12" hidden="1" thickBot="1" x14ac:dyDescent="0.4">
      <c r="C3" s="495" t="s">
        <v>99</v>
      </c>
      <c r="D3" s="496"/>
      <c r="E3" s="497"/>
      <c r="F3" s="497"/>
      <c r="G3" s="497"/>
      <c r="H3" s="497"/>
      <c r="I3" s="498"/>
      <c r="J3" s="499"/>
      <c r="K3" s="509"/>
      <c r="L3" s="493"/>
      <c r="M3" s="493"/>
    </row>
    <row r="4" spans="1:22" hidden="1" x14ac:dyDescent="0.25">
      <c r="G4" s="4"/>
    </row>
    <row r="5" spans="1:22" ht="11.65" hidden="1" x14ac:dyDescent="0.35">
      <c r="A5" s="23"/>
      <c r="B5" s="24" t="s">
        <v>435</v>
      </c>
      <c r="C5" s="24"/>
      <c r="D5" s="23"/>
      <c r="E5" s="23"/>
      <c r="F5" s="23"/>
      <c r="G5" s="23"/>
      <c r="H5" s="23"/>
      <c r="I5" s="23"/>
      <c r="J5" s="23"/>
      <c r="V5" s="504"/>
    </row>
    <row r="6" spans="1:22" ht="11.25" hidden="1" customHeight="1" x14ac:dyDescent="0.35">
      <c r="B6" s="24" t="s">
        <v>296</v>
      </c>
      <c r="C6" s="24"/>
      <c r="D6" s="23"/>
      <c r="E6" s="23"/>
      <c r="F6" s="23"/>
      <c r="G6" s="23"/>
      <c r="H6" s="23"/>
      <c r="I6" s="23"/>
      <c r="J6" s="23"/>
      <c r="V6" s="504"/>
    </row>
    <row r="7" spans="1:22" ht="11.25" hidden="1" customHeight="1" x14ac:dyDescent="0.35">
      <c r="B7" s="24" t="s">
        <v>300</v>
      </c>
      <c r="C7" s="24"/>
      <c r="D7" s="23"/>
      <c r="E7" s="23"/>
      <c r="F7" s="23"/>
      <c r="G7" s="23"/>
      <c r="H7" s="23"/>
      <c r="I7" s="23"/>
      <c r="J7" s="23"/>
      <c r="V7" s="504"/>
    </row>
    <row r="8" spans="1:22" ht="3" customHeight="1" x14ac:dyDescent="0.25">
      <c r="B8" s="24"/>
      <c r="C8" s="24"/>
      <c r="D8" s="23"/>
      <c r="E8" s="23"/>
      <c r="F8" s="23"/>
      <c r="G8" s="23"/>
      <c r="H8" s="23"/>
      <c r="I8" s="23"/>
      <c r="J8" s="23"/>
    </row>
    <row r="9" spans="1:22" s="25" customFormat="1" ht="12" customHeight="1" x14ac:dyDescent="0.25">
      <c r="B9" s="26" t="s">
        <v>425</v>
      </c>
      <c r="C9" s="26"/>
      <c r="D9" s="27"/>
      <c r="E9" s="27"/>
      <c r="F9" s="27"/>
      <c r="G9" s="27"/>
      <c r="H9" s="27"/>
      <c r="I9" s="27"/>
      <c r="J9" s="27"/>
      <c r="K9" s="1"/>
      <c r="L9" s="1"/>
      <c r="M9" s="1"/>
    </row>
    <row r="10" spans="1:22" ht="3" customHeight="1" x14ac:dyDescent="0.25">
      <c r="A10" s="28"/>
      <c r="B10" s="28"/>
      <c r="H10" s="28"/>
      <c r="I10" s="28"/>
    </row>
    <row r="11" spans="1:22" s="32" customFormat="1" x14ac:dyDescent="0.25">
      <c r="A11" s="29"/>
      <c r="B11" s="30" t="s">
        <v>691</v>
      </c>
      <c r="C11" s="31" t="s">
        <v>692</v>
      </c>
      <c r="D11" s="31" t="s">
        <v>693</v>
      </c>
      <c r="E11" s="31" t="s">
        <v>694</v>
      </c>
      <c r="F11" s="31" t="s">
        <v>695</v>
      </c>
      <c r="G11" s="31" t="s">
        <v>696</v>
      </c>
      <c r="H11" s="32" t="s">
        <v>160</v>
      </c>
      <c r="I11" s="32" t="s">
        <v>697</v>
      </c>
      <c r="J11" s="31" t="s">
        <v>698</v>
      </c>
      <c r="K11" s="1"/>
      <c r="L11" s="1"/>
      <c r="M11" s="1"/>
    </row>
    <row r="12" spans="1:22" s="32" customFormat="1" x14ac:dyDescent="0.25">
      <c r="A12" s="29"/>
      <c r="B12" s="30"/>
      <c r="C12" s="33" t="s">
        <v>567</v>
      </c>
      <c r="D12" s="33"/>
      <c r="E12" s="33"/>
      <c r="F12" s="33"/>
      <c r="G12" s="33"/>
      <c r="J12" s="33"/>
      <c r="K12" s="1"/>
      <c r="L12" s="1"/>
      <c r="M12" s="1"/>
    </row>
    <row r="13" spans="1:22" s="32" customFormat="1" x14ac:dyDescent="0.25">
      <c r="A13" s="29"/>
      <c r="B13" s="30" t="s">
        <v>850</v>
      </c>
      <c r="C13" s="33" t="s">
        <v>851</v>
      </c>
      <c r="D13" s="33" t="s">
        <v>720</v>
      </c>
      <c r="E13" s="33" t="s">
        <v>791</v>
      </c>
      <c r="F13" s="33" t="s">
        <v>792</v>
      </c>
      <c r="G13" s="33" t="s">
        <v>615</v>
      </c>
      <c r="J13" s="33" t="s">
        <v>347</v>
      </c>
      <c r="K13" s="1"/>
      <c r="L13" s="1"/>
      <c r="M13" s="1"/>
    </row>
    <row r="14" spans="1:22" s="32" customFormat="1" x14ac:dyDescent="0.25">
      <c r="A14" s="29"/>
      <c r="B14" s="30" t="s">
        <v>821</v>
      </c>
      <c r="C14" s="33" t="s">
        <v>822</v>
      </c>
      <c r="D14" s="33" t="s">
        <v>823</v>
      </c>
      <c r="E14" s="33" t="s">
        <v>841</v>
      </c>
      <c r="F14" s="33" t="s">
        <v>842</v>
      </c>
      <c r="G14" s="33" t="s">
        <v>842</v>
      </c>
      <c r="H14" s="32" t="s">
        <v>843</v>
      </c>
      <c r="I14" s="32" t="s">
        <v>844</v>
      </c>
      <c r="J14" s="33" t="s">
        <v>784</v>
      </c>
      <c r="K14" s="1"/>
      <c r="L14" s="1"/>
      <c r="M14" s="1"/>
    </row>
    <row r="15" spans="1:22" s="32" customFormat="1" x14ac:dyDescent="0.25">
      <c r="A15" s="29"/>
      <c r="B15" s="30" t="s">
        <v>785</v>
      </c>
      <c r="C15" s="33" t="s">
        <v>786</v>
      </c>
      <c r="D15" s="33" t="s">
        <v>846</v>
      </c>
      <c r="E15" s="33" t="s">
        <v>842</v>
      </c>
      <c r="F15" s="33" t="s">
        <v>847</v>
      </c>
      <c r="G15" s="33" t="s">
        <v>847</v>
      </c>
      <c r="H15" s="29" t="s">
        <v>848</v>
      </c>
      <c r="I15" s="32" t="s">
        <v>816</v>
      </c>
      <c r="J15" s="33" t="s">
        <v>842</v>
      </c>
      <c r="K15" s="1"/>
      <c r="L15" s="1"/>
      <c r="M15" s="1"/>
    </row>
    <row r="16" spans="1:22" s="32" customFormat="1" x14ac:dyDescent="0.25">
      <c r="A16" s="34"/>
      <c r="B16" s="35" t="s">
        <v>817</v>
      </c>
      <c r="C16" s="33" t="s">
        <v>818</v>
      </c>
      <c r="D16" s="33" t="s">
        <v>819</v>
      </c>
      <c r="E16" s="33" t="s">
        <v>847</v>
      </c>
      <c r="F16" s="33" t="s">
        <v>289</v>
      </c>
      <c r="G16" s="33" t="s">
        <v>660</v>
      </c>
      <c r="H16" s="29"/>
      <c r="I16" s="32" t="s">
        <v>756</v>
      </c>
      <c r="J16" s="33" t="s">
        <v>847</v>
      </c>
      <c r="K16" s="1"/>
      <c r="L16" s="1"/>
      <c r="M16" s="1"/>
    </row>
    <row r="17" spans="1:11" x14ac:dyDescent="0.25">
      <c r="A17" s="36"/>
      <c r="B17" s="37">
        <v>31904</v>
      </c>
      <c r="C17" s="38">
        <v>32021</v>
      </c>
      <c r="D17" s="39" t="s">
        <v>757</v>
      </c>
      <c r="E17" s="40">
        <v>-10886</v>
      </c>
      <c r="F17" s="40">
        <v>0</v>
      </c>
      <c r="G17" s="40">
        <v>0</v>
      </c>
      <c r="H17" s="41" t="s">
        <v>758</v>
      </c>
      <c r="I17" s="41">
        <v>10886</v>
      </c>
      <c r="J17" s="42">
        <f>SUM(G17-I17)</f>
        <v>-10886</v>
      </c>
    </row>
    <row r="18" spans="1:11" x14ac:dyDescent="0.25">
      <c r="A18" s="43"/>
      <c r="B18" s="44" t="s">
        <v>529</v>
      </c>
      <c r="C18" s="45"/>
      <c r="D18" s="46"/>
      <c r="E18" s="47"/>
      <c r="F18" s="47"/>
      <c r="G18" s="47"/>
      <c r="H18" s="48"/>
      <c r="I18" s="48"/>
      <c r="J18" s="49"/>
    </row>
    <row r="19" spans="1:11" x14ac:dyDescent="0.25">
      <c r="A19" s="36" t="s">
        <v>530</v>
      </c>
      <c r="B19" s="50">
        <v>35368</v>
      </c>
      <c r="C19" s="51"/>
      <c r="D19" s="52"/>
      <c r="E19" s="53"/>
      <c r="F19" s="53"/>
      <c r="G19" s="53"/>
      <c r="I19" s="54"/>
      <c r="J19" s="53"/>
    </row>
    <row r="20" spans="1:11" x14ac:dyDescent="0.25">
      <c r="A20" s="43" t="s">
        <v>656</v>
      </c>
      <c r="B20" s="44" t="s">
        <v>657</v>
      </c>
      <c r="C20" s="45">
        <v>36951</v>
      </c>
      <c r="D20" s="46" t="s">
        <v>757</v>
      </c>
      <c r="E20" s="49">
        <v>42461.25</v>
      </c>
      <c r="F20" s="47">
        <v>108461.25</v>
      </c>
      <c r="G20" s="47">
        <v>111061.25</v>
      </c>
      <c r="H20" s="48" t="s">
        <v>658</v>
      </c>
      <c r="I20" s="48">
        <v>66000</v>
      </c>
      <c r="J20" s="49">
        <f>SUM(G20-I20)</f>
        <v>45061.25</v>
      </c>
    </row>
    <row r="21" spans="1:11" x14ac:dyDescent="0.25">
      <c r="A21" s="36" t="s">
        <v>659</v>
      </c>
      <c r="B21" s="37">
        <v>35558</v>
      </c>
      <c r="C21" s="51">
        <v>35993</v>
      </c>
      <c r="D21" s="55" t="s">
        <v>666</v>
      </c>
      <c r="E21" s="56"/>
      <c r="F21" s="56"/>
      <c r="G21" s="57">
        <v>0</v>
      </c>
      <c r="H21" s="58" t="s">
        <v>667</v>
      </c>
      <c r="I21" s="40"/>
      <c r="J21" s="56">
        <f>SUM(G21-I21)</f>
        <v>0</v>
      </c>
      <c r="K21" s="6"/>
    </row>
    <row r="22" spans="1:11" x14ac:dyDescent="0.25">
      <c r="A22" s="43" t="s">
        <v>678</v>
      </c>
      <c r="B22" s="37" t="s">
        <v>739</v>
      </c>
      <c r="C22" s="51"/>
      <c r="D22" s="52" t="s">
        <v>757</v>
      </c>
      <c r="E22" s="59">
        <v>161291.45000000001</v>
      </c>
      <c r="F22" s="56">
        <v>673971.38</v>
      </c>
      <c r="G22" s="413">
        <v>688438</v>
      </c>
      <c r="H22" s="60"/>
      <c r="I22" s="413">
        <v>202829</v>
      </c>
      <c r="J22" s="56">
        <f>SUM(G22-I22)</f>
        <v>485609</v>
      </c>
    </row>
    <row r="23" spans="1:11" x14ac:dyDescent="0.25">
      <c r="A23" s="61"/>
      <c r="B23" s="44" t="s">
        <v>608</v>
      </c>
      <c r="C23" s="45"/>
      <c r="D23" s="46" t="s">
        <v>666</v>
      </c>
      <c r="E23" s="49"/>
      <c r="F23" s="59">
        <v>5349871.9800000004</v>
      </c>
      <c r="G23" s="59"/>
      <c r="H23" s="60"/>
      <c r="I23" s="59"/>
      <c r="J23" s="56"/>
    </row>
    <row r="24" spans="1:11" x14ac:dyDescent="0.25">
      <c r="A24" s="36" t="s">
        <v>609</v>
      </c>
      <c r="B24" s="37">
        <v>35558</v>
      </c>
      <c r="C24" s="51">
        <v>35972</v>
      </c>
      <c r="D24" s="52"/>
      <c r="E24" s="62"/>
      <c r="F24" s="42"/>
      <c r="G24" s="42"/>
      <c r="H24" s="58"/>
      <c r="I24" s="40"/>
      <c r="J24" s="40"/>
      <c r="K24" s="6"/>
    </row>
    <row r="25" spans="1:11" x14ac:dyDescent="0.25">
      <c r="A25" s="43" t="s">
        <v>610</v>
      </c>
      <c r="B25" s="44" t="s">
        <v>611</v>
      </c>
      <c r="C25" s="45">
        <v>37330</v>
      </c>
      <c r="D25" s="52" t="s">
        <v>757</v>
      </c>
      <c r="E25" s="62">
        <v>33957.5</v>
      </c>
      <c r="F25" s="49">
        <v>33957.5</v>
      </c>
      <c r="G25" s="49">
        <v>33395</v>
      </c>
      <c r="H25" s="63" t="s">
        <v>758</v>
      </c>
      <c r="I25" s="47"/>
      <c r="J25" s="47">
        <f>SUM(G25-I25)</f>
        <v>33395</v>
      </c>
    </row>
    <row r="26" spans="1:11" x14ac:dyDescent="0.25">
      <c r="A26" s="36"/>
      <c r="B26" s="37" t="s">
        <v>438</v>
      </c>
      <c r="C26" s="64"/>
      <c r="D26" s="65"/>
      <c r="E26" s="54"/>
      <c r="F26" s="3"/>
      <c r="G26" s="3"/>
      <c r="I26" s="3"/>
      <c r="J26" s="3"/>
    </row>
    <row r="27" spans="1:11" x14ac:dyDescent="0.25">
      <c r="A27" s="43"/>
      <c r="B27" s="44" t="s">
        <v>671</v>
      </c>
      <c r="C27" s="66">
        <v>37330</v>
      </c>
      <c r="D27" s="67" t="s">
        <v>757</v>
      </c>
      <c r="E27" s="47">
        <v>144561.5</v>
      </c>
      <c r="F27" s="47">
        <v>676297.5</v>
      </c>
      <c r="G27" s="47">
        <v>679672.5</v>
      </c>
      <c r="H27" s="48" t="s">
        <v>758</v>
      </c>
      <c r="I27" s="47">
        <v>531736</v>
      </c>
      <c r="J27" s="47">
        <f>SUM(G27-I27)</f>
        <v>147936.5</v>
      </c>
    </row>
    <row r="28" spans="1:11" x14ac:dyDescent="0.25">
      <c r="A28" s="68"/>
      <c r="B28" s="398">
        <v>37012</v>
      </c>
      <c r="C28" s="399"/>
      <c r="D28" s="65"/>
      <c r="E28" s="40"/>
      <c r="F28" s="40"/>
      <c r="G28" s="40"/>
      <c r="H28" s="41"/>
      <c r="I28" s="40"/>
      <c r="J28" s="42"/>
    </row>
    <row r="29" spans="1:11" x14ac:dyDescent="0.25">
      <c r="A29" s="43"/>
      <c r="B29" s="44" t="s">
        <v>557</v>
      </c>
      <c r="C29" s="400">
        <v>37330</v>
      </c>
      <c r="D29" s="67" t="s">
        <v>757</v>
      </c>
      <c r="E29" s="47">
        <v>10165</v>
      </c>
      <c r="F29" s="47">
        <v>10165</v>
      </c>
      <c r="G29" s="47">
        <v>9977.5</v>
      </c>
      <c r="H29" s="48"/>
      <c r="I29" s="47"/>
      <c r="J29" s="47">
        <f>SUM(G29-I29)</f>
        <v>9977.5</v>
      </c>
    </row>
    <row r="30" spans="1:11" x14ac:dyDescent="0.25">
      <c r="A30" s="36" t="s">
        <v>761</v>
      </c>
      <c r="B30" s="37">
        <v>35922</v>
      </c>
      <c r="C30" s="51"/>
      <c r="D30" s="52"/>
      <c r="E30" s="59"/>
      <c r="F30" s="59"/>
      <c r="G30" s="59"/>
      <c r="H30" s="62"/>
      <c r="I30" s="59"/>
      <c r="J30" s="56"/>
    </row>
    <row r="31" spans="1:11" x14ac:dyDescent="0.25">
      <c r="A31" s="43" t="s">
        <v>762</v>
      </c>
      <c r="B31" s="44" t="s">
        <v>591</v>
      </c>
      <c r="C31" s="45">
        <v>36951</v>
      </c>
      <c r="D31" s="46" t="s">
        <v>757</v>
      </c>
      <c r="E31" s="59">
        <v>95328.75</v>
      </c>
      <c r="F31" s="59">
        <v>95328.75</v>
      </c>
      <c r="G31" s="59">
        <v>98528.75</v>
      </c>
      <c r="H31" s="62" t="s">
        <v>607</v>
      </c>
      <c r="I31" s="59"/>
      <c r="J31" s="56">
        <f>SUM(G31-I31)</f>
        <v>98528.75</v>
      </c>
    </row>
    <row r="32" spans="1:11" x14ac:dyDescent="0.25">
      <c r="A32" s="68" t="s">
        <v>530</v>
      </c>
      <c r="B32" s="69">
        <v>36426</v>
      </c>
      <c r="C32" s="38">
        <v>36651</v>
      </c>
      <c r="D32" s="70"/>
      <c r="E32" s="42"/>
      <c r="F32" s="40"/>
      <c r="G32" s="40"/>
      <c r="H32" s="41"/>
      <c r="I32" s="40"/>
      <c r="J32" s="40"/>
    </row>
    <row r="33" spans="1:13" x14ac:dyDescent="0.25">
      <c r="A33" s="43" t="s">
        <v>592</v>
      </c>
      <c r="B33" s="46" t="s">
        <v>593</v>
      </c>
      <c r="C33" s="45">
        <v>36951</v>
      </c>
      <c r="D33" s="71" t="s">
        <v>757</v>
      </c>
      <c r="E33" s="49">
        <v>99736.97</v>
      </c>
      <c r="F33" s="47">
        <v>110818.75</v>
      </c>
      <c r="G33" s="47">
        <v>113618.75</v>
      </c>
      <c r="H33" s="48"/>
      <c r="I33" s="47">
        <v>11361.88</v>
      </c>
      <c r="J33" s="47">
        <f>SUM(G33-I33)</f>
        <v>102256.87</v>
      </c>
    </row>
    <row r="34" spans="1:13" x14ac:dyDescent="0.25">
      <c r="A34" s="36" t="s">
        <v>594</v>
      </c>
      <c r="B34" s="50">
        <v>36650</v>
      </c>
      <c r="C34" s="51">
        <v>36791</v>
      </c>
      <c r="D34" s="52"/>
      <c r="E34" s="42"/>
      <c r="F34" s="40"/>
      <c r="G34" s="40"/>
      <c r="H34" s="41"/>
      <c r="I34" s="40"/>
      <c r="J34" s="40"/>
    </row>
    <row r="35" spans="1:13" x14ac:dyDescent="0.25">
      <c r="A35" s="43" t="s">
        <v>595</v>
      </c>
      <c r="B35" s="2" t="s">
        <v>464</v>
      </c>
      <c r="C35" s="45">
        <v>36951</v>
      </c>
      <c r="D35" s="46" t="s">
        <v>757</v>
      </c>
      <c r="E35" s="49">
        <v>29912.5</v>
      </c>
      <c r="F35" s="47">
        <v>29912.5</v>
      </c>
      <c r="G35" s="47">
        <v>29112.5</v>
      </c>
      <c r="H35" s="48"/>
      <c r="I35" s="47">
        <v>0</v>
      </c>
      <c r="J35" s="47">
        <f>SUM(G35-I35)</f>
        <v>29112.5</v>
      </c>
    </row>
    <row r="36" spans="1:13" x14ac:dyDescent="0.25">
      <c r="A36" s="43"/>
      <c r="B36" s="428" t="s">
        <v>596</v>
      </c>
      <c r="C36" s="429"/>
      <c r="D36" s="429"/>
      <c r="E36" s="430">
        <f>SUM(E17:E35)</f>
        <v>606528.92000000004</v>
      </c>
      <c r="F36" s="431">
        <f>SUM(F17:F35)</f>
        <v>7088784.6100000003</v>
      </c>
      <c r="G36" s="431">
        <f>SUM(G17:G35)</f>
        <v>1763804.25</v>
      </c>
      <c r="H36" s="432">
        <f>SUM(H17:H31)</f>
        <v>0</v>
      </c>
      <c r="I36" s="432">
        <f>SUM(I17:I35)</f>
        <v>822812.88</v>
      </c>
      <c r="J36" s="430">
        <f>SUM(J17:J35)</f>
        <v>940991.37</v>
      </c>
      <c r="L36" s="6"/>
    </row>
    <row r="37" spans="1:13" s="4" customFormat="1" x14ac:dyDescent="0.25">
      <c r="B37" s="4" t="s">
        <v>478</v>
      </c>
      <c r="C37" s="22"/>
      <c r="D37" s="1"/>
      <c r="E37" s="1"/>
      <c r="F37" s="1"/>
      <c r="H37" s="1"/>
      <c r="I37" s="1"/>
      <c r="J37" s="1"/>
      <c r="K37" s="1"/>
      <c r="L37" s="1"/>
      <c r="M37" s="1"/>
    </row>
    <row r="38" spans="1:13" x14ac:dyDescent="0.25">
      <c r="B38" s="1" t="s">
        <v>612</v>
      </c>
      <c r="C38" s="24"/>
      <c r="D38" s="23"/>
      <c r="E38" s="23"/>
      <c r="F38" s="23"/>
      <c r="G38" s="23"/>
      <c r="H38" s="23"/>
      <c r="I38" s="23"/>
      <c r="J38" s="23"/>
    </row>
    <row r="39" spans="1:13" ht="9" customHeight="1" x14ac:dyDescent="0.25">
      <c r="B39" s="1" t="s">
        <v>613</v>
      </c>
      <c r="C39" s="24"/>
      <c r="D39" s="23"/>
      <c r="E39" s="23"/>
      <c r="F39" s="23"/>
      <c r="G39" s="23"/>
      <c r="H39" s="23"/>
      <c r="I39" s="23"/>
      <c r="J39" s="23"/>
    </row>
    <row r="40" spans="1:13" x14ac:dyDescent="0.25">
      <c r="B40" s="1" t="s">
        <v>771</v>
      </c>
      <c r="C40" s="24"/>
      <c r="D40" s="23"/>
      <c r="E40" s="23"/>
      <c r="F40" s="23"/>
      <c r="G40" s="23"/>
      <c r="H40" s="23"/>
      <c r="I40" s="23"/>
      <c r="J40" s="23"/>
    </row>
    <row r="41" spans="1:13" x14ac:dyDescent="0.25">
      <c r="B41" s="1" t="s">
        <v>772</v>
      </c>
      <c r="C41" s="24"/>
      <c r="D41" s="23"/>
      <c r="E41" s="23"/>
      <c r="F41" s="23"/>
      <c r="G41" s="23"/>
      <c r="H41" s="23"/>
      <c r="I41" s="23"/>
      <c r="J41" s="23"/>
    </row>
    <row r="42" spans="1:13" x14ac:dyDescent="0.25">
      <c r="B42" s="1" t="s">
        <v>773</v>
      </c>
      <c r="C42" s="26">
        <v>225000</v>
      </c>
      <c r="D42" s="27"/>
      <c r="E42" s="27"/>
      <c r="F42" s="27"/>
      <c r="G42" s="27"/>
      <c r="H42" s="27"/>
      <c r="I42" s="27"/>
      <c r="J42" s="27"/>
    </row>
    <row r="43" spans="1:13" x14ac:dyDescent="0.25">
      <c r="B43" s="4" t="s">
        <v>774</v>
      </c>
      <c r="C43" s="1"/>
    </row>
    <row r="44" spans="1:13" x14ac:dyDescent="0.25">
      <c r="B44" s="1" t="s">
        <v>849</v>
      </c>
      <c r="C44" s="1"/>
      <c r="D44" s="72"/>
    </row>
    <row r="45" spans="1:13" ht="9.75" customHeight="1" x14ac:dyDescent="0.25">
      <c r="B45" s="1" t="s">
        <v>614</v>
      </c>
      <c r="C45" s="1"/>
      <c r="D45" s="23"/>
      <c r="E45" s="73"/>
      <c r="F45" s="23"/>
      <c r="J45" s="22"/>
    </row>
    <row r="46" spans="1:13" ht="2.25" customHeight="1" x14ac:dyDescent="0.25"/>
    <row r="47" spans="1:13" ht="10.5" customHeight="1" x14ac:dyDescent="0.25">
      <c r="C47" s="1"/>
      <c r="D47" s="72"/>
      <c r="E47" s="32" t="s">
        <v>132</v>
      </c>
      <c r="F47" s="32" t="s">
        <v>26</v>
      </c>
      <c r="G47" s="32" t="s">
        <v>131</v>
      </c>
      <c r="H47" s="32"/>
      <c r="I47" s="32" t="s">
        <v>24</v>
      </c>
      <c r="J47" s="32" t="s">
        <v>25</v>
      </c>
    </row>
    <row r="48" spans="1:13" ht="10.5" customHeight="1" x14ac:dyDescent="0.25">
      <c r="B48" s="424"/>
      <c r="C48" s="425"/>
      <c r="D48" s="425"/>
      <c r="E48" s="425"/>
      <c r="F48" s="425"/>
      <c r="G48" s="426" t="s">
        <v>19</v>
      </c>
      <c r="H48" s="425"/>
      <c r="I48" s="425"/>
      <c r="J48" s="427"/>
      <c r="K48" s="453" t="s">
        <v>23</v>
      </c>
    </row>
    <row r="49" spans="2:11" x14ac:dyDescent="0.25">
      <c r="B49" s="37">
        <v>31904</v>
      </c>
      <c r="C49" s="38">
        <v>32021</v>
      </c>
      <c r="D49" s="39" t="s">
        <v>757</v>
      </c>
      <c r="E49" s="40">
        <v>-10886</v>
      </c>
      <c r="F49" s="40">
        <v>0</v>
      </c>
      <c r="G49" s="40">
        <v>0</v>
      </c>
      <c r="H49" s="41" t="s">
        <v>758</v>
      </c>
      <c r="I49" s="41">
        <v>10886</v>
      </c>
      <c r="J49" s="42">
        <f>SUM(G49-I49)</f>
        <v>-10886</v>
      </c>
      <c r="K49" s="65" t="s">
        <v>455</v>
      </c>
    </row>
    <row r="50" spans="2:11" x14ac:dyDescent="0.25">
      <c r="B50" s="44" t="s">
        <v>529</v>
      </c>
      <c r="C50" s="45"/>
      <c r="D50" s="46"/>
      <c r="E50" s="47"/>
      <c r="F50" s="47"/>
      <c r="G50" s="47"/>
      <c r="H50" s="48"/>
      <c r="I50" s="48"/>
      <c r="J50" s="49"/>
      <c r="K50" s="55"/>
    </row>
    <row r="51" spans="2:11" x14ac:dyDescent="0.25">
      <c r="B51" s="50">
        <v>35368</v>
      </c>
      <c r="C51" s="51"/>
      <c r="D51" s="52"/>
      <c r="E51" s="53"/>
      <c r="F51" s="53"/>
      <c r="G51" s="53"/>
      <c r="I51" s="54"/>
      <c r="J51" s="53"/>
      <c r="K51" s="55"/>
    </row>
    <row r="52" spans="2:11" x14ac:dyDescent="0.25">
      <c r="B52" s="44" t="s">
        <v>657</v>
      </c>
      <c r="C52" s="45">
        <v>36951</v>
      </c>
      <c r="D52" s="46" t="s">
        <v>757</v>
      </c>
      <c r="E52" s="49">
        <v>45061.25</v>
      </c>
      <c r="F52" s="47">
        <v>111061.25</v>
      </c>
      <c r="G52" s="47">
        <v>108461.25</v>
      </c>
      <c r="H52" s="48" t="s">
        <v>658</v>
      </c>
      <c r="I52" s="48">
        <v>66000</v>
      </c>
      <c r="J52" s="49">
        <f>SUM(G52-I52)</f>
        <v>42461.25</v>
      </c>
      <c r="K52" s="55" t="s">
        <v>455</v>
      </c>
    </row>
    <row r="53" spans="2:11" x14ac:dyDescent="0.25">
      <c r="B53" s="37">
        <v>35558</v>
      </c>
      <c r="C53" s="51">
        <v>35993</v>
      </c>
      <c r="D53" s="55" t="s">
        <v>666</v>
      </c>
      <c r="E53" s="56"/>
      <c r="F53" s="56"/>
      <c r="G53" s="57">
        <v>0</v>
      </c>
      <c r="H53" s="58" t="s">
        <v>667</v>
      </c>
      <c r="I53" s="40"/>
      <c r="J53" s="56">
        <f>SUM(G53-I53)</f>
        <v>0</v>
      </c>
      <c r="K53" s="55"/>
    </row>
    <row r="54" spans="2:11" x14ac:dyDescent="0.25">
      <c r="B54" s="37" t="s">
        <v>739</v>
      </c>
      <c r="C54" s="51"/>
      <c r="D54" s="52" t="s">
        <v>757</v>
      </c>
      <c r="E54" s="59">
        <v>485609</v>
      </c>
      <c r="F54" s="56">
        <v>673971</v>
      </c>
      <c r="G54" s="59">
        <v>695122.68</v>
      </c>
      <c r="H54" s="60"/>
      <c r="I54" s="59">
        <v>367854.12</v>
      </c>
      <c r="J54" s="56">
        <v>327268.56</v>
      </c>
      <c r="K54" s="55" t="s">
        <v>455</v>
      </c>
    </row>
    <row r="55" spans="2:11" x14ac:dyDescent="0.25">
      <c r="B55" s="44"/>
      <c r="C55" s="45"/>
      <c r="D55" s="46" t="s">
        <v>666</v>
      </c>
      <c r="E55" s="49"/>
      <c r="F55" s="59"/>
      <c r="G55" s="59"/>
      <c r="H55" s="60"/>
      <c r="I55" s="59"/>
      <c r="J55" s="56"/>
      <c r="K55" s="55"/>
    </row>
    <row r="56" spans="2:11" x14ac:dyDescent="0.25">
      <c r="B56" s="37">
        <v>35558</v>
      </c>
      <c r="C56" s="51">
        <v>35972</v>
      </c>
      <c r="D56" s="52"/>
      <c r="E56" s="62"/>
      <c r="F56" s="42"/>
      <c r="G56" s="42"/>
      <c r="H56" s="58"/>
      <c r="I56" s="40"/>
      <c r="J56" s="40"/>
      <c r="K56" s="55"/>
    </row>
    <row r="57" spans="2:11" x14ac:dyDescent="0.25">
      <c r="B57" s="44" t="s">
        <v>611</v>
      </c>
      <c r="C57" s="45">
        <v>37330</v>
      </c>
      <c r="D57" s="52" t="s">
        <v>757</v>
      </c>
      <c r="E57" s="62">
        <v>33395</v>
      </c>
      <c r="F57" s="49">
        <v>33395</v>
      </c>
      <c r="G57" s="49">
        <v>37832.5</v>
      </c>
      <c r="H57" s="63" t="s">
        <v>758</v>
      </c>
      <c r="I57" s="47"/>
      <c r="J57" s="47">
        <f>SUM(G57-I57)</f>
        <v>37832.5</v>
      </c>
      <c r="K57" s="55" t="s">
        <v>455</v>
      </c>
    </row>
    <row r="58" spans="2:11" x14ac:dyDescent="0.25">
      <c r="B58" s="37" t="s">
        <v>438</v>
      </c>
      <c r="C58" s="64"/>
      <c r="D58" s="65"/>
      <c r="E58" s="54"/>
      <c r="F58" s="3"/>
      <c r="G58" s="3"/>
      <c r="I58" s="3"/>
      <c r="J58" s="3"/>
      <c r="K58" s="55"/>
    </row>
    <row r="59" spans="2:11" x14ac:dyDescent="0.25">
      <c r="B59" s="44" t="s">
        <v>370</v>
      </c>
      <c r="C59" s="66">
        <v>37330</v>
      </c>
      <c r="D59" s="67" t="s">
        <v>757</v>
      </c>
      <c r="E59" s="47">
        <v>147936.5</v>
      </c>
      <c r="F59" s="47">
        <v>679672.5</v>
      </c>
      <c r="G59" s="47">
        <v>682485</v>
      </c>
      <c r="H59" s="48" t="s">
        <v>758</v>
      </c>
      <c r="I59" s="47">
        <v>531736</v>
      </c>
      <c r="J59" s="47">
        <v>150749</v>
      </c>
      <c r="K59" s="55" t="s">
        <v>455</v>
      </c>
    </row>
    <row r="60" spans="2:11" x14ac:dyDescent="0.25">
      <c r="B60" s="398">
        <v>37012</v>
      </c>
      <c r="C60" s="399"/>
      <c r="D60" s="65"/>
      <c r="E60" s="40"/>
      <c r="F60" s="40"/>
      <c r="G60" s="40"/>
      <c r="H60" s="41"/>
      <c r="I60" s="40"/>
      <c r="J60" s="42"/>
      <c r="K60" s="55"/>
    </row>
    <row r="61" spans="2:11" x14ac:dyDescent="0.25">
      <c r="B61" s="44" t="s">
        <v>557</v>
      </c>
      <c r="C61" s="400">
        <v>37330</v>
      </c>
      <c r="D61" s="67" t="s">
        <v>757</v>
      </c>
      <c r="E61" s="47">
        <v>9977.5</v>
      </c>
      <c r="F61" s="47">
        <v>0</v>
      </c>
      <c r="G61" s="47">
        <v>9790</v>
      </c>
      <c r="H61" s="48"/>
      <c r="I61" s="47"/>
      <c r="J61" s="47">
        <f>SUM(G61-I61)</f>
        <v>9790</v>
      </c>
      <c r="K61" s="55" t="s">
        <v>455</v>
      </c>
    </row>
    <row r="62" spans="2:11" x14ac:dyDescent="0.25">
      <c r="B62" s="37">
        <v>35922</v>
      </c>
      <c r="C62" s="51"/>
      <c r="D62" s="52"/>
      <c r="E62" s="59"/>
      <c r="F62" s="59"/>
      <c r="G62" s="59"/>
      <c r="H62" s="62"/>
      <c r="I62" s="59"/>
      <c r="J62" s="56"/>
      <c r="K62" s="55"/>
    </row>
    <row r="63" spans="2:11" x14ac:dyDescent="0.25">
      <c r="B63" s="44" t="s">
        <v>591</v>
      </c>
      <c r="C63" s="45">
        <v>36951</v>
      </c>
      <c r="D63" s="46" t="s">
        <v>757</v>
      </c>
      <c r="E63" s="59">
        <v>98528.75</v>
      </c>
      <c r="F63" s="59">
        <v>96528.75</v>
      </c>
      <c r="G63" s="59">
        <v>96528.75</v>
      </c>
      <c r="H63" s="62" t="s">
        <v>607</v>
      </c>
      <c r="I63" s="59"/>
      <c r="J63" s="56">
        <f>SUM(G63-I63)</f>
        <v>96528.75</v>
      </c>
      <c r="K63" s="55" t="s">
        <v>455</v>
      </c>
    </row>
    <row r="64" spans="2:11" x14ac:dyDescent="0.25">
      <c r="B64" s="69">
        <v>36426</v>
      </c>
      <c r="C64" s="38">
        <v>36651</v>
      </c>
      <c r="D64" s="70"/>
      <c r="E64" s="42"/>
      <c r="F64" s="40"/>
      <c r="G64" s="40"/>
      <c r="H64" s="41"/>
      <c r="I64" s="40"/>
      <c r="J64" s="40"/>
      <c r="K64" s="55"/>
    </row>
    <row r="65" spans="2:11" x14ac:dyDescent="0.25">
      <c r="B65" s="46" t="s">
        <v>593</v>
      </c>
      <c r="C65" s="45">
        <v>36951</v>
      </c>
      <c r="D65" s="71" t="s">
        <v>757</v>
      </c>
      <c r="E65" s="49">
        <v>113618.75</v>
      </c>
      <c r="F65" s="47">
        <v>102256.88</v>
      </c>
      <c r="G65" s="47">
        <v>111218.75</v>
      </c>
      <c r="H65" s="48"/>
      <c r="I65" s="47">
        <v>11121.88</v>
      </c>
      <c r="J65" s="47">
        <f>SUM(G65-I65)</f>
        <v>100096.87</v>
      </c>
      <c r="K65" s="55" t="s">
        <v>455</v>
      </c>
    </row>
    <row r="66" spans="2:11" x14ac:dyDescent="0.25">
      <c r="B66" s="50">
        <v>36650</v>
      </c>
      <c r="C66" s="51">
        <v>36791</v>
      </c>
      <c r="D66" s="52"/>
      <c r="E66" s="42"/>
      <c r="F66" s="40"/>
      <c r="G66" s="40"/>
      <c r="H66" s="41"/>
      <c r="I66" s="40"/>
      <c r="J66" s="40"/>
      <c r="K66" s="55"/>
    </row>
    <row r="67" spans="2:11" x14ac:dyDescent="0.25">
      <c r="B67" s="2" t="s">
        <v>464</v>
      </c>
      <c r="C67" s="45">
        <v>36951</v>
      </c>
      <c r="D67" s="46" t="s">
        <v>757</v>
      </c>
      <c r="E67" s="49">
        <v>29112.5</v>
      </c>
      <c r="F67" s="47">
        <v>29912.5</v>
      </c>
      <c r="G67" s="47">
        <v>28312.5</v>
      </c>
      <c r="H67" s="48"/>
      <c r="I67" s="47">
        <v>0</v>
      </c>
      <c r="J67" s="47">
        <f>SUM(G67-I67)</f>
        <v>28312.5</v>
      </c>
      <c r="K67" s="55" t="s">
        <v>455</v>
      </c>
    </row>
    <row r="68" spans="2:11" x14ac:dyDescent="0.25">
      <c r="B68" s="428" t="s">
        <v>596</v>
      </c>
      <c r="C68" s="429"/>
      <c r="D68" s="429"/>
      <c r="E68" s="430">
        <f>SUM(E49:E67)</f>
        <v>952353.25</v>
      </c>
      <c r="F68" s="431">
        <f>SUM(F49:F67)</f>
        <v>1726797.88</v>
      </c>
      <c r="G68" s="431">
        <f>SUM(G49:G67)</f>
        <v>1769751.4300000002</v>
      </c>
      <c r="H68" s="432">
        <f>SUM(H49:H63)</f>
        <v>0</v>
      </c>
      <c r="I68" s="432">
        <f>SUM(I49:I67)</f>
        <v>987598</v>
      </c>
      <c r="J68" s="430">
        <f>SUM(J49:J67)</f>
        <v>782153.43</v>
      </c>
      <c r="K68" s="67" t="s">
        <v>188</v>
      </c>
    </row>
    <row r="69" spans="2:11" x14ac:dyDescent="0.25">
      <c r="C69" s="1"/>
    </row>
    <row r="70" spans="2:11" x14ac:dyDescent="0.25">
      <c r="C70" s="1"/>
    </row>
    <row r="71" spans="2:11" x14ac:dyDescent="0.25">
      <c r="C71" s="1"/>
      <c r="D71" s="72"/>
      <c r="E71" s="32" t="s">
        <v>255</v>
      </c>
      <c r="F71" s="32" t="s">
        <v>256</v>
      </c>
      <c r="G71" s="32" t="s">
        <v>258</v>
      </c>
      <c r="H71" s="32"/>
      <c r="I71" s="32" t="s">
        <v>24</v>
      </c>
      <c r="J71" s="32" t="s">
        <v>257</v>
      </c>
    </row>
    <row r="72" spans="2:11" x14ac:dyDescent="0.25">
      <c r="B72" s="424"/>
      <c r="C72" s="425"/>
      <c r="D72" s="425"/>
      <c r="E72" s="425"/>
      <c r="F72" s="425"/>
      <c r="G72" s="426" t="s">
        <v>394</v>
      </c>
      <c r="H72" s="425"/>
      <c r="I72" s="425"/>
      <c r="J72" s="427"/>
      <c r="K72" s="453" t="s">
        <v>23</v>
      </c>
    </row>
    <row r="73" spans="2:11" x14ac:dyDescent="0.25">
      <c r="B73" s="37">
        <v>31904</v>
      </c>
      <c r="C73" s="38">
        <v>32021</v>
      </c>
      <c r="D73" s="39" t="s">
        <v>757</v>
      </c>
      <c r="E73" s="40">
        <v>-10886</v>
      </c>
      <c r="F73" s="40">
        <v>0</v>
      </c>
      <c r="G73" s="40">
        <v>0</v>
      </c>
      <c r="H73" s="41" t="s">
        <v>758</v>
      </c>
      <c r="I73" s="41">
        <v>10886</v>
      </c>
      <c r="J73" s="42">
        <f>SUM(G73-I73)</f>
        <v>-10886</v>
      </c>
      <c r="K73" s="65" t="s">
        <v>455</v>
      </c>
    </row>
    <row r="74" spans="2:11" x14ac:dyDescent="0.25">
      <c r="B74" s="44" t="s">
        <v>529</v>
      </c>
      <c r="C74" s="45"/>
      <c r="D74" s="46"/>
      <c r="E74" s="47"/>
      <c r="F74" s="47"/>
      <c r="G74" s="47"/>
      <c r="H74" s="48"/>
      <c r="I74" s="48"/>
      <c r="J74" s="49"/>
      <c r="K74" s="55"/>
    </row>
    <row r="75" spans="2:11" x14ac:dyDescent="0.25">
      <c r="B75" s="50">
        <v>35368</v>
      </c>
      <c r="C75" s="51"/>
      <c r="D75" s="52"/>
      <c r="E75" s="53"/>
      <c r="F75" s="53"/>
      <c r="G75" s="53"/>
      <c r="I75" s="54"/>
      <c r="J75" s="53"/>
      <c r="K75" s="55"/>
    </row>
    <row r="76" spans="2:11" x14ac:dyDescent="0.25">
      <c r="B76" s="44" t="s">
        <v>657</v>
      </c>
      <c r="C76" s="45">
        <v>36951</v>
      </c>
      <c r="D76" s="46" t="s">
        <v>757</v>
      </c>
      <c r="E76" s="49">
        <v>42461.25</v>
      </c>
      <c r="F76" s="47"/>
      <c r="G76" s="47">
        <v>110861.25</v>
      </c>
      <c r="H76" s="48" t="s">
        <v>658</v>
      </c>
      <c r="I76" s="48">
        <v>66000</v>
      </c>
      <c r="J76" s="49">
        <v>44861.25</v>
      </c>
      <c r="K76" s="55" t="s">
        <v>455</v>
      </c>
    </row>
    <row r="77" spans="2:11" x14ac:dyDescent="0.25">
      <c r="B77" s="37">
        <v>35558</v>
      </c>
      <c r="C77" s="51">
        <v>35993</v>
      </c>
      <c r="D77" s="55" t="s">
        <v>666</v>
      </c>
      <c r="E77" s="56">
        <v>0</v>
      </c>
      <c r="F77" s="56"/>
      <c r="G77" s="57">
        <v>0</v>
      </c>
      <c r="H77" s="58" t="s">
        <v>667</v>
      </c>
      <c r="I77" s="40"/>
      <c r="J77" s="56">
        <f>SUM(G77-I77)</f>
        <v>0</v>
      </c>
      <c r="K77" s="55"/>
    </row>
    <row r="78" spans="2:11" x14ac:dyDescent="0.25">
      <c r="B78" s="37" t="s">
        <v>739</v>
      </c>
      <c r="C78" s="51"/>
      <c r="D78" s="52" t="s">
        <v>757</v>
      </c>
      <c r="E78" s="59">
        <v>327268.56</v>
      </c>
      <c r="F78" s="56"/>
      <c r="G78" s="59">
        <v>696342</v>
      </c>
      <c r="H78" s="60"/>
      <c r="I78" s="59">
        <v>374364.39</v>
      </c>
      <c r="J78" s="56">
        <v>334829</v>
      </c>
      <c r="K78" s="55" t="s">
        <v>455</v>
      </c>
    </row>
    <row r="79" spans="2:11" x14ac:dyDescent="0.25">
      <c r="B79" s="44"/>
      <c r="C79" s="45"/>
      <c r="D79" s="46" t="s">
        <v>666</v>
      </c>
      <c r="E79" s="49"/>
      <c r="F79" s="59"/>
      <c r="G79" s="59"/>
      <c r="H79" s="60"/>
      <c r="I79" s="59"/>
      <c r="J79" s="56"/>
      <c r="K79" s="55"/>
    </row>
    <row r="80" spans="2:11" x14ac:dyDescent="0.25">
      <c r="B80" s="37">
        <v>35558</v>
      </c>
      <c r="C80" s="51">
        <v>35972</v>
      </c>
      <c r="D80" s="52"/>
      <c r="E80" s="62"/>
      <c r="F80" s="42"/>
      <c r="G80" s="42"/>
      <c r="H80" s="58"/>
      <c r="I80" s="40"/>
      <c r="J80" s="40"/>
      <c r="K80" s="55"/>
    </row>
    <row r="81" spans="2:11" x14ac:dyDescent="0.25">
      <c r="B81" s="44" t="s">
        <v>611</v>
      </c>
      <c r="C81" s="45">
        <v>37330</v>
      </c>
      <c r="D81" s="52" t="s">
        <v>757</v>
      </c>
      <c r="E81" s="62">
        <v>37832.5</v>
      </c>
      <c r="F81" s="49"/>
      <c r="G81" s="49">
        <v>37032</v>
      </c>
      <c r="H81" s="63" t="s">
        <v>758</v>
      </c>
      <c r="I81" s="47"/>
      <c r="J81" s="47">
        <v>37032.5</v>
      </c>
      <c r="K81" s="55" t="s">
        <v>455</v>
      </c>
    </row>
    <row r="82" spans="2:11" x14ac:dyDescent="0.25">
      <c r="B82" s="37" t="s">
        <v>438</v>
      </c>
      <c r="C82" s="64"/>
      <c r="D82" s="65"/>
      <c r="E82" s="54"/>
      <c r="F82" s="3"/>
      <c r="G82" s="3"/>
      <c r="I82" s="3"/>
      <c r="J82" s="3"/>
      <c r="K82" s="55"/>
    </row>
    <row r="83" spans="2:11" x14ac:dyDescent="0.25">
      <c r="B83" s="44" t="s">
        <v>370</v>
      </c>
      <c r="C83" s="66">
        <v>37330</v>
      </c>
      <c r="D83" s="67" t="s">
        <v>757</v>
      </c>
      <c r="E83" s="47">
        <v>236006</v>
      </c>
      <c r="F83" s="47"/>
      <c r="G83" s="47">
        <v>683885</v>
      </c>
      <c r="H83" s="48" t="s">
        <v>758</v>
      </c>
      <c r="I83" s="47">
        <v>419170</v>
      </c>
      <c r="J83" s="47">
        <v>264715</v>
      </c>
      <c r="K83" s="55" t="s">
        <v>455</v>
      </c>
    </row>
    <row r="84" spans="2:11" x14ac:dyDescent="0.25">
      <c r="B84" s="398">
        <v>37012</v>
      </c>
      <c r="C84" s="399"/>
      <c r="D84" s="65"/>
      <c r="E84" s="40"/>
      <c r="F84" s="40"/>
      <c r="G84" s="40"/>
      <c r="H84" s="41"/>
      <c r="I84" s="40"/>
      <c r="J84" s="42"/>
      <c r="K84" s="55"/>
    </row>
    <row r="85" spans="2:11" x14ac:dyDescent="0.25">
      <c r="B85" s="44" t="s">
        <v>557</v>
      </c>
      <c r="C85" s="400">
        <v>37330</v>
      </c>
      <c r="D85" s="67" t="s">
        <v>757</v>
      </c>
      <c r="E85" s="47">
        <v>9790</v>
      </c>
      <c r="F85" s="47">
        <v>0</v>
      </c>
      <c r="G85" s="47">
        <v>9590</v>
      </c>
      <c r="H85" s="48"/>
      <c r="I85" s="47"/>
      <c r="J85" s="47">
        <v>9590</v>
      </c>
      <c r="K85" s="55" t="s">
        <v>455</v>
      </c>
    </row>
    <row r="86" spans="2:11" x14ac:dyDescent="0.25">
      <c r="B86" s="37">
        <v>35922</v>
      </c>
      <c r="C86" s="51"/>
      <c r="D86" s="52"/>
      <c r="E86" s="59"/>
      <c r="F86" s="59"/>
      <c r="G86" s="59"/>
      <c r="H86" s="62"/>
      <c r="I86" s="59"/>
      <c r="J86" s="56"/>
      <c r="K86" s="55"/>
    </row>
    <row r="87" spans="2:11" x14ac:dyDescent="0.25">
      <c r="B87" s="44" t="s">
        <v>591</v>
      </c>
      <c r="C87" s="45">
        <v>36951</v>
      </c>
      <c r="D87" s="46" t="s">
        <v>757</v>
      </c>
      <c r="E87" s="59">
        <v>96528.75</v>
      </c>
      <c r="F87" s="59"/>
      <c r="G87" s="59">
        <v>99528.75</v>
      </c>
      <c r="H87" s="62" t="s">
        <v>607</v>
      </c>
      <c r="I87" s="59"/>
      <c r="J87" s="56">
        <f>SUM(G87-I87)</f>
        <v>99528.75</v>
      </c>
      <c r="K87" s="55" t="s">
        <v>455</v>
      </c>
    </row>
    <row r="88" spans="2:11" x14ac:dyDescent="0.25">
      <c r="B88" s="69">
        <v>36426</v>
      </c>
      <c r="C88" s="38">
        <v>36651</v>
      </c>
      <c r="D88" s="70"/>
      <c r="E88" s="42"/>
      <c r="F88" s="40"/>
      <c r="G88" s="40"/>
      <c r="H88" s="41"/>
      <c r="I88" s="40"/>
      <c r="J88" s="40"/>
      <c r="K88" s="55"/>
    </row>
    <row r="89" spans="2:11" x14ac:dyDescent="0.25">
      <c r="B89" s="46" t="s">
        <v>593</v>
      </c>
      <c r="C89" s="45">
        <v>36951</v>
      </c>
      <c r="D89" s="71" t="s">
        <v>757</v>
      </c>
      <c r="E89" s="49">
        <v>100096.87</v>
      </c>
      <c r="F89" s="47"/>
      <c r="G89" s="47">
        <v>113818.75</v>
      </c>
      <c r="H89" s="48"/>
      <c r="I89" s="47">
        <v>11381.88</v>
      </c>
      <c r="J89" s="47">
        <f>SUM(G89-I89)</f>
        <v>102436.87</v>
      </c>
      <c r="K89" s="55" t="s">
        <v>455</v>
      </c>
    </row>
    <row r="90" spans="2:11" x14ac:dyDescent="0.25">
      <c r="B90" s="50">
        <v>36650</v>
      </c>
      <c r="C90" s="51">
        <v>36791</v>
      </c>
      <c r="D90" s="52"/>
      <c r="E90" s="42"/>
      <c r="F90" s="40"/>
      <c r="G90" s="40"/>
      <c r="H90" s="41"/>
      <c r="I90" s="40"/>
      <c r="J90" s="40"/>
      <c r="K90" s="55"/>
    </row>
    <row r="91" spans="2:11" x14ac:dyDescent="0.25">
      <c r="B91" s="3" t="s">
        <v>464</v>
      </c>
      <c r="C91" s="51">
        <v>36951</v>
      </c>
      <c r="D91" s="52" t="s">
        <v>757</v>
      </c>
      <c r="E91" s="56">
        <v>28312.5</v>
      </c>
      <c r="F91" s="59"/>
      <c r="G91" s="59">
        <v>27512.5</v>
      </c>
      <c r="H91" s="62"/>
      <c r="I91" s="59">
        <v>0</v>
      </c>
      <c r="J91" s="59">
        <f>SUM(G91-I91)</f>
        <v>27512.5</v>
      </c>
      <c r="K91" s="55" t="s">
        <v>455</v>
      </c>
    </row>
    <row r="92" spans="2:11" x14ac:dyDescent="0.25">
      <c r="B92" s="68"/>
      <c r="C92" s="475"/>
      <c r="D92" s="65"/>
      <c r="E92" s="42"/>
      <c r="F92" s="42"/>
      <c r="G92" s="42"/>
      <c r="H92" s="58"/>
      <c r="I92" s="40"/>
      <c r="J92" s="42"/>
      <c r="K92" s="52"/>
    </row>
    <row r="93" spans="2:11" x14ac:dyDescent="0.25">
      <c r="B93" s="477" t="s">
        <v>263</v>
      </c>
      <c r="C93" s="476"/>
      <c r="D93" s="67"/>
      <c r="E93" s="49"/>
      <c r="F93" s="49"/>
      <c r="G93" s="49"/>
      <c r="H93" s="63"/>
      <c r="I93" s="47"/>
      <c r="J93" s="49">
        <v>25000</v>
      </c>
      <c r="K93" s="52"/>
    </row>
    <row r="94" spans="2:11" x14ac:dyDescent="0.25">
      <c r="B94" s="470" t="s">
        <v>596</v>
      </c>
      <c r="C94" s="471"/>
      <c r="D94" s="471"/>
      <c r="E94" s="472">
        <v>867410.43</v>
      </c>
      <c r="F94" s="473">
        <f>SUM(F73:F91)</f>
        <v>0</v>
      </c>
      <c r="G94" s="473">
        <f>SUM(G73:G91)</f>
        <v>1778570.25</v>
      </c>
      <c r="H94" s="474">
        <f>SUM(H73:H87)</f>
        <v>0</v>
      </c>
      <c r="I94" s="474">
        <f>SUM(I73:I91)</f>
        <v>881802.27</v>
      </c>
      <c r="J94" s="472">
        <f>SUM(J73:J93)</f>
        <v>934619.87</v>
      </c>
      <c r="K94" s="67" t="s">
        <v>188</v>
      </c>
    </row>
    <row r="95" spans="2:11" x14ac:dyDescent="0.25">
      <c r="C95" s="1"/>
    </row>
    <row r="96" spans="2:11" x14ac:dyDescent="0.25">
      <c r="C96" s="1"/>
    </row>
    <row r="97" spans="2:11" x14ac:dyDescent="0.25">
      <c r="C97" s="1"/>
      <c r="D97" s="72"/>
      <c r="E97" s="32" t="s">
        <v>41</v>
      </c>
      <c r="F97" s="32" t="s">
        <v>77</v>
      </c>
      <c r="G97" s="32" t="s">
        <v>78</v>
      </c>
      <c r="H97" s="32"/>
      <c r="I97" s="32" t="s">
        <v>24</v>
      </c>
      <c r="J97" s="32" t="s">
        <v>109</v>
      </c>
    </row>
    <row r="98" spans="2:11" x14ac:dyDescent="0.25">
      <c r="B98" s="424"/>
      <c r="C98" s="425"/>
      <c r="D98" s="425"/>
      <c r="E98" s="425"/>
      <c r="F98" s="425"/>
      <c r="G98" s="426" t="s">
        <v>42</v>
      </c>
      <c r="H98" s="425"/>
      <c r="I98" s="425"/>
      <c r="J98" s="427"/>
      <c r="K98" s="453" t="s">
        <v>23</v>
      </c>
    </row>
    <row r="99" spans="2:11" x14ac:dyDescent="0.25">
      <c r="B99" s="37">
        <v>31904</v>
      </c>
      <c r="C99" s="38">
        <v>32021</v>
      </c>
      <c r="D99" s="39" t="s">
        <v>757</v>
      </c>
      <c r="E99" s="40">
        <v>-10886</v>
      </c>
      <c r="F99" s="40">
        <v>0</v>
      </c>
      <c r="G99" s="40">
        <v>0</v>
      </c>
      <c r="H99" s="41" t="s">
        <v>758</v>
      </c>
      <c r="I99" s="41">
        <v>10886</v>
      </c>
      <c r="J99" s="42">
        <f>SUM(G99-I99)</f>
        <v>-10886</v>
      </c>
      <c r="K99" s="65" t="s">
        <v>455</v>
      </c>
    </row>
    <row r="100" spans="2:11" x14ac:dyDescent="0.25">
      <c r="B100" s="44" t="s">
        <v>529</v>
      </c>
      <c r="C100" s="45"/>
      <c r="D100" s="46"/>
      <c r="E100" s="47"/>
      <c r="F100" s="47"/>
      <c r="G100" s="47"/>
      <c r="H100" s="48"/>
      <c r="I100" s="48"/>
      <c r="J100" s="49"/>
      <c r="K100" s="55"/>
    </row>
    <row r="101" spans="2:11" x14ac:dyDescent="0.25">
      <c r="B101" s="50">
        <v>35368</v>
      </c>
      <c r="C101" s="51"/>
      <c r="D101" s="52"/>
      <c r="E101" s="53"/>
      <c r="F101" s="53"/>
      <c r="G101" s="53"/>
      <c r="I101" s="54"/>
      <c r="J101" s="53"/>
      <c r="K101" s="55"/>
    </row>
    <row r="102" spans="2:11" x14ac:dyDescent="0.25">
      <c r="B102" s="44" t="s">
        <v>657</v>
      </c>
      <c r="C102" s="45">
        <v>36951</v>
      </c>
      <c r="D102" s="46" t="s">
        <v>757</v>
      </c>
      <c r="E102" s="49">
        <v>44861.25</v>
      </c>
      <c r="F102" s="47">
        <v>110861.25</v>
      </c>
      <c r="G102" s="47">
        <v>109967.5</v>
      </c>
      <c r="H102" s="48" t="s">
        <v>658</v>
      </c>
      <c r="I102" s="48">
        <v>66000</v>
      </c>
      <c r="J102" s="49">
        <v>47061.25</v>
      </c>
      <c r="K102" s="55" t="s">
        <v>455</v>
      </c>
    </row>
    <row r="103" spans="2:11" x14ac:dyDescent="0.25">
      <c r="B103" s="37">
        <v>35558</v>
      </c>
      <c r="C103" s="51">
        <v>35993</v>
      </c>
      <c r="D103" s="55" t="s">
        <v>666</v>
      </c>
      <c r="E103" s="56">
        <v>0</v>
      </c>
      <c r="F103" s="56"/>
      <c r="G103" s="57">
        <v>0</v>
      </c>
      <c r="H103" s="58" t="s">
        <v>667</v>
      </c>
      <c r="I103" s="40"/>
      <c r="J103" s="56">
        <f>SUM(G103-I103)</f>
        <v>0</v>
      </c>
      <c r="K103" s="55"/>
    </row>
    <row r="104" spans="2:11" x14ac:dyDescent="0.25">
      <c r="B104" s="37" t="s">
        <v>739</v>
      </c>
      <c r="C104" s="51"/>
      <c r="D104" s="52" t="s">
        <v>757</v>
      </c>
      <c r="E104" s="59">
        <v>334829</v>
      </c>
      <c r="F104" s="59">
        <v>708683.5</v>
      </c>
      <c r="G104" s="59">
        <v>711135.74</v>
      </c>
      <c r="H104" s="60"/>
      <c r="I104" s="59">
        <v>389445.13</v>
      </c>
      <c r="J104" s="57">
        <v>328085.09000000003</v>
      </c>
      <c r="K104" s="55" t="s">
        <v>455</v>
      </c>
    </row>
    <row r="105" spans="2:11" x14ac:dyDescent="0.25">
      <c r="B105" s="44"/>
      <c r="C105" s="45"/>
      <c r="D105" s="46" t="s">
        <v>666</v>
      </c>
      <c r="E105" s="49"/>
      <c r="G105" s="59"/>
      <c r="H105" s="60"/>
      <c r="I105" s="59"/>
      <c r="J105" s="56"/>
      <c r="K105" s="55"/>
    </row>
    <row r="106" spans="2:11" x14ac:dyDescent="0.25">
      <c r="B106" s="37">
        <v>35558</v>
      </c>
      <c r="C106" s="51">
        <v>35972</v>
      </c>
      <c r="D106" s="52"/>
      <c r="E106" s="62"/>
      <c r="F106" s="42"/>
      <c r="G106" s="42"/>
      <c r="H106" s="58"/>
      <c r="I106" s="40"/>
      <c r="J106" s="40"/>
      <c r="K106" s="55"/>
    </row>
    <row r="107" spans="2:11" x14ac:dyDescent="0.25">
      <c r="B107" s="44" t="s">
        <v>611</v>
      </c>
      <c r="C107" s="45">
        <v>37330</v>
      </c>
      <c r="D107" s="52" t="s">
        <v>757</v>
      </c>
      <c r="E107" s="62">
        <v>37032.5</v>
      </c>
      <c r="F107" s="49">
        <v>37032.5</v>
      </c>
      <c r="G107" s="49">
        <v>36182.5</v>
      </c>
      <c r="H107" s="63" t="s">
        <v>758</v>
      </c>
      <c r="I107" s="47"/>
      <c r="J107" s="47">
        <v>36182.5</v>
      </c>
      <c r="K107" s="55" t="s">
        <v>455</v>
      </c>
    </row>
    <row r="108" spans="2:11" x14ac:dyDescent="0.25">
      <c r="B108" s="37" t="s">
        <v>438</v>
      </c>
      <c r="C108" s="64"/>
      <c r="D108" s="65"/>
      <c r="E108" s="54"/>
      <c r="F108" s="3"/>
      <c r="G108" s="3"/>
      <c r="I108" s="3"/>
      <c r="J108" s="3"/>
      <c r="K108" s="55"/>
    </row>
    <row r="109" spans="2:11" x14ac:dyDescent="0.25">
      <c r="B109" s="44" t="s">
        <v>370</v>
      </c>
      <c r="C109" s="66">
        <v>37330</v>
      </c>
      <c r="D109" s="67" t="s">
        <v>757</v>
      </c>
      <c r="E109" s="47">
        <v>264715</v>
      </c>
      <c r="F109" s="47">
        <v>683885</v>
      </c>
      <c r="G109" s="47">
        <v>688797.5</v>
      </c>
      <c r="H109" s="48" t="s">
        <v>758</v>
      </c>
      <c r="I109" s="47">
        <v>419170</v>
      </c>
      <c r="J109" s="47">
        <v>269627.5</v>
      </c>
      <c r="K109" s="55" t="s">
        <v>455</v>
      </c>
    </row>
    <row r="110" spans="2:11" x14ac:dyDescent="0.25">
      <c r="B110" s="398">
        <v>37012</v>
      </c>
      <c r="C110" s="399"/>
      <c r="D110" s="65"/>
      <c r="E110" s="40"/>
      <c r="F110" s="40"/>
      <c r="G110" s="40"/>
      <c r="H110" s="41"/>
      <c r="I110" s="40"/>
      <c r="J110" s="42"/>
      <c r="K110" s="55"/>
    </row>
    <row r="111" spans="2:11" x14ac:dyDescent="0.25">
      <c r="B111" s="44" t="s">
        <v>557</v>
      </c>
      <c r="C111" s="400">
        <v>37330</v>
      </c>
      <c r="D111" s="67" t="s">
        <v>757</v>
      </c>
      <c r="E111" s="47">
        <v>9590</v>
      </c>
      <c r="F111" s="47">
        <v>9590</v>
      </c>
      <c r="G111" s="47">
        <v>9377.5</v>
      </c>
      <c r="H111" s="48"/>
      <c r="I111" s="47"/>
      <c r="J111" s="47">
        <v>9377.5</v>
      </c>
      <c r="K111" s="55" t="s">
        <v>455</v>
      </c>
    </row>
    <row r="112" spans="2:11" x14ac:dyDescent="0.25">
      <c r="B112" s="37">
        <v>35922</v>
      </c>
      <c r="C112" s="51"/>
      <c r="D112" s="52"/>
      <c r="E112" s="59"/>
      <c r="F112" s="59"/>
      <c r="G112" s="59"/>
      <c r="H112" s="62"/>
      <c r="I112" s="59"/>
      <c r="J112" s="56"/>
      <c r="K112" s="55"/>
    </row>
    <row r="113" spans="2:11" x14ac:dyDescent="0.25">
      <c r="B113" s="44" t="s">
        <v>591</v>
      </c>
      <c r="C113" s="45">
        <v>36951</v>
      </c>
      <c r="D113" s="46" t="s">
        <v>757</v>
      </c>
      <c r="E113" s="59">
        <v>99528.75</v>
      </c>
      <c r="F113" s="59">
        <v>99528.75</v>
      </c>
      <c r="G113" s="59">
        <v>97328.75</v>
      </c>
      <c r="H113" s="62" t="s">
        <v>607</v>
      </c>
      <c r="I113" s="59"/>
      <c r="J113" s="56">
        <f>SUM(G113-I113)</f>
        <v>97328.75</v>
      </c>
      <c r="K113" s="55" t="s">
        <v>455</v>
      </c>
    </row>
    <row r="114" spans="2:11" x14ac:dyDescent="0.25">
      <c r="B114" s="69">
        <v>36426</v>
      </c>
      <c r="C114" s="38">
        <v>36651</v>
      </c>
      <c r="D114" s="70"/>
      <c r="E114" s="42"/>
      <c r="F114" s="40"/>
      <c r="G114" s="40"/>
      <c r="H114" s="41"/>
      <c r="I114" s="40"/>
      <c r="J114" s="40"/>
      <c r="K114" s="55"/>
    </row>
    <row r="115" spans="2:11" x14ac:dyDescent="0.25">
      <c r="B115" s="46" t="s">
        <v>593</v>
      </c>
      <c r="C115" s="45">
        <v>36951</v>
      </c>
      <c r="D115" s="71" t="s">
        <v>757</v>
      </c>
      <c r="E115" s="49">
        <v>102436.87</v>
      </c>
      <c r="F115" s="47">
        <v>113818.75</v>
      </c>
      <c r="G115" s="47">
        <v>116218.75</v>
      </c>
      <c r="H115" s="48"/>
      <c r="I115" s="47">
        <v>11621.88</v>
      </c>
      <c r="J115" s="47">
        <f>SUM(G115-I115)</f>
        <v>104596.87</v>
      </c>
      <c r="K115" s="55" t="s">
        <v>455</v>
      </c>
    </row>
    <row r="116" spans="2:11" x14ac:dyDescent="0.25">
      <c r="B116" s="50">
        <v>36650</v>
      </c>
      <c r="C116" s="51">
        <v>36791</v>
      </c>
      <c r="D116" s="52"/>
      <c r="E116" s="42"/>
      <c r="F116" s="40"/>
      <c r="G116" s="40"/>
      <c r="H116" s="41"/>
      <c r="I116" s="40"/>
      <c r="J116" s="40"/>
      <c r="K116" s="55"/>
    </row>
    <row r="117" spans="2:11" x14ac:dyDescent="0.25">
      <c r="B117" s="3" t="s">
        <v>464</v>
      </c>
      <c r="C117" s="51">
        <v>36951</v>
      </c>
      <c r="D117" s="52" t="s">
        <v>757</v>
      </c>
      <c r="E117" s="56">
        <v>27512.5</v>
      </c>
      <c r="F117" s="59">
        <v>27512</v>
      </c>
      <c r="G117" s="59">
        <v>26712.5</v>
      </c>
      <c r="H117" s="62"/>
      <c r="I117" s="59">
        <v>0</v>
      </c>
      <c r="J117" s="59">
        <f>SUM(G117-I117)</f>
        <v>26712.5</v>
      </c>
      <c r="K117" s="55" t="s">
        <v>455</v>
      </c>
    </row>
    <row r="118" spans="2:11" x14ac:dyDescent="0.25">
      <c r="B118" s="68"/>
      <c r="C118" s="475"/>
      <c r="D118" s="65"/>
      <c r="E118" s="42"/>
      <c r="F118" s="42"/>
      <c r="G118" s="42"/>
      <c r="H118" s="58"/>
      <c r="I118" s="40"/>
      <c r="J118" s="42"/>
      <c r="K118" s="52"/>
    </row>
    <row r="119" spans="2:11" x14ac:dyDescent="0.25">
      <c r="B119" s="477" t="s">
        <v>263</v>
      </c>
      <c r="C119" s="476"/>
      <c r="D119" s="67"/>
      <c r="E119" s="49">
        <v>25000</v>
      </c>
      <c r="F119" s="49">
        <v>25000</v>
      </c>
      <c r="G119" s="49">
        <v>25000</v>
      </c>
      <c r="H119" s="63"/>
      <c r="I119" s="47"/>
      <c r="J119" s="49">
        <v>25000</v>
      </c>
      <c r="K119" s="52"/>
    </row>
    <row r="120" spans="2:11" x14ac:dyDescent="0.25">
      <c r="B120" s="470" t="s">
        <v>596</v>
      </c>
      <c r="C120" s="471"/>
      <c r="D120" s="471"/>
      <c r="E120" s="472">
        <v>867410.43</v>
      </c>
      <c r="F120" s="473">
        <f>SUM(F99:F119)</f>
        <v>1815911.75</v>
      </c>
      <c r="G120" s="473">
        <f>SUM(G99:G119)</f>
        <v>1820720.74</v>
      </c>
      <c r="H120" s="474">
        <f>SUM(H99:H113)</f>
        <v>0</v>
      </c>
      <c r="I120" s="474">
        <f>SUM(I99:I117)</f>
        <v>897123.01</v>
      </c>
      <c r="J120" s="472">
        <f>SUM(J99:J119)</f>
        <v>933085.96000000008</v>
      </c>
      <c r="K120" s="67" t="s">
        <v>188</v>
      </c>
    </row>
    <row r="123" spans="2:11" x14ac:dyDescent="0.25">
      <c r="C123" s="1"/>
      <c r="D123" s="72"/>
      <c r="E123" s="32" t="s">
        <v>11</v>
      </c>
      <c r="F123" s="32" t="s">
        <v>324</v>
      </c>
      <c r="G123" s="32" t="s">
        <v>326</v>
      </c>
      <c r="H123" s="32"/>
      <c r="I123" s="32" t="s">
        <v>24</v>
      </c>
      <c r="J123" s="32" t="s">
        <v>325</v>
      </c>
    </row>
    <row r="124" spans="2:11" x14ac:dyDescent="0.25">
      <c r="B124" s="424"/>
      <c r="C124" s="425"/>
      <c r="D124" s="425"/>
      <c r="E124" s="425"/>
      <c r="F124" s="425"/>
      <c r="G124" s="426" t="s">
        <v>20</v>
      </c>
      <c r="H124" s="425"/>
      <c r="I124" s="425"/>
      <c r="J124" s="427"/>
      <c r="K124" s="453" t="s">
        <v>23</v>
      </c>
    </row>
    <row r="125" spans="2:11" x14ac:dyDescent="0.25">
      <c r="B125" s="37">
        <v>31904</v>
      </c>
      <c r="C125" s="38">
        <v>32021</v>
      </c>
      <c r="D125" s="39" t="s">
        <v>757</v>
      </c>
      <c r="E125" s="40">
        <v>-10886</v>
      </c>
      <c r="F125" s="40">
        <v>0</v>
      </c>
      <c r="G125" s="40">
        <v>0</v>
      </c>
      <c r="H125" s="41" t="s">
        <v>758</v>
      </c>
      <c r="I125" s="41">
        <v>10887</v>
      </c>
      <c r="J125" s="42">
        <f>SUM(G125-I125)</f>
        <v>-10887</v>
      </c>
      <c r="K125" s="65" t="s">
        <v>455</v>
      </c>
    </row>
    <row r="126" spans="2:11" x14ac:dyDescent="0.25">
      <c r="B126" s="44" t="s">
        <v>529</v>
      </c>
      <c r="C126" s="45"/>
      <c r="D126" s="46"/>
      <c r="E126" s="47"/>
      <c r="F126" s="47"/>
      <c r="G126" s="47"/>
      <c r="H126" s="48"/>
      <c r="I126" s="48"/>
      <c r="J126" s="49"/>
      <c r="K126" s="55"/>
    </row>
    <row r="127" spans="2:11" x14ac:dyDescent="0.25">
      <c r="B127" s="50">
        <v>35368</v>
      </c>
      <c r="C127" s="51"/>
      <c r="D127" s="52"/>
      <c r="E127" s="53"/>
      <c r="F127" s="53"/>
      <c r="G127" s="53"/>
      <c r="I127" s="54"/>
      <c r="J127" s="53"/>
      <c r="K127" s="55"/>
    </row>
    <row r="128" spans="2:11" x14ac:dyDescent="0.25">
      <c r="B128" s="44" t="s">
        <v>657</v>
      </c>
      <c r="C128" s="45">
        <v>36951</v>
      </c>
      <c r="D128" s="46" t="s">
        <v>757</v>
      </c>
      <c r="E128" s="49">
        <v>44861.25</v>
      </c>
      <c r="F128" s="47">
        <v>110861.25</v>
      </c>
      <c r="G128" s="47">
        <v>109967.5</v>
      </c>
      <c r="H128" s="48" t="s">
        <v>658</v>
      </c>
      <c r="I128" s="48">
        <v>66000</v>
      </c>
      <c r="J128" s="49">
        <v>43967.5</v>
      </c>
      <c r="K128" s="55" t="s">
        <v>455</v>
      </c>
    </row>
    <row r="129" spans="2:12" x14ac:dyDescent="0.25">
      <c r="B129" s="37">
        <v>35558</v>
      </c>
      <c r="C129" s="51">
        <v>35993</v>
      </c>
      <c r="D129" s="55" t="s">
        <v>666</v>
      </c>
      <c r="E129" s="56">
        <v>0</v>
      </c>
      <c r="F129" s="56"/>
      <c r="G129" s="57">
        <v>0</v>
      </c>
      <c r="H129" s="58" t="s">
        <v>667</v>
      </c>
      <c r="I129" s="40"/>
      <c r="J129" s="56">
        <f>SUM(G129-I129)</f>
        <v>0</v>
      </c>
      <c r="K129" s="55"/>
    </row>
    <row r="130" spans="2:12" x14ac:dyDescent="0.25">
      <c r="B130" s="37" t="s">
        <v>739</v>
      </c>
      <c r="C130" s="51"/>
      <c r="D130" s="52" t="s">
        <v>757</v>
      </c>
      <c r="E130" s="59">
        <v>334829</v>
      </c>
      <c r="F130" s="59">
        <v>708683.5</v>
      </c>
      <c r="G130" s="59">
        <v>711135.74</v>
      </c>
      <c r="H130" s="60"/>
      <c r="I130" s="59">
        <v>315814.57</v>
      </c>
      <c r="J130" s="542">
        <f>378133-62306</f>
        <v>315827</v>
      </c>
      <c r="K130" s="55" t="s">
        <v>461</v>
      </c>
    </row>
    <row r="131" spans="2:12" x14ac:dyDescent="0.25">
      <c r="B131" s="44"/>
      <c r="C131" s="45"/>
      <c r="D131" s="46" t="s">
        <v>666</v>
      </c>
      <c r="E131" s="49"/>
      <c r="G131" s="59"/>
      <c r="H131" s="60"/>
      <c r="I131" s="59"/>
      <c r="J131" s="56"/>
      <c r="K131" s="55"/>
    </row>
    <row r="132" spans="2:12" x14ac:dyDescent="0.25">
      <c r="B132" s="37">
        <v>35558</v>
      </c>
      <c r="C132" s="51">
        <v>35972</v>
      </c>
      <c r="D132" s="52"/>
      <c r="E132" s="62"/>
      <c r="F132" s="42"/>
      <c r="G132" s="42"/>
      <c r="H132" s="58"/>
      <c r="I132" s="40"/>
      <c r="J132" s="40"/>
      <c r="K132" s="55"/>
    </row>
    <row r="133" spans="2:12" x14ac:dyDescent="0.25">
      <c r="B133" s="44" t="s">
        <v>611</v>
      </c>
      <c r="C133" s="45">
        <v>37330</v>
      </c>
      <c r="D133" s="52" t="s">
        <v>757</v>
      </c>
      <c r="E133" s="62">
        <v>37032.5</v>
      </c>
      <c r="F133" s="49">
        <v>37032.5</v>
      </c>
      <c r="G133" s="49">
        <v>36182.5</v>
      </c>
      <c r="H133" s="63" t="s">
        <v>758</v>
      </c>
      <c r="I133" s="47"/>
      <c r="J133" s="47">
        <v>35182.5</v>
      </c>
      <c r="K133" s="55" t="s">
        <v>455</v>
      </c>
    </row>
    <row r="134" spans="2:12" x14ac:dyDescent="0.25">
      <c r="B134" s="37" t="s">
        <v>438</v>
      </c>
      <c r="C134" s="64"/>
      <c r="D134" s="65"/>
      <c r="E134" s="54"/>
      <c r="F134" s="3"/>
      <c r="G134" s="3"/>
      <c r="I134" s="3"/>
      <c r="J134" s="3"/>
      <c r="K134" s="55"/>
    </row>
    <row r="135" spans="2:12" x14ac:dyDescent="0.25">
      <c r="B135" s="44" t="s">
        <v>370</v>
      </c>
      <c r="C135" s="66">
        <v>37330</v>
      </c>
      <c r="D135" s="67" t="s">
        <v>757</v>
      </c>
      <c r="E135" s="47">
        <v>264715</v>
      </c>
      <c r="F135" s="47">
        <v>683885</v>
      </c>
      <c r="G135" s="47">
        <v>688797.5</v>
      </c>
      <c r="H135" s="48" t="s">
        <v>758</v>
      </c>
      <c r="I135" s="47">
        <v>419171</v>
      </c>
      <c r="J135" s="47">
        <v>265877.5</v>
      </c>
      <c r="K135" s="55" t="s">
        <v>455</v>
      </c>
    </row>
    <row r="136" spans="2:12" x14ac:dyDescent="0.25">
      <c r="B136" s="398">
        <v>37012</v>
      </c>
      <c r="C136" s="399"/>
      <c r="D136" s="65"/>
      <c r="E136" s="40"/>
      <c r="F136" s="40"/>
      <c r="G136" s="40"/>
      <c r="H136" s="41"/>
      <c r="I136" s="40"/>
      <c r="J136" s="42"/>
      <c r="K136" s="55"/>
    </row>
    <row r="137" spans="2:12" x14ac:dyDescent="0.25">
      <c r="B137" s="44" t="s">
        <v>557</v>
      </c>
      <c r="C137" s="400">
        <v>37330</v>
      </c>
      <c r="D137" s="67" t="s">
        <v>757</v>
      </c>
      <c r="E137" s="47">
        <v>9590</v>
      </c>
      <c r="F137" s="47">
        <v>9590</v>
      </c>
      <c r="G137" s="47">
        <v>9377.5</v>
      </c>
      <c r="H137" s="48"/>
      <c r="I137" s="47"/>
      <c r="J137" s="47">
        <v>9127.5</v>
      </c>
      <c r="K137" s="55" t="s">
        <v>455</v>
      </c>
    </row>
    <row r="138" spans="2:12" x14ac:dyDescent="0.25">
      <c r="B138" s="37">
        <v>35922</v>
      </c>
      <c r="C138" s="51"/>
      <c r="D138" s="52"/>
      <c r="E138" s="59"/>
      <c r="F138" s="59"/>
      <c r="G138" s="59"/>
      <c r="H138" s="62"/>
      <c r="I138" s="59"/>
      <c r="J138" s="56"/>
      <c r="K138" s="55"/>
    </row>
    <row r="139" spans="2:12" x14ac:dyDescent="0.25">
      <c r="B139" s="44" t="s">
        <v>591</v>
      </c>
      <c r="C139" s="45">
        <v>36951</v>
      </c>
      <c r="D139" s="46" t="s">
        <v>757</v>
      </c>
      <c r="E139" s="59">
        <v>99528.75</v>
      </c>
      <c r="F139" s="59">
        <v>99528.75</v>
      </c>
      <c r="G139" s="59">
        <v>97328.75</v>
      </c>
      <c r="H139" s="62" t="s">
        <v>607</v>
      </c>
      <c r="I139" s="59"/>
      <c r="J139" s="56">
        <v>100060</v>
      </c>
      <c r="K139" s="55" t="s">
        <v>455</v>
      </c>
      <c r="L139" s="1" t="s">
        <v>160</v>
      </c>
    </row>
    <row r="140" spans="2:12" x14ac:dyDescent="0.25">
      <c r="B140" s="69">
        <v>36426</v>
      </c>
      <c r="C140" s="38">
        <v>36651</v>
      </c>
      <c r="D140" s="70"/>
      <c r="E140" s="42"/>
      <c r="F140" s="40"/>
      <c r="G140" s="40"/>
      <c r="H140" s="41"/>
      <c r="I140" s="40"/>
      <c r="J140" s="40"/>
      <c r="K140" s="55"/>
    </row>
    <row r="141" spans="2:12" x14ac:dyDescent="0.25">
      <c r="B141" s="46" t="s">
        <v>593</v>
      </c>
      <c r="C141" s="45">
        <v>36951</v>
      </c>
      <c r="D141" s="71" t="s">
        <v>757</v>
      </c>
      <c r="E141" s="49">
        <v>102436.87</v>
      </c>
      <c r="F141" s="47">
        <v>113818.75</v>
      </c>
      <c r="G141" s="47">
        <v>116218.75</v>
      </c>
      <c r="H141" s="48"/>
      <c r="I141" s="47">
        <v>11333.13</v>
      </c>
      <c r="J141" s="47">
        <v>101998.12</v>
      </c>
      <c r="K141" s="55" t="s">
        <v>455</v>
      </c>
    </row>
    <row r="142" spans="2:12" x14ac:dyDescent="0.25">
      <c r="B142" s="50">
        <v>36650</v>
      </c>
      <c r="C142" s="51">
        <v>36791</v>
      </c>
      <c r="D142" s="52"/>
      <c r="E142" s="42"/>
      <c r="F142" s="40"/>
      <c r="G142" s="40"/>
      <c r="H142" s="41"/>
      <c r="I142" s="40"/>
      <c r="J142" s="40"/>
      <c r="K142" s="55"/>
    </row>
    <row r="143" spans="2:12" x14ac:dyDescent="0.25">
      <c r="B143" s="3" t="s">
        <v>464</v>
      </c>
      <c r="C143" s="51">
        <v>36951</v>
      </c>
      <c r="D143" s="52" t="s">
        <v>757</v>
      </c>
      <c r="E143" s="56">
        <v>27512.5</v>
      </c>
      <c r="F143" s="59">
        <v>27512</v>
      </c>
      <c r="G143" s="59">
        <v>26712.5</v>
      </c>
      <c r="H143" s="62"/>
      <c r="I143" s="59">
        <v>0</v>
      </c>
      <c r="J143" s="59">
        <v>30887.5</v>
      </c>
      <c r="K143" s="55" t="s">
        <v>455</v>
      </c>
    </row>
    <row r="144" spans="2:12" x14ac:dyDescent="0.25">
      <c r="B144" s="68" t="s">
        <v>119</v>
      </c>
      <c r="C144" s="475"/>
      <c r="D144" s="65"/>
      <c r="E144" s="42"/>
      <c r="F144" s="42"/>
      <c r="G144" s="42"/>
      <c r="H144" s="58"/>
      <c r="I144" s="40"/>
      <c r="J144" s="42"/>
      <c r="K144" s="52"/>
    </row>
    <row r="145" spans="2:12" x14ac:dyDescent="0.25">
      <c r="B145" s="477" t="s">
        <v>263</v>
      </c>
      <c r="C145" s="476"/>
      <c r="D145" s="67"/>
      <c r="E145" s="49">
        <v>25000</v>
      </c>
      <c r="F145" s="49">
        <v>25000</v>
      </c>
      <c r="G145" s="49">
        <v>25000</v>
      </c>
      <c r="H145" s="63"/>
      <c r="I145" s="47"/>
      <c r="J145" s="49">
        <v>4960</v>
      </c>
      <c r="K145" s="52"/>
    </row>
    <row r="146" spans="2:12" x14ac:dyDescent="0.25">
      <c r="B146" s="470" t="s">
        <v>596</v>
      </c>
      <c r="C146" s="471"/>
      <c r="D146" s="471"/>
      <c r="E146" s="472">
        <v>867410.43</v>
      </c>
      <c r="F146" s="473">
        <f>SUM(F125:F145)</f>
        <v>1815911.75</v>
      </c>
      <c r="G146" s="473">
        <f>SUM(G125:G145)</f>
        <v>1820720.74</v>
      </c>
      <c r="H146" s="474">
        <f>SUM(H125:H139)</f>
        <v>0</v>
      </c>
      <c r="I146" s="474">
        <f>SUM(I125:I143)</f>
        <v>823205.70000000007</v>
      </c>
      <c r="J146" s="472">
        <f>SUM(J125:J145)</f>
        <v>897000.62</v>
      </c>
      <c r="K146" s="67" t="s">
        <v>188</v>
      </c>
    </row>
    <row r="149" spans="2:12" x14ac:dyDescent="0.25">
      <c r="C149" s="1"/>
      <c r="D149" s="72"/>
      <c r="E149" s="32" t="s">
        <v>403</v>
      </c>
      <c r="F149" s="32" t="s">
        <v>314</v>
      </c>
      <c r="G149" s="32" t="s">
        <v>399</v>
      </c>
      <c r="H149" s="32"/>
      <c r="I149" s="32" t="s">
        <v>616</v>
      </c>
      <c r="J149" s="32" t="s">
        <v>28</v>
      </c>
    </row>
    <row r="150" spans="2:12" x14ac:dyDescent="0.25">
      <c r="B150" s="424"/>
      <c r="C150" s="425"/>
      <c r="D150" s="425"/>
      <c r="E150" s="425"/>
      <c r="F150" s="425"/>
      <c r="G150" s="426" t="s">
        <v>190</v>
      </c>
      <c r="H150" s="425"/>
      <c r="I150" s="425"/>
      <c r="J150" s="427"/>
      <c r="K150" s="453" t="s">
        <v>23</v>
      </c>
    </row>
    <row r="151" spans="2:12" x14ac:dyDescent="0.25">
      <c r="B151" s="37">
        <v>31904</v>
      </c>
      <c r="C151" s="38">
        <v>32021</v>
      </c>
      <c r="D151" s="39" t="s">
        <v>757</v>
      </c>
      <c r="E151" s="40">
        <v>-10887</v>
      </c>
      <c r="F151" s="40">
        <v>0</v>
      </c>
      <c r="G151" s="40">
        <v>0</v>
      </c>
      <c r="H151" s="41" t="s">
        <v>758</v>
      </c>
      <c r="I151" s="41"/>
      <c r="J151" s="42">
        <f>SUM(G151-I151)</f>
        <v>0</v>
      </c>
      <c r="K151" s="65"/>
      <c r="L151" s="1" t="s">
        <v>38</v>
      </c>
    </row>
    <row r="152" spans="2:12" x14ac:dyDescent="0.25">
      <c r="B152" s="44" t="s">
        <v>529</v>
      </c>
      <c r="C152" s="45"/>
      <c r="D152" s="46"/>
      <c r="E152" s="47"/>
      <c r="F152" s="47"/>
      <c r="G152" s="47"/>
      <c r="H152" s="48"/>
      <c r="I152" s="48"/>
      <c r="J152" s="49"/>
      <c r="K152" s="55"/>
      <c r="L152" s="1" t="s">
        <v>170</v>
      </c>
    </row>
    <row r="153" spans="2:12" x14ac:dyDescent="0.25">
      <c r="B153" s="50">
        <v>35368</v>
      </c>
      <c r="C153" s="51"/>
      <c r="D153" s="52"/>
      <c r="E153" s="53"/>
      <c r="F153" s="53"/>
      <c r="G153" s="53"/>
      <c r="I153" s="54"/>
      <c r="J153" s="53"/>
      <c r="K153" s="55"/>
    </row>
    <row r="154" spans="2:12" x14ac:dyDescent="0.25">
      <c r="B154" s="50" t="s">
        <v>617</v>
      </c>
      <c r="C154" s="51">
        <v>36951</v>
      </c>
      <c r="D154" s="52" t="s">
        <v>757</v>
      </c>
      <c r="E154" s="56">
        <v>43968</v>
      </c>
      <c r="F154" s="59">
        <v>109967.5</v>
      </c>
      <c r="G154" s="59">
        <v>103107.5</v>
      </c>
      <c r="H154" s="62" t="s">
        <v>658</v>
      </c>
      <c r="I154" s="62">
        <v>66000</v>
      </c>
      <c r="J154" s="379">
        <f>G154-(I154+I155)</f>
        <v>34606.28</v>
      </c>
      <c r="K154" s="55"/>
    </row>
    <row r="155" spans="2:12" x14ac:dyDescent="0.25">
      <c r="B155" s="44" t="s">
        <v>618</v>
      </c>
      <c r="C155" s="45">
        <v>40558</v>
      </c>
      <c r="D155" s="46" t="s">
        <v>757</v>
      </c>
      <c r="E155" s="49"/>
      <c r="F155" s="47"/>
      <c r="G155" s="47"/>
      <c r="H155" s="28" t="s">
        <v>619</v>
      </c>
      <c r="I155" s="47">
        <v>2501.2199999999998</v>
      </c>
      <c r="J155" s="543"/>
      <c r="K155" s="55"/>
    </row>
    <row r="156" spans="2:12" x14ac:dyDescent="0.25">
      <c r="B156" s="37">
        <v>35558</v>
      </c>
      <c r="C156" s="51">
        <v>35993</v>
      </c>
      <c r="D156" s="55" t="s">
        <v>666</v>
      </c>
      <c r="E156" s="56">
        <v>0</v>
      </c>
      <c r="F156" s="56"/>
      <c r="G156" s="57">
        <v>0</v>
      </c>
      <c r="H156" s="58" t="s">
        <v>667</v>
      </c>
      <c r="I156" s="40"/>
      <c r="J156" s="56">
        <f>SUM(G156-I156)</f>
        <v>0</v>
      </c>
      <c r="K156" s="55"/>
    </row>
    <row r="157" spans="2:12" x14ac:dyDescent="0.25">
      <c r="B157" s="37" t="s">
        <v>739</v>
      </c>
      <c r="C157" s="51"/>
      <c r="D157" s="52" t="s">
        <v>757</v>
      </c>
      <c r="E157" s="47">
        <v>315815</v>
      </c>
      <c r="F157" s="59">
        <v>693947.11</v>
      </c>
      <c r="G157" s="59">
        <v>693569.96</v>
      </c>
      <c r="H157" s="60"/>
      <c r="I157" s="59">
        <v>378741.99</v>
      </c>
      <c r="J157" s="544">
        <f>SUM(G157-I157)</f>
        <v>314827.96999999997</v>
      </c>
      <c r="K157" s="55"/>
    </row>
    <row r="158" spans="2:12" x14ac:dyDescent="0.25">
      <c r="B158" s="44"/>
      <c r="C158" s="45"/>
      <c r="D158" s="46" t="s">
        <v>666</v>
      </c>
      <c r="E158" s="49"/>
      <c r="G158" s="59"/>
      <c r="H158" s="60"/>
      <c r="I158" s="59"/>
      <c r="J158" s="56"/>
      <c r="K158" s="55"/>
    </row>
    <row r="159" spans="2:12" x14ac:dyDescent="0.25">
      <c r="B159" s="37">
        <v>35558</v>
      </c>
      <c r="C159" s="51">
        <v>35972</v>
      </c>
      <c r="D159" s="52"/>
      <c r="E159" s="62"/>
      <c r="F159" s="42"/>
      <c r="G159" s="42"/>
      <c r="H159" s="58"/>
      <c r="I159" s="40"/>
      <c r="J159" s="40"/>
      <c r="K159" s="55"/>
    </row>
    <row r="160" spans="2:12" x14ac:dyDescent="0.25">
      <c r="B160" s="44" t="s">
        <v>611</v>
      </c>
      <c r="C160" s="45">
        <v>37330</v>
      </c>
      <c r="D160" s="52" t="s">
        <v>757</v>
      </c>
      <c r="E160" s="62">
        <v>35183</v>
      </c>
      <c r="F160" s="49">
        <v>35182.5</v>
      </c>
      <c r="G160" s="49">
        <v>34332.5</v>
      </c>
      <c r="H160" s="63" t="s">
        <v>758</v>
      </c>
      <c r="I160" s="47"/>
      <c r="J160" s="545">
        <f>SUM(G160-I160)</f>
        <v>34332.5</v>
      </c>
      <c r="K160" s="55"/>
    </row>
    <row r="161" spans="2:11" x14ac:dyDescent="0.25">
      <c r="B161" s="37" t="s">
        <v>438</v>
      </c>
      <c r="C161" s="64"/>
      <c r="D161" s="65"/>
      <c r="E161" s="54"/>
      <c r="F161" s="3"/>
      <c r="G161" s="3"/>
      <c r="I161" s="3"/>
      <c r="J161" s="3"/>
      <c r="K161" s="55"/>
    </row>
    <row r="162" spans="2:11" x14ac:dyDescent="0.25">
      <c r="B162" s="44" t="s">
        <v>370</v>
      </c>
      <c r="C162" s="66">
        <v>37330</v>
      </c>
      <c r="D162" s="67" t="s">
        <v>757</v>
      </c>
      <c r="E162" s="47">
        <v>265878</v>
      </c>
      <c r="F162" s="47">
        <v>685047.5</v>
      </c>
      <c r="G162" s="47">
        <v>688472.5</v>
      </c>
      <c r="H162" s="48" t="s">
        <v>758</v>
      </c>
      <c r="I162" s="47">
        <v>419170</v>
      </c>
      <c r="J162" s="545">
        <f>SUM(G162-I162)</f>
        <v>269302.5</v>
      </c>
      <c r="K162" s="55"/>
    </row>
    <row r="163" spans="2:11" x14ac:dyDescent="0.25">
      <c r="B163" s="398">
        <v>37012</v>
      </c>
      <c r="C163" s="399"/>
      <c r="D163" s="65"/>
      <c r="E163" s="40"/>
      <c r="F163" s="40"/>
      <c r="G163" s="40"/>
      <c r="H163" s="41"/>
      <c r="I163" s="40"/>
      <c r="J163" s="42"/>
      <c r="K163" s="55"/>
    </row>
    <row r="164" spans="2:11" x14ac:dyDescent="0.25">
      <c r="B164" s="44" t="s">
        <v>557</v>
      </c>
      <c r="C164" s="400">
        <v>37330</v>
      </c>
      <c r="D164" s="67" t="s">
        <v>757</v>
      </c>
      <c r="E164" s="47">
        <v>9128</v>
      </c>
      <c r="F164" s="47">
        <v>9127.5</v>
      </c>
      <c r="G164" s="47">
        <v>13915</v>
      </c>
      <c r="H164" s="48"/>
      <c r="I164" s="47"/>
      <c r="J164" s="545">
        <f>SUM(G164-I164)</f>
        <v>13915</v>
      </c>
      <c r="K164" s="55"/>
    </row>
    <row r="165" spans="2:11" x14ac:dyDescent="0.25">
      <c r="B165" s="37">
        <v>35922</v>
      </c>
      <c r="C165" s="51"/>
      <c r="D165" s="52"/>
      <c r="E165" s="59"/>
      <c r="F165" s="59"/>
      <c r="G165" s="59"/>
      <c r="H165" s="62"/>
      <c r="I165" s="59"/>
      <c r="J165" s="56"/>
      <c r="K165" s="55"/>
    </row>
    <row r="166" spans="2:11" x14ac:dyDescent="0.25">
      <c r="B166" s="37" t="s">
        <v>591</v>
      </c>
      <c r="C166" s="51">
        <v>36951</v>
      </c>
      <c r="D166" s="52" t="s">
        <v>757</v>
      </c>
      <c r="E166" s="59">
        <v>100060</v>
      </c>
      <c r="F166" s="59">
        <v>100060</v>
      </c>
      <c r="G166" s="59">
        <v>87860</v>
      </c>
      <c r="H166" s="62" t="s">
        <v>607</v>
      </c>
      <c r="I166" s="59"/>
      <c r="J166" s="379">
        <f>G166-(I166+I167)</f>
        <v>84867.57</v>
      </c>
      <c r="K166" s="55"/>
    </row>
    <row r="167" spans="2:11" x14ac:dyDescent="0.25">
      <c r="B167" s="44" t="s">
        <v>618</v>
      </c>
      <c r="C167" s="45">
        <v>40558</v>
      </c>
      <c r="D167" s="46" t="s">
        <v>757</v>
      </c>
      <c r="E167" s="59"/>
      <c r="F167" s="59"/>
      <c r="G167" s="59"/>
      <c r="H167" s="62" t="s">
        <v>620</v>
      </c>
      <c r="I167" s="59">
        <v>2992.43</v>
      </c>
      <c r="J167" s="554"/>
      <c r="K167" s="55"/>
    </row>
    <row r="168" spans="2:11" x14ac:dyDescent="0.25">
      <c r="B168" s="69">
        <v>36426</v>
      </c>
      <c r="C168" s="38">
        <v>36651</v>
      </c>
      <c r="D168" s="70"/>
      <c r="E168" s="42"/>
      <c r="F168" s="40"/>
      <c r="G168" s="40"/>
      <c r="H168" s="41"/>
      <c r="I168" s="40"/>
      <c r="J168" s="40"/>
      <c r="K168" s="55"/>
    </row>
    <row r="169" spans="2:11" x14ac:dyDescent="0.25">
      <c r="B169" s="52" t="s">
        <v>593</v>
      </c>
      <c r="C169" s="51">
        <v>36951</v>
      </c>
      <c r="D169" s="22" t="s">
        <v>757</v>
      </c>
      <c r="E169" s="56">
        <v>101998</v>
      </c>
      <c r="F169" s="59">
        <v>113331.25</v>
      </c>
      <c r="G169" s="59">
        <v>107352.5</v>
      </c>
      <c r="H169" s="62" t="s">
        <v>201</v>
      </c>
      <c r="I169" s="59">
        <v>10735.25</v>
      </c>
      <c r="J169" s="379">
        <f>G169-(I169+I170)</f>
        <v>96298.47</v>
      </c>
      <c r="K169" s="55"/>
    </row>
    <row r="170" spans="2:11" x14ac:dyDescent="0.25">
      <c r="B170" s="46" t="s">
        <v>618</v>
      </c>
      <c r="C170" s="45">
        <v>40558</v>
      </c>
      <c r="D170" s="71" t="s">
        <v>757</v>
      </c>
      <c r="E170" s="49"/>
      <c r="F170" s="47"/>
      <c r="G170" s="47"/>
      <c r="H170" s="48" t="s">
        <v>620</v>
      </c>
      <c r="I170" s="47">
        <v>318.77999999999997</v>
      </c>
      <c r="J170" s="545"/>
      <c r="K170" s="55"/>
    </row>
    <row r="171" spans="2:11" x14ac:dyDescent="0.25">
      <c r="B171" s="50">
        <v>36650</v>
      </c>
      <c r="C171" s="51">
        <v>36791</v>
      </c>
      <c r="D171" s="52"/>
      <c r="E171" s="56"/>
      <c r="F171" s="59"/>
      <c r="G171" s="59"/>
      <c r="H171" s="62"/>
      <c r="I171" s="59"/>
      <c r="J171" s="59"/>
      <c r="K171" s="55"/>
    </row>
    <row r="172" spans="2:11" x14ac:dyDescent="0.25">
      <c r="B172" s="3" t="s">
        <v>464</v>
      </c>
      <c r="C172" s="51">
        <v>36951</v>
      </c>
      <c r="D172" s="52" t="s">
        <v>757</v>
      </c>
      <c r="E172" s="5"/>
      <c r="F172" s="5"/>
      <c r="G172" s="5"/>
      <c r="H172" s="36"/>
      <c r="I172" s="3"/>
      <c r="J172" s="5"/>
      <c r="K172" s="55"/>
    </row>
    <row r="173" spans="2:11" x14ac:dyDescent="0.25">
      <c r="B173" s="2" t="s">
        <v>618</v>
      </c>
      <c r="C173" s="45">
        <v>40558</v>
      </c>
      <c r="D173" s="46" t="s">
        <v>757</v>
      </c>
      <c r="E173" s="49">
        <v>30888</v>
      </c>
      <c r="F173" s="47">
        <v>30887.5</v>
      </c>
      <c r="G173" s="47">
        <v>26440</v>
      </c>
      <c r="H173" s="48" t="s">
        <v>620</v>
      </c>
      <c r="I173" s="47">
        <v>450.3</v>
      </c>
      <c r="J173" s="545">
        <f>SUM(G173-I173)</f>
        <v>25989.7</v>
      </c>
      <c r="K173" s="52"/>
    </row>
    <row r="174" spans="2:11" x14ac:dyDescent="0.25">
      <c r="B174" s="50">
        <v>39205</v>
      </c>
      <c r="C174" s="51">
        <v>39835</v>
      </c>
      <c r="D174" s="52" t="s">
        <v>666</v>
      </c>
      <c r="E174" s="56"/>
      <c r="F174" s="59"/>
      <c r="G174" s="59"/>
      <c r="H174" s="62"/>
      <c r="I174" s="59"/>
      <c r="J174" s="554"/>
      <c r="K174" s="52"/>
    </row>
    <row r="175" spans="2:11" x14ac:dyDescent="0.25">
      <c r="B175" s="2" t="s">
        <v>60</v>
      </c>
      <c r="C175" s="45">
        <v>40564</v>
      </c>
      <c r="D175" s="46" t="s">
        <v>757</v>
      </c>
      <c r="G175" s="47"/>
      <c r="H175" s="48"/>
      <c r="I175" s="47"/>
      <c r="K175" s="52"/>
    </row>
    <row r="176" spans="2:11" x14ac:dyDescent="0.25">
      <c r="B176" s="2" t="s">
        <v>618</v>
      </c>
      <c r="C176" s="45">
        <v>40558</v>
      </c>
      <c r="D176" s="46" t="s">
        <v>757</v>
      </c>
      <c r="E176" s="49">
        <v>4960</v>
      </c>
      <c r="F176" s="47">
        <v>4960</v>
      </c>
      <c r="G176" s="47">
        <v>51980</v>
      </c>
      <c r="H176" s="48" t="s">
        <v>620</v>
      </c>
      <c r="I176" s="48">
        <v>922.15</v>
      </c>
      <c r="J176" s="545">
        <f>SUM(G176-I176)</f>
        <v>51057.85</v>
      </c>
      <c r="K176" s="52"/>
    </row>
    <row r="177" spans="2:12" x14ac:dyDescent="0.25">
      <c r="B177" s="470" t="s">
        <v>596</v>
      </c>
      <c r="C177" s="471"/>
      <c r="D177" s="471"/>
      <c r="E177" s="472">
        <v>867410.43</v>
      </c>
      <c r="F177" s="473">
        <f>SUM(F151:F176)</f>
        <v>1782510.8599999999</v>
      </c>
      <c r="G177" s="473">
        <f>SUM(G151:G176)</f>
        <v>1807029.96</v>
      </c>
      <c r="H177" s="474"/>
      <c r="I177" s="474">
        <f>SUM(I151:I176)</f>
        <v>881832.12000000011</v>
      </c>
      <c r="J177" s="472">
        <f>SUM(J151:J176)</f>
        <v>925197.84</v>
      </c>
      <c r="K177" s="67" t="s">
        <v>188</v>
      </c>
    </row>
    <row r="178" spans="2:12" x14ac:dyDescent="0.25">
      <c r="B178" s="556"/>
      <c r="C178" s="32"/>
      <c r="D178" s="32"/>
      <c r="E178" s="557"/>
      <c r="F178" s="557"/>
      <c r="G178" s="557"/>
      <c r="H178" s="557"/>
      <c r="I178" s="557"/>
      <c r="J178" s="557"/>
      <c r="K178" s="22"/>
    </row>
    <row r="179" spans="2:12" x14ac:dyDescent="0.25">
      <c r="B179" s="556"/>
      <c r="C179" s="32"/>
      <c r="D179" s="32"/>
      <c r="E179" s="557"/>
      <c r="F179" s="557"/>
      <c r="G179" s="557"/>
      <c r="H179" s="557"/>
      <c r="I179" s="557"/>
      <c r="J179" s="557"/>
      <c r="K179" s="22"/>
    </row>
    <row r="180" spans="2:12" x14ac:dyDescent="0.25">
      <c r="C180" s="1"/>
      <c r="D180" s="72"/>
      <c r="E180" s="32" t="s">
        <v>397</v>
      </c>
      <c r="F180" s="32" t="s">
        <v>32</v>
      </c>
      <c r="G180" s="32" t="s">
        <v>33</v>
      </c>
      <c r="H180" s="32"/>
      <c r="I180" s="32" t="s">
        <v>616</v>
      </c>
      <c r="J180" s="32" t="s">
        <v>127</v>
      </c>
    </row>
    <row r="181" spans="2:12" x14ac:dyDescent="0.25">
      <c r="B181" s="424"/>
      <c r="C181" s="425"/>
      <c r="D181" s="425"/>
      <c r="E181" s="425"/>
      <c r="F181" s="425"/>
      <c r="G181" s="426" t="s">
        <v>16</v>
      </c>
      <c r="H181" s="425"/>
      <c r="I181" s="425"/>
      <c r="J181" s="427"/>
      <c r="K181" s="453" t="s">
        <v>23</v>
      </c>
    </row>
    <row r="182" spans="2:12" x14ac:dyDescent="0.25">
      <c r="B182" s="37">
        <v>31904</v>
      </c>
      <c r="C182" s="38">
        <v>32021</v>
      </c>
      <c r="D182" s="39" t="s">
        <v>757</v>
      </c>
      <c r="E182" s="40"/>
      <c r="F182" s="40">
        <v>0</v>
      </c>
      <c r="G182" s="40">
        <v>0</v>
      </c>
      <c r="H182" s="41" t="s">
        <v>758</v>
      </c>
      <c r="I182" s="41"/>
      <c r="J182" s="42">
        <f>SUM(G182-I182)</f>
        <v>0</v>
      </c>
      <c r="K182" s="65"/>
      <c r="L182" s="251" t="s">
        <v>845</v>
      </c>
    </row>
    <row r="183" spans="2:12" x14ac:dyDescent="0.25">
      <c r="B183" s="44" t="s">
        <v>529</v>
      </c>
      <c r="C183" s="45"/>
      <c r="D183" s="46"/>
      <c r="E183" s="47"/>
      <c r="F183" s="47"/>
      <c r="G183" s="47"/>
      <c r="H183" s="48"/>
      <c r="I183" s="48"/>
      <c r="J183" s="49"/>
      <c r="K183" s="55"/>
    </row>
    <row r="184" spans="2:12" x14ac:dyDescent="0.25">
      <c r="B184" s="50">
        <v>35368</v>
      </c>
      <c r="C184" s="51"/>
      <c r="D184" s="52"/>
      <c r="E184" s="53"/>
      <c r="F184" s="53"/>
      <c r="G184" s="53"/>
      <c r="I184" s="54"/>
      <c r="J184" s="53"/>
      <c r="K184" s="55"/>
    </row>
    <row r="185" spans="2:12" x14ac:dyDescent="0.25">
      <c r="B185" s="50" t="s">
        <v>617</v>
      </c>
      <c r="C185" s="51">
        <v>36951</v>
      </c>
      <c r="D185" s="52" t="s">
        <v>757</v>
      </c>
      <c r="E185" s="56">
        <v>34606.28</v>
      </c>
      <c r="F185" s="59">
        <v>103107.5</v>
      </c>
      <c r="G185" s="59">
        <v>101587.5</v>
      </c>
      <c r="H185" s="62" t="s">
        <v>658</v>
      </c>
      <c r="I185" s="62">
        <v>66000</v>
      </c>
      <c r="J185" s="379">
        <f>G185-(I185+I186)</f>
        <v>35460.089999999997</v>
      </c>
      <c r="K185" s="55"/>
    </row>
    <row r="186" spans="2:12" x14ac:dyDescent="0.25">
      <c r="B186" s="44" t="s">
        <v>618</v>
      </c>
      <c r="C186" s="45">
        <v>40558</v>
      </c>
      <c r="D186" s="46" t="s">
        <v>757</v>
      </c>
      <c r="E186" s="49"/>
      <c r="F186" s="47"/>
      <c r="G186" s="47"/>
      <c r="H186" s="28" t="s">
        <v>619</v>
      </c>
      <c r="I186" s="47">
        <v>127.41</v>
      </c>
      <c r="J186" s="543"/>
      <c r="K186" s="55"/>
    </row>
    <row r="187" spans="2:12" x14ac:dyDescent="0.25">
      <c r="B187" s="37">
        <v>35558</v>
      </c>
      <c r="C187" s="51">
        <v>35993</v>
      </c>
      <c r="D187" s="55" t="s">
        <v>666</v>
      </c>
      <c r="E187" s="56">
        <v>0</v>
      </c>
      <c r="F187" s="56"/>
      <c r="G187" s="57">
        <v>0</v>
      </c>
      <c r="H187" s="58" t="s">
        <v>667</v>
      </c>
      <c r="I187" s="40"/>
      <c r="J187" s="56">
        <f>SUM(G187-I187)</f>
        <v>0</v>
      </c>
      <c r="K187" s="55"/>
    </row>
    <row r="188" spans="2:12" x14ac:dyDescent="0.25">
      <c r="B188" s="37" t="s">
        <v>739</v>
      </c>
      <c r="C188" s="51"/>
      <c r="D188" s="52" t="s">
        <v>757</v>
      </c>
      <c r="E188" s="47">
        <v>314827.96999999997</v>
      </c>
      <c r="F188" s="59">
        <v>693569.96</v>
      </c>
      <c r="G188" s="565">
        <f>2368989*0.2794</f>
        <v>661895.52659999998</v>
      </c>
      <c r="H188" s="60"/>
      <c r="I188" s="566">
        <f>SUM(1291498*0.2794)</f>
        <v>360844.54119999998</v>
      </c>
      <c r="J188" s="544">
        <f>SUM(G188-I188)</f>
        <v>301050.98540000001</v>
      </c>
      <c r="K188" s="55"/>
      <c r="L188" s="1" t="s">
        <v>626</v>
      </c>
    </row>
    <row r="189" spans="2:12" x14ac:dyDescent="0.25">
      <c r="B189" s="44"/>
      <c r="C189" s="45"/>
      <c r="D189" s="46" t="s">
        <v>666</v>
      </c>
      <c r="E189" s="49"/>
      <c r="G189" s="59"/>
      <c r="H189" s="60"/>
      <c r="I189" s="59"/>
      <c r="J189" s="56"/>
      <c r="K189" s="55"/>
    </row>
    <row r="190" spans="2:12" x14ac:dyDescent="0.25">
      <c r="B190" s="37">
        <v>35558</v>
      </c>
      <c r="C190" s="51">
        <v>35972</v>
      </c>
      <c r="D190" s="52"/>
      <c r="E190" s="62"/>
      <c r="F190" s="42"/>
      <c r="G190" s="42"/>
      <c r="H190" s="58"/>
      <c r="I190" s="40"/>
      <c r="J190" s="40"/>
      <c r="K190" s="55"/>
    </row>
    <row r="191" spans="2:12" x14ac:dyDescent="0.25">
      <c r="B191" s="44" t="s">
        <v>611</v>
      </c>
      <c r="C191" s="45">
        <v>37330</v>
      </c>
      <c r="D191" s="52" t="s">
        <v>757</v>
      </c>
      <c r="E191" s="62">
        <v>34332.5</v>
      </c>
      <c r="F191" s="49">
        <v>34332.5</v>
      </c>
      <c r="G191" s="49">
        <v>29260.11</v>
      </c>
      <c r="H191" s="63" t="s">
        <v>758</v>
      </c>
      <c r="I191" s="47">
        <v>96.63</v>
      </c>
      <c r="J191" s="545">
        <f>SUM(G191-I191)</f>
        <v>29163.48</v>
      </c>
      <c r="K191" s="55"/>
    </row>
    <row r="192" spans="2:12" x14ac:dyDescent="0.25">
      <c r="B192" s="37" t="s">
        <v>438</v>
      </c>
      <c r="C192" s="64"/>
      <c r="D192" s="65"/>
      <c r="E192" s="54"/>
      <c r="F192" s="3"/>
      <c r="G192" s="3"/>
      <c r="I192" s="3"/>
      <c r="J192" s="3"/>
      <c r="K192" s="55"/>
    </row>
    <row r="193" spans="2:11" x14ac:dyDescent="0.25">
      <c r="B193" s="44" t="s">
        <v>370</v>
      </c>
      <c r="C193" s="66">
        <v>37330</v>
      </c>
      <c r="D193" s="67" t="s">
        <v>757</v>
      </c>
      <c r="E193" s="47">
        <v>269302.5</v>
      </c>
      <c r="F193" s="47">
        <v>688472.5</v>
      </c>
      <c r="G193" s="63">
        <f>138000+41625.31</f>
        <v>179625.31</v>
      </c>
      <c r="H193" s="48" t="s">
        <v>758</v>
      </c>
      <c r="I193" s="47">
        <v>226.37</v>
      </c>
      <c r="J193" s="545">
        <f>SUM(G193-I193)</f>
        <v>179398.94</v>
      </c>
      <c r="K193" s="55"/>
    </row>
    <row r="194" spans="2:11" x14ac:dyDescent="0.25">
      <c r="B194" s="398">
        <v>37012</v>
      </c>
      <c r="C194" s="399"/>
      <c r="D194" s="65"/>
      <c r="E194" s="40"/>
      <c r="F194" s="40"/>
      <c r="G194" s="40"/>
      <c r="H194" s="41"/>
      <c r="I194" s="40"/>
      <c r="J194" s="42"/>
      <c r="K194" s="55"/>
    </row>
    <row r="195" spans="2:11" x14ac:dyDescent="0.25">
      <c r="B195" s="44" t="s">
        <v>557</v>
      </c>
      <c r="C195" s="400">
        <v>37330</v>
      </c>
      <c r="D195" s="67" t="s">
        <v>757</v>
      </c>
      <c r="E195" s="47">
        <v>13915</v>
      </c>
      <c r="F195" s="47">
        <v>13915</v>
      </c>
      <c r="G195" s="63">
        <f>10000+2105.83</f>
        <v>12105.83</v>
      </c>
      <c r="H195" s="48"/>
      <c r="I195" s="47">
        <v>233</v>
      </c>
      <c r="J195" s="545">
        <f>SUM(G195-I195)</f>
        <v>11872.83</v>
      </c>
      <c r="K195" s="55"/>
    </row>
    <row r="196" spans="2:11" x14ac:dyDescent="0.25">
      <c r="B196" s="37">
        <v>35922</v>
      </c>
      <c r="C196" s="51"/>
      <c r="D196" s="52"/>
      <c r="E196" s="59"/>
      <c r="F196" s="59"/>
      <c r="G196" s="59"/>
      <c r="H196" s="62"/>
      <c r="I196" s="59"/>
      <c r="J196" s="56"/>
      <c r="K196" s="55"/>
    </row>
    <row r="197" spans="2:11" x14ac:dyDescent="0.25">
      <c r="B197" s="37" t="s">
        <v>591</v>
      </c>
      <c r="C197" s="51">
        <v>36951</v>
      </c>
      <c r="D197" s="52" t="s">
        <v>757</v>
      </c>
      <c r="E197" s="59">
        <v>84867.57</v>
      </c>
      <c r="F197" s="59">
        <v>87860</v>
      </c>
      <c r="G197" s="59">
        <v>90910</v>
      </c>
      <c r="H197" s="62" t="s">
        <v>607</v>
      </c>
      <c r="I197" s="59"/>
      <c r="J197" s="379">
        <f>G197-(I197+I198)</f>
        <v>90730.26</v>
      </c>
      <c r="K197" s="55"/>
    </row>
    <row r="198" spans="2:11" x14ac:dyDescent="0.25">
      <c r="B198" s="44" t="s">
        <v>618</v>
      </c>
      <c r="C198" s="45">
        <v>40558</v>
      </c>
      <c r="D198" s="46" t="s">
        <v>757</v>
      </c>
      <c r="E198" s="59"/>
      <c r="F198" s="59"/>
      <c r="G198" s="59"/>
      <c r="H198" s="62" t="s">
        <v>620</v>
      </c>
      <c r="I198" s="59">
        <v>179.74</v>
      </c>
      <c r="J198" s="554"/>
      <c r="K198" s="55"/>
    </row>
    <row r="199" spans="2:11" x14ac:dyDescent="0.25">
      <c r="B199" s="69">
        <v>36426</v>
      </c>
      <c r="C199" s="38">
        <v>36651</v>
      </c>
      <c r="D199" s="70"/>
      <c r="E199" s="42"/>
      <c r="F199" s="40"/>
      <c r="G199" s="40"/>
      <c r="H199" s="41"/>
      <c r="I199" s="40"/>
      <c r="J199" s="40"/>
      <c r="K199" s="55"/>
    </row>
    <row r="200" spans="2:11" x14ac:dyDescent="0.25">
      <c r="B200" s="52" t="s">
        <v>593</v>
      </c>
      <c r="C200" s="51">
        <v>36951</v>
      </c>
      <c r="D200" s="22" t="s">
        <v>757</v>
      </c>
      <c r="E200" s="56">
        <v>96298.47</v>
      </c>
      <c r="F200" s="59">
        <v>107352.5</v>
      </c>
      <c r="G200" s="59">
        <v>106862.5</v>
      </c>
      <c r="H200" s="62" t="s">
        <v>201</v>
      </c>
      <c r="I200" s="59">
        <v>10836.77</v>
      </c>
      <c r="J200" s="379">
        <f>G200-(I200+I201)</f>
        <v>96025.73</v>
      </c>
      <c r="K200" s="55"/>
    </row>
    <row r="201" spans="2:11" x14ac:dyDescent="0.25">
      <c r="B201" s="46" t="s">
        <v>618</v>
      </c>
      <c r="C201" s="45">
        <v>40558</v>
      </c>
      <c r="D201" s="71" t="s">
        <v>757</v>
      </c>
      <c r="E201" s="49"/>
      <c r="F201" s="47"/>
      <c r="G201" s="47"/>
      <c r="H201" s="48" t="s">
        <v>620</v>
      </c>
      <c r="I201" s="47"/>
      <c r="J201" s="545"/>
      <c r="K201" s="55"/>
    </row>
    <row r="202" spans="2:11" x14ac:dyDescent="0.25">
      <c r="B202" s="50">
        <v>36650</v>
      </c>
      <c r="C202" s="51">
        <v>36791</v>
      </c>
      <c r="D202" s="52"/>
      <c r="E202" s="56"/>
      <c r="F202" s="59"/>
      <c r="G202" s="59"/>
      <c r="H202" s="62"/>
      <c r="I202" s="59"/>
      <c r="J202" s="59"/>
      <c r="K202" s="55"/>
    </row>
    <row r="203" spans="2:11" x14ac:dyDescent="0.25">
      <c r="B203" s="3" t="s">
        <v>464</v>
      </c>
      <c r="C203" s="51">
        <v>36951</v>
      </c>
      <c r="D203" s="52" t="s">
        <v>757</v>
      </c>
      <c r="E203" s="5"/>
      <c r="F203" s="5"/>
      <c r="G203" s="5"/>
      <c r="H203" s="36"/>
      <c r="I203" s="3"/>
      <c r="J203" s="5"/>
      <c r="K203" s="55"/>
    </row>
    <row r="204" spans="2:11" x14ac:dyDescent="0.25">
      <c r="B204" s="2" t="s">
        <v>618</v>
      </c>
      <c r="C204" s="45">
        <v>40558</v>
      </c>
      <c r="D204" s="46" t="s">
        <v>757</v>
      </c>
      <c r="E204" s="49">
        <v>25989.7</v>
      </c>
      <c r="F204" s="47">
        <v>26440</v>
      </c>
      <c r="G204" s="47">
        <v>27750</v>
      </c>
      <c r="H204" s="48" t="s">
        <v>620</v>
      </c>
      <c r="I204" s="47">
        <v>137.1</v>
      </c>
      <c r="J204" s="545">
        <f>SUM(G204-I204)</f>
        <v>27612.9</v>
      </c>
      <c r="K204" s="52"/>
    </row>
    <row r="205" spans="2:11" x14ac:dyDescent="0.25">
      <c r="B205" s="50">
        <v>39205</v>
      </c>
      <c r="C205" s="51">
        <v>39835</v>
      </c>
      <c r="D205" s="52" t="s">
        <v>666</v>
      </c>
      <c r="E205" s="56"/>
      <c r="F205" s="59"/>
      <c r="G205" s="59"/>
      <c r="H205" s="62"/>
      <c r="I205" s="59"/>
      <c r="J205" s="554"/>
      <c r="K205" s="52"/>
    </row>
    <row r="206" spans="2:11" x14ac:dyDescent="0.25">
      <c r="B206" s="2" t="s">
        <v>60</v>
      </c>
      <c r="C206" s="45">
        <v>40564</v>
      </c>
      <c r="D206" s="46" t="s">
        <v>757</v>
      </c>
      <c r="G206" s="47"/>
      <c r="H206" s="48"/>
      <c r="I206" s="47"/>
      <c r="K206" s="52"/>
    </row>
    <row r="207" spans="2:11" x14ac:dyDescent="0.25">
      <c r="B207" s="2" t="s">
        <v>618</v>
      </c>
      <c r="C207" s="45">
        <v>40558</v>
      </c>
      <c r="D207" s="46" t="s">
        <v>757</v>
      </c>
      <c r="E207" s="49">
        <v>51057.85</v>
      </c>
      <c r="F207" s="47">
        <v>51980</v>
      </c>
      <c r="G207" s="47">
        <v>50780</v>
      </c>
      <c r="H207" s="48" t="s">
        <v>620</v>
      </c>
      <c r="I207" s="48">
        <v>571.23</v>
      </c>
      <c r="J207" s="545">
        <f>SUM(G207-I207)</f>
        <v>50208.77</v>
      </c>
      <c r="K207" s="52"/>
    </row>
    <row r="208" spans="2:11" x14ac:dyDescent="0.25">
      <c r="B208" s="470" t="s">
        <v>596</v>
      </c>
      <c r="C208" s="471"/>
      <c r="D208" s="471"/>
      <c r="E208" s="472">
        <v>867410.43</v>
      </c>
      <c r="F208" s="473">
        <f>SUM(F182:F207)</f>
        <v>1807029.96</v>
      </c>
      <c r="G208" s="473">
        <f>SUM(G182:G207)</f>
        <v>1260776.7766</v>
      </c>
      <c r="H208" s="474"/>
      <c r="I208" s="474">
        <f>SUM(I182:I207)</f>
        <v>439252.79119999998</v>
      </c>
      <c r="J208" s="472">
        <f>SUM(J182:J207)</f>
        <v>821523.98539999989</v>
      </c>
      <c r="K208" s="67" t="s">
        <v>188</v>
      </c>
    </row>
    <row r="210" spans="2:12" x14ac:dyDescent="0.25">
      <c r="B210" s="4"/>
      <c r="I210" s="1" t="s">
        <v>750</v>
      </c>
      <c r="J210" s="6">
        <f>G208-I208</f>
        <v>821523.98540000001</v>
      </c>
    </row>
    <row r="211" spans="2:12" x14ac:dyDescent="0.25">
      <c r="C211" s="1"/>
      <c r="D211" s="72"/>
      <c r="E211" s="32" t="s">
        <v>777</v>
      </c>
      <c r="F211" s="32" t="s">
        <v>778</v>
      </c>
      <c r="G211" s="32" t="s">
        <v>779</v>
      </c>
      <c r="H211" s="32"/>
      <c r="I211" s="32" t="s">
        <v>616</v>
      </c>
      <c r="J211" s="32" t="s">
        <v>780</v>
      </c>
    </row>
    <row r="212" spans="2:12" x14ac:dyDescent="0.25">
      <c r="B212" s="424"/>
      <c r="C212" s="425"/>
      <c r="D212" s="425"/>
      <c r="E212" s="425"/>
      <c r="F212" s="425"/>
      <c r="G212" s="426" t="s">
        <v>16</v>
      </c>
      <c r="H212" s="425"/>
      <c r="I212" s="425"/>
      <c r="J212" s="427"/>
      <c r="K212" s="453" t="s">
        <v>23</v>
      </c>
    </row>
    <row r="213" spans="2:12" x14ac:dyDescent="0.25">
      <c r="B213" s="37">
        <v>31904</v>
      </c>
      <c r="C213" s="38">
        <v>32021</v>
      </c>
      <c r="D213" s="39" t="s">
        <v>757</v>
      </c>
      <c r="E213" s="40"/>
      <c r="F213" s="40">
        <v>0</v>
      </c>
      <c r="G213" s="40">
        <v>0</v>
      </c>
      <c r="H213" s="41" t="s">
        <v>758</v>
      </c>
      <c r="I213" s="41"/>
      <c r="J213" s="42">
        <f>SUM(G213-I213)</f>
        <v>0</v>
      </c>
      <c r="K213" s="65"/>
      <c r="L213" s="251"/>
    </row>
    <row r="214" spans="2:12" x14ac:dyDescent="0.25">
      <c r="B214" s="44" t="s">
        <v>529</v>
      </c>
      <c r="C214" s="45"/>
      <c r="D214" s="46"/>
      <c r="E214" s="47"/>
      <c r="F214" s="47"/>
      <c r="G214" s="47"/>
      <c r="H214" s="48"/>
      <c r="I214" s="48"/>
      <c r="J214" s="49"/>
      <c r="K214" s="55"/>
    </row>
    <row r="215" spans="2:12" x14ac:dyDescent="0.25">
      <c r="B215" s="50">
        <v>35368</v>
      </c>
      <c r="C215" s="51"/>
      <c r="D215" s="52"/>
      <c r="E215" s="53"/>
      <c r="F215" s="53"/>
      <c r="G215" s="53"/>
      <c r="I215" s="54"/>
      <c r="J215" s="53"/>
      <c r="K215" s="55"/>
    </row>
    <row r="216" spans="2:12" x14ac:dyDescent="0.25">
      <c r="B216" s="50" t="s">
        <v>617</v>
      </c>
      <c r="C216" s="51">
        <v>36951</v>
      </c>
      <c r="D216" s="52" t="s">
        <v>757</v>
      </c>
      <c r="E216" s="56">
        <v>35461</v>
      </c>
      <c r="F216" s="59">
        <f>'LONG-TERM DEBT'!V57+'LONG-TERM DEBT'!V97</f>
        <v>101587.5</v>
      </c>
      <c r="G216" s="59">
        <f>'LONG-TERM DEBT'!W57+'LONG-TERM DEBT'!W97</f>
        <v>104037.5</v>
      </c>
      <c r="H216" s="62" t="s">
        <v>658</v>
      </c>
      <c r="I216" s="62">
        <v>66000</v>
      </c>
      <c r="J216" s="379">
        <f>G216-(I216+I217)</f>
        <v>37910.089999999997</v>
      </c>
      <c r="K216" s="55"/>
    </row>
    <row r="217" spans="2:12" x14ac:dyDescent="0.25">
      <c r="B217" s="44" t="s">
        <v>618</v>
      </c>
      <c r="C217" s="45">
        <v>40558</v>
      </c>
      <c r="D217" s="46" t="s">
        <v>757</v>
      </c>
      <c r="E217" s="49"/>
      <c r="F217" s="47"/>
      <c r="G217" s="47"/>
      <c r="H217" s="28" t="s">
        <v>619</v>
      </c>
      <c r="I217" s="47">
        <v>127.41</v>
      </c>
      <c r="J217" s="543"/>
      <c r="K217" s="55"/>
    </row>
    <row r="218" spans="2:12" x14ac:dyDescent="0.25">
      <c r="B218" s="37">
        <v>35558</v>
      </c>
      <c r="C218" s="51">
        <v>35993</v>
      </c>
      <c r="D218" s="55" t="s">
        <v>666</v>
      </c>
      <c r="E218" s="56">
        <v>0</v>
      </c>
      <c r="F218" s="56"/>
      <c r="G218" s="57">
        <v>0</v>
      </c>
      <c r="H218" s="58" t="s">
        <v>667</v>
      </c>
      <c r="I218" s="40"/>
      <c r="J218" s="56">
        <f>SUM(G218-I218)</f>
        <v>0</v>
      </c>
      <c r="K218" s="55" t="s">
        <v>141</v>
      </c>
    </row>
    <row r="219" spans="2:12" x14ac:dyDescent="0.25">
      <c r="B219" s="37" t="s">
        <v>739</v>
      </c>
      <c r="C219" s="51"/>
      <c r="D219" s="52" t="s">
        <v>757</v>
      </c>
      <c r="E219" s="47">
        <v>301101</v>
      </c>
      <c r="F219" s="59">
        <v>661895.53</v>
      </c>
      <c r="G219" s="565">
        <v>619939</v>
      </c>
      <c r="H219" s="60"/>
      <c r="I219" s="566">
        <v>357064.85</v>
      </c>
      <c r="J219" s="544">
        <f>SUM(G219-I219)</f>
        <v>262874.15000000002</v>
      </c>
      <c r="K219" s="55" t="s">
        <v>142</v>
      </c>
      <c r="L219" s="1" t="s">
        <v>626</v>
      </c>
    </row>
    <row r="220" spans="2:12" x14ac:dyDescent="0.25">
      <c r="B220" s="44"/>
      <c r="C220" s="45"/>
      <c r="D220" s="46" t="s">
        <v>666</v>
      </c>
      <c r="E220" s="49"/>
      <c r="G220" s="59"/>
      <c r="H220" s="60"/>
      <c r="I220" s="59"/>
      <c r="J220" s="56"/>
      <c r="K220" s="55">
        <v>298001.21999999997</v>
      </c>
    </row>
    <row r="221" spans="2:12" x14ac:dyDescent="0.25">
      <c r="B221" s="37">
        <v>35558</v>
      </c>
      <c r="C221" s="51">
        <v>35972</v>
      </c>
      <c r="D221" s="52"/>
      <c r="E221" s="62"/>
      <c r="F221" s="42"/>
      <c r="G221" s="42"/>
      <c r="H221" s="58"/>
      <c r="I221" s="40"/>
      <c r="J221" s="40"/>
      <c r="K221" s="55"/>
    </row>
    <row r="222" spans="2:12" x14ac:dyDescent="0.25">
      <c r="B222" s="44" t="s">
        <v>611</v>
      </c>
      <c r="C222" s="45">
        <v>37330</v>
      </c>
      <c r="D222" s="52" t="s">
        <v>757</v>
      </c>
      <c r="E222" s="62">
        <v>29163</v>
      </c>
      <c r="F222" s="49">
        <f>'LONG-TERM DEBT'!V63+'LONG-TERM DEBT'!V103</f>
        <v>29260.11</v>
      </c>
      <c r="G222" s="49">
        <f>'LONG-TERM DEBT'!W63+'LONG-TERM DEBT'!W103</f>
        <v>31800</v>
      </c>
      <c r="H222" s="63" t="s">
        <v>758</v>
      </c>
      <c r="I222" s="47">
        <v>96.63</v>
      </c>
      <c r="J222" s="545">
        <f>SUM(G222-I222)</f>
        <v>31703.37</v>
      </c>
      <c r="K222" s="55"/>
    </row>
    <row r="223" spans="2:12" x14ac:dyDescent="0.25">
      <c r="B223" s="37" t="s">
        <v>438</v>
      </c>
      <c r="C223" s="64"/>
      <c r="D223" s="65"/>
      <c r="E223" s="54"/>
      <c r="F223" s="3"/>
      <c r="G223" s="3"/>
      <c r="I223" s="3"/>
      <c r="J223" s="3"/>
      <c r="K223" s="55"/>
    </row>
    <row r="224" spans="2:12" x14ac:dyDescent="0.25">
      <c r="B224" s="44" t="s">
        <v>370</v>
      </c>
      <c r="C224" s="66">
        <v>37330</v>
      </c>
      <c r="D224" s="67" t="s">
        <v>757</v>
      </c>
      <c r="E224" s="47">
        <v>179399</v>
      </c>
      <c r="F224" s="47">
        <f>'LONG-TERM DEBT'!V65+'LONG-TERM DEBT'!V105</f>
        <v>179625.31</v>
      </c>
      <c r="G224" s="47">
        <f>'LONG-TERM DEBT'!W65+'LONG-TERM DEBT'!W105</f>
        <v>178750</v>
      </c>
      <c r="H224" s="48" t="s">
        <v>758</v>
      </c>
      <c r="I224" s="47">
        <v>226.37</v>
      </c>
      <c r="J224" s="545">
        <f>SUM(G224-I224)</f>
        <v>178523.63</v>
      </c>
      <c r="K224" s="55"/>
    </row>
    <row r="225" spans="2:11" x14ac:dyDescent="0.25">
      <c r="B225" s="398">
        <v>37012</v>
      </c>
      <c r="C225" s="399"/>
      <c r="D225" s="65"/>
      <c r="E225" s="40"/>
      <c r="F225" s="40"/>
      <c r="G225" s="40"/>
      <c r="H225" s="41"/>
      <c r="I225" s="40"/>
      <c r="J225" s="42"/>
      <c r="K225" s="55"/>
    </row>
    <row r="226" spans="2:11" x14ac:dyDescent="0.25">
      <c r="B226" s="44" t="s">
        <v>557</v>
      </c>
      <c r="C226" s="400">
        <v>37330</v>
      </c>
      <c r="D226" s="67" t="s">
        <v>757</v>
      </c>
      <c r="E226" s="47">
        <v>11873</v>
      </c>
      <c r="F226" s="47">
        <f>'LONG-TERM DEBT'!V66+'LONG-TERM DEBT'!V106</f>
        <v>12105.83</v>
      </c>
      <c r="G226" s="47">
        <f>'LONG-TERM DEBT'!W66+'LONG-TERM DEBT'!W106</f>
        <v>11900</v>
      </c>
      <c r="H226" s="48"/>
      <c r="I226" s="47">
        <v>233</v>
      </c>
      <c r="J226" s="545">
        <f>SUM(G226-I226)</f>
        <v>11667</v>
      </c>
      <c r="K226" s="55"/>
    </row>
    <row r="227" spans="2:11" x14ac:dyDescent="0.25">
      <c r="B227" s="37">
        <v>35922</v>
      </c>
      <c r="C227" s="51"/>
      <c r="D227" s="52"/>
      <c r="E227" s="59"/>
      <c r="F227" s="59"/>
      <c r="G227" s="59"/>
      <c r="H227" s="62"/>
      <c r="I227" s="59"/>
      <c r="J227" s="56"/>
      <c r="K227" s="55"/>
    </row>
    <row r="228" spans="2:11" x14ac:dyDescent="0.25">
      <c r="B228" s="37" t="s">
        <v>591</v>
      </c>
      <c r="C228" s="51">
        <v>36951</v>
      </c>
      <c r="D228" s="52" t="s">
        <v>757</v>
      </c>
      <c r="E228" s="59">
        <v>90730</v>
      </c>
      <c r="F228" s="59">
        <f>'LONG-TERM DEBT'!V58+'LONG-TERM DEBT'!V98</f>
        <v>90910</v>
      </c>
      <c r="G228" s="59">
        <f>'LONG-TERM DEBT'!W58+'LONG-TERM DEBT'!W98</f>
        <v>93810</v>
      </c>
      <c r="H228" s="62" t="s">
        <v>607</v>
      </c>
      <c r="I228" s="59"/>
      <c r="J228" s="379">
        <f>G228-(I228+I229)</f>
        <v>93630.26</v>
      </c>
      <c r="K228" s="55"/>
    </row>
    <row r="229" spans="2:11" x14ac:dyDescent="0.25">
      <c r="B229" s="44" t="s">
        <v>618</v>
      </c>
      <c r="C229" s="45">
        <v>40558</v>
      </c>
      <c r="D229" s="46" t="s">
        <v>757</v>
      </c>
      <c r="E229" s="59"/>
      <c r="F229" s="59"/>
      <c r="G229" s="59"/>
      <c r="H229" s="62" t="s">
        <v>620</v>
      </c>
      <c r="I229" s="59">
        <v>179.74</v>
      </c>
      <c r="J229" s="554"/>
      <c r="K229" s="55"/>
    </row>
    <row r="230" spans="2:11" x14ac:dyDescent="0.25">
      <c r="B230" s="69">
        <v>36426</v>
      </c>
      <c r="C230" s="38">
        <v>36651</v>
      </c>
      <c r="D230" s="70"/>
      <c r="E230" s="42"/>
      <c r="F230" s="40"/>
      <c r="G230" s="40"/>
      <c r="H230" s="41"/>
      <c r="I230" s="40"/>
      <c r="J230" s="40"/>
      <c r="K230" s="55"/>
    </row>
    <row r="231" spans="2:11" x14ac:dyDescent="0.25">
      <c r="B231" s="52" t="s">
        <v>593</v>
      </c>
      <c r="C231" s="51">
        <v>36951</v>
      </c>
      <c r="D231" s="22" t="s">
        <v>757</v>
      </c>
      <c r="E231" s="56">
        <v>96026</v>
      </c>
      <c r="F231" s="59">
        <f>'LONG-TERM DEBT'!V56+'LONG-TERM DEBT'!V96+8500+2186.25</f>
        <v>106862.5</v>
      </c>
      <c r="G231" s="59">
        <f>'LONG-TERM DEBT'!W56+'LONG-TERM DEBT'!W96+9000+1931.25</f>
        <v>109312.5</v>
      </c>
      <c r="H231" s="62" t="s">
        <v>201</v>
      </c>
      <c r="I231" s="59">
        <v>10836.77</v>
      </c>
      <c r="J231" s="379">
        <f>G231-(I231+I232)</f>
        <v>98475.73</v>
      </c>
      <c r="K231" s="55"/>
    </row>
    <row r="232" spans="2:11" x14ac:dyDescent="0.25">
      <c r="B232" s="46" t="s">
        <v>618</v>
      </c>
      <c r="C232" s="45">
        <v>40558</v>
      </c>
      <c r="D232" s="71" t="s">
        <v>757</v>
      </c>
      <c r="E232" s="49"/>
      <c r="F232" s="47"/>
      <c r="G232" s="47"/>
      <c r="H232" s="48" t="s">
        <v>620</v>
      </c>
      <c r="I232" s="47"/>
      <c r="J232" s="545"/>
      <c r="K232" s="55"/>
    </row>
    <row r="233" spans="2:11" x14ac:dyDescent="0.25">
      <c r="B233" s="50">
        <v>36650</v>
      </c>
      <c r="C233" s="51">
        <v>36791</v>
      </c>
      <c r="D233" s="52"/>
      <c r="E233" s="56"/>
      <c r="F233" s="59"/>
      <c r="G233" s="59"/>
      <c r="H233" s="62"/>
      <c r="I233" s="59"/>
      <c r="J233" s="59"/>
      <c r="K233" s="55"/>
    </row>
    <row r="234" spans="2:11" x14ac:dyDescent="0.25">
      <c r="B234" s="3" t="s">
        <v>464</v>
      </c>
      <c r="C234" s="51">
        <v>36951</v>
      </c>
      <c r="D234" s="52" t="s">
        <v>757</v>
      </c>
      <c r="E234" s="5"/>
      <c r="F234" s="5"/>
      <c r="G234" s="5"/>
      <c r="H234" s="36"/>
      <c r="I234" s="3"/>
      <c r="J234" s="5"/>
      <c r="K234" s="55"/>
    </row>
    <row r="235" spans="2:11" x14ac:dyDescent="0.25">
      <c r="B235" s="2" t="s">
        <v>618</v>
      </c>
      <c r="C235" s="45">
        <v>40558</v>
      </c>
      <c r="D235" s="46" t="s">
        <v>757</v>
      </c>
      <c r="E235" s="49">
        <v>27613</v>
      </c>
      <c r="F235" s="47">
        <v>27750</v>
      </c>
      <c r="G235" s="47">
        <v>27000</v>
      </c>
      <c r="H235" s="48" t="s">
        <v>620</v>
      </c>
      <c r="I235" s="47">
        <v>137.1</v>
      </c>
      <c r="J235" s="545">
        <f>SUM(G235-I235)</f>
        <v>26862.9</v>
      </c>
      <c r="K235" s="52"/>
    </row>
    <row r="236" spans="2:11" x14ac:dyDescent="0.25">
      <c r="B236" s="50">
        <v>39205</v>
      </c>
      <c r="C236" s="51">
        <v>39835</v>
      </c>
      <c r="D236" s="52" t="s">
        <v>666</v>
      </c>
      <c r="E236" s="56"/>
      <c r="F236" s="59"/>
      <c r="G236" s="59"/>
      <c r="H236" s="62"/>
      <c r="I236" s="59"/>
      <c r="J236" s="554"/>
      <c r="K236" s="52"/>
    </row>
    <row r="237" spans="2:11" x14ac:dyDescent="0.25">
      <c r="B237" s="2" t="s">
        <v>60</v>
      </c>
      <c r="C237" s="45">
        <v>40564</v>
      </c>
      <c r="D237" s="46" t="s">
        <v>757</v>
      </c>
      <c r="G237" s="47"/>
      <c r="H237" s="48"/>
      <c r="I237" s="47"/>
      <c r="K237" s="52"/>
    </row>
    <row r="238" spans="2:11" x14ac:dyDescent="0.25">
      <c r="B238" s="2" t="s">
        <v>618</v>
      </c>
      <c r="C238" s="45">
        <v>40558</v>
      </c>
      <c r="D238" s="46" t="s">
        <v>757</v>
      </c>
      <c r="E238" s="49">
        <v>50209</v>
      </c>
      <c r="F238" s="47">
        <f>'LONG-TERM DEBT'!V61+'LONG-TERM DEBT'!V101</f>
        <v>50780</v>
      </c>
      <c r="G238" s="47">
        <f>'LONG-TERM DEBT'!W61+'LONG-TERM DEBT'!W101</f>
        <v>49580</v>
      </c>
      <c r="H238" s="48" t="s">
        <v>620</v>
      </c>
      <c r="I238" s="48">
        <v>571.23</v>
      </c>
      <c r="J238" s="545">
        <f>SUM(G238-I238)</f>
        <v>49008.77</v>
      </c>
      <c r="K238" s="52"/>
    </row>
    <row r="239" spans="2:11" x14ac:dyDescent="0.25">
      <c r="B239" s="470" t="s">
        <v>596</v>
      </c>
      <c r="C239" s="471"/>
      <c r="D239" s="471"/>
      <c r="E239" s="473">
        <f>SUM(E213:E238)</f>
        <v>821575</v>
      </c>
      <c r="F239" s="473">
        <f>SUM(F213:F238)</f>
        <v>1260776.7799999998</v>
      </c>
      <c r="G239" s="473">
        <f>SUM(G213:G238)</f>
        <v>1226129</v>
      </c>
      <c r="H239" s="474"/>
      <c r="I239" s="474">
        <f>SUM(I213:I238)</f>
        <v>435473.1</v>
      </c>
      <c r="J239" s="472">
        <f>SUM(J213:J238)</f>
        <v>790655.9</v>
      </c>
      <c r="K239" s="67" t="s">
        <v>188</v>
      </c>
    </row>
    <row r="240" spans="2:11" x14ac:dyDescent="0.25">
      <c r="B240" s="556"/>
      <c r="C240" s="32"/>
      <c r="D240" s="32"/>
      <c r="E240" s="557"/>
      <c r="F240" s="557"/>
      <c r="G240" s="557"/>
      <c r="H240" s="557"/>
      <c r="I240" s="557"/>
      <c r="J240" s="557"/>
      <c r="K240" s="22"/>
    </row>
    <row r="241" spans="2:12" x14ac:dyDescent="0.25">
      <c r="B241" s="556"/>
      <c r="C241" s="32"/>
      <c r="D241" s="32"/>
      <c r="E241" s="557"/>
      <c r="F241" s="557"/>
      <c r="G241" s="557"/>
      <c r="H241" s="557"/>
      <c r="I241" s="557"/>
      <c r="J241" s="557"/>
      <c r="K241" s="22"/>
    </row>
    <row r="242" spans="2:12" x14ac:dyDescent="0.25">
      <c r="C242" s="1"/>
      <c r="D242" s="72"/>
      <c r="E242" s="32" t="s">
        <v>179</v>
      </c>
      <c r="F242" s="32" t="s">
        <v>124</v>
      </c>
      <c r="G242" s="32" t="s">
        <v>125</v>
      </c>
      <c r="H242" s="32"/>
      <c r="I242" s="32" t="s">
        <v>616</v>
      </c>
      <c r="J242" s="32" t="s">
        <v>193</v>
      </c>
    </row>
    <row r="243" spans="2:12" x14ac:dyDescent="0.25">
      <c r="B243" s="424"/>
      <c r="C243" s="425"/>
      <c r="D243" s="425"/>
      <c r="E243" s="425"/>
      <c r="F243" s="425"/>
      <c r="G243" s="426" t="s">
        <v>192</v>
      </c>
      <c r="H243" s="425"/>
      <c r="I243" s="425"/>
      <c r="J243" s="427"/>
      <c r="K243" s="453" t="s">
        <v>23</v>
      </c>
    </row>
    <row r="244" spans="2:12" x14ac:dyDescent="0.25">
      <c r="B244" s="37">
        <v>31904</v>
      </c>
      <c r="C244" s="38">
        <v>32021</v>
      </c>
      <c r="D244" s="39" t="s">
        <v>757</v>
      </c>
      <c r="E244" s="40"/>
      <c r="F244" s="40">
        <v>0</v>
      </c>
      <c r="G244" s="40">
        <v>0</v>
      </c>
      <c r="H244" s="41" t="s">
        <v>758</v>
      </c>
      <c r="I244" s="41"/>
      <c r="J244" s="42">
        <f>SUM(G244-I244)</f>
        <v>0</v>
      </c>
      <c r="K244" s="65"/>
      <c r="L244" s="251"/>
    </row>
    <row r="245" spans="2:12" x14ac:dyDescent="0.25">
      <c r="B245" s="44" t="s">
        <v>529</v>
      </c>
      <c r="C245" s="45"/>
      <c r="D245" s="46"/>
      <c r="E245" s="47"/>
      <c r="F245" s="47"/>
      <c r="G245" s="47"/>
      <c r="H245" s="48"/>
      <c r="I245" s="48"/>
      <c r="J245" s="49"/>
      <c r="K245" s="55"/>
    </row>
    <row r="246" spans="2:12" x14ac:dyDescent="0.25">
      <c r="B246" s="50">
        <v>35368</v>
      </c>
      <c r="C246" s="51"/>
      <c r="D246" s="52"/>
      <c r="E246" s="53"/>
      <c r="F246" s="53"/>
      <c r="G246" s="53"/>
      <c r="I246" s="54"/>
      <c r="J246" s="53"/>
      <c r="K246" s="55"/>
    </row>
    <row r="247" spans="2:12" x14ac:dyDescent="0.25">
      <c r="B247" s="50" t="s">
        <v>617</v>
      </c>
      <c r="C247" s="51">
        <v>36951</v>
      </c>
      <c r="D247" s="52" t="s">
        <v>757</v>
      </c>
      <c r="E247" s="56">
        <v>37910</v>
      </c>
      <c r="F247" s="59">
        <f>'LONG-TERM DEBT'!W57+'LONG-TERM DEBT'!W97</f>
        <v>104037.5</v>
      </c>
      <c r="G247" s="59">
        <f>'LONG-TERM DEBT'!X57+'LONG-TERM DEBT'!X97</f>
        <v>105437.5</v>
      </c>
      <c r="H247" s="62" t="s">
        <v>658</v>
      </c>
      <c r="I247" s="62">
        <v>66000</v>
      </c>
      <c r="J247" s="379">
        <f>G247-(I247+I248)</f>
        <v>39310.089999999997</v>
      </c>
      <c r="K247" s="55"/>
    </row>
    <row r="248" spans="2:12" x14ac:dyDescent="0.25">
      <c r="B248" s="44" t="s">
        <v>618</v>
      </c>
      <c r="C248" s="45">
        <v>40558</v>
      </c>
      <c r="D248" s="46" t="s">
        <v>757</v>
      </c>
      <c r="E248" s="49"/>
      <c r="F248" s="47"/>
      <c r="G248" s="47"/>
      <c r="H248" s="28" t="s">
        <v>619</v>
      </c>
      <c r="I248" s="47">
        <v>127.41</v>
      </c>
      <c r="J248" s="543"/>
      <c r="K248" s="55"/>
    </row>
    <row r="249" spans="2:12" x14ac:dyDescent="0.25">
      <c r="B249" s="37">
        <v>35558</v>
      </c>
      <c r="C249" s="51">
        <v>35993</v>
      </c>
      <c r="D249" s="55" t="s">
        <v>666</v>
      </c>
      <c r="E249" s="56">
        <v>0</v>
      </c>
      <c r="F249" s="56"/>
      <c r="G249" s="57">
        <v>0</v>
      </c>
      <c r="H249" s="58" t="s">
        <v>667</v>
      </c>
      <c r="I249" s="40"/>
      <c r="J249" s="56">
        <f>SUM(G249-I249)</f>
        <v>0</v>
      </c>
      <c r="K249" s="55"/>
    </row>
    <row r="250" spans="2:12" x14ac:dyDescent="0.25">
      <c r="B250" s="37" t="s">
        <v>739</v>
      </c>
      <c r="C250" s="51"/>
      <c r="D250" s="52" t="s">
        <v>757</v>
      </c>
      <c r="E250" s="47">
        <v>298001.28999999998</v>
      </c>
      <c r="F250" s="59">
        <v>655066.14</v>
      </c>
      <c r="G250" s="60">
        <v>632705.85</v>
      </c>
      <c r="H250" s="60"/>
      <c r="I250" s="580">
        <v>344523.17</v>
      </c>
      <c r="J250" s="544">
        <f>SUM(G250-I250)</f>
        <v>288182.68</v>
      </c>
      <c r="K250" s="55"/>
      <c r="L250" s="1" t="s">
        <v>741</v>
      </c>
    </row>
    <row r="251" spans="2:12" x14ac:dyDescent="0.25">
      <c r="B251" s="44"/>
      <c r="C251" s="45"/>
      <c r="D251" s="46" t="s">
        <v>666</v>
      </c>
      <c r="E251" s="49"/>
      <c r="G251" s="59"/>
      <c r="H251" s="60"/>
      <c r="I251" s="59"/>
      <c r="J251" s="56"/>
      <c r="K251" s="55"/>
    </row>
    <row r="252" spans="2:12" x14ac:dyDescent="0.25">
      <c r="B252" s="37">
        <v>35558</v>
      </c>
      <c r="C252" s="51">
        <v>35972</v>
      </c>
      <c r="D252" s="52"/>
      <c r="E252" s="62"/>
      <c r="F252" s="42"/>
      <c r="G252" s="42"/>
      <c r="H252" s="58"/>
      <c r="I252" s="40"/>
      <c r="J252" s="40"/>
      <c r="K252" s="55"/>
    </row>
    <row r="253" spans="2:12" x14ac:dyDescent="0.25">
      <c r="B253" s="44" t="s">
        <v>611</v>
      </c>
      <c r="C253" s="45">
        <v>37330</v>
      </c>
      <c r="D253" s="52" t="s">
        <v>757</v>
      </c>
      <c r="E253" s="62">
        <v>31703</v>
      </c>
      <c r="F253" s="49">
        <f>'LONG-TERM DEBT'!W63+'LONG-TERM DEBT'!W103</f>
        <v>31800</v>
      </c>
      <c r="G253" s="49">
        <f>'LONG-TERM DEBT'!X63+'LONG-TERM DEBT'!X103</f>
        <v>31050</v>
      </c>
      <c r="H253" s="63" t="s">
        <v>758</v>
      </c>
      <c r="I253" s="47">
        <v>96.63</v>
      </c>
      <c r="J253" s="545">
        <f>SUM(G253-I253)</f>
        <v>30953.37</v>
      </c>
      <c r="K253" s="55"/>
    </row>
    <row r="254" spans="2:12" x14ac:dyDescent="0.25">
      <c r="B254" s="37" t="s">
        <v>438</v>
      </c>
      <c r="C254" s="64"/>
      <c r="D254" s="65"/>
      <c r="E254" s="54"/>
      <c r="F254" s="3"/>
      <c r="G254" s="3"/>
      <c r="I254" s="3"/>
      <c r="J254" s="3"/>
      <c r="K254" s="55"/>
    </row>
    <row r="255" spans="2:12" x14ac:dyDescent="0.25">
      <c r="B255" s="44" t="s">
        <v>370</v>
      </c>
      <c r="C255" s="66">
        <v>37330</v>
      </c>
      <c r="D255" s="67" t="s">
        <v>757</v>
      </c>
      <c r="E255" s="47">
        <v>178524</v>
      </c>
      <c r="F255" s="47">
        <f>'LONG-TERM DEBT'!W65+'LONG-TERM DEBT'!W105</f>
        <v>178750</v>
      </c>
      <c r="G255" s="47">
        <f>'LONG-TERM DEBT'!X65+'LONG-TERM DEBT'!X105</f>
        <v>179550</v>
      </c>
      <c r="H255" s="48" t="s">
        <v>758</v>
      </c>
      <c r="I255" s="47">
        <v>226.37</v>
      </c>
      <c r="J255" s="545">
        <f>SUM(G255-I255)</f>
        <v>179323.63</v>
      </c>
      <c r="K255" s="55"/>
    </row>
    <row r="256" spans="2:12" x14ac:dyDescent="0.25">
      <c r="B256" s="398">
        <v>37012</v>
      </c>
      <c r="C256" s="399"/>
      <c r="D256" s="65"/>
      <c r="E256" s="40"/>
      <c r="F256" s="40"/>
      <c r="G256" s="40"/>
      <c r="H256" s="41"/>
      <c r="I256" s="40"/>
      <c r="J256" s="42"/>
      <c r="K256" s="55"/>
    </row>
    <row r="257" spans="2:11" x14ac:dyDescent="0.25">
      <c r="B257" s="44" t="s">
        <v>557</v>
      </c>
      <c r="C257" s="400">
        <v>37330</v>
      </c>
      <c r="D257" s="67" t="s">
        <v>757</v>
      </c>
      <c r="E257" s="47">
        <v>11667</v>
      </c>
      <c r="F257" s="47">
        <f>'LONG-TERM DEBT'!W66+'LONG-TERM DEBT'!W106</f>
        <v>11900</v>
      </c>
      <c r="G257" s="47">
        <f>'LONG-TERM DEBT'!X66+'LONG-TERM DEBT'!X106</f>
        <v>11600</v>
      </c>
      <c r="H257" s="48"/>
      <c r="I257" s="47">
        <v>233</v>
      </c>
      <c r="J257" s="545">
        <f>SUM(G257-I257)</f>
        <v>11367</v>
      </c>
      <c r="K257" s="55"/>
    </row>
    <row r="258" spans="2:11" x14ac:dyDescent="0.25">
      <c r="B258" s="37">
        <v>35922</v>
      </c>
      <c r="C258" s="51"/>
      <c r="D258" s="52"/>
      <c r="E258" s="59"/>
      <c r="F258" s="59"/>
      <c r="G258" s="59"/>
      <c r="H258" s="62"/>
      <c r="I258" s="59"/>
      <c r="J258" s="56"/>
      <c r="K258" s="55"/>
    </row>
    <row r="259" spans="2:11" x14ac:dyDescent="0.25">
      <c r="B259" s="37" t="s">
        <v>591</v>
      </c>
      <c r="C259" s="51">
        <v>36951</v>
      </c>
      <c r="D259" s="52" t="s">
        <v>757</v>
      </c>
      <c r="E259" s="59">
        <v>93630</v>
      </c>
      <c r="F259" s="59">
        <f>'LONG-TERM DEBT'!W58+'LONG-TERM DEBT'!W98</f>
        <v>93810</v>
      </c>
      <c r="G259" s="59">
        <f>'LONG-TERM DEBT'!X58+'LONG-TERM DEBT'!X98</f>
        <v>90810</v>
      </c>
      <c r="H259" s="62" t="s">
        <v>607</v>
      </c>
      <c r="I259" s="59"/>
      <c r="J259" s="379">
        <f>G259-(I259+I260)</f>
        <v>90630.26</v>
      </c>
      <c r="K259" s="55"/>
    </row>
    <row r="260" spans="2:11" x14ac:dyDescent="0.25">
      <c r="B260" s="44" t="s">
        <v>618</v>
      </c>
      <c r="C260" s="45">
        <v>40558</v>
      </c>
      <c r="D260" s="46" t="s">
        <v>757</v>
      </c>
      <c r="E260" s="59"/>
      <c r="F260" s="59"/>
      <c r="G260" s="59"/>
      <c r="H260" s="62" t="s">
        <v>620</v>
      </c>
      <c r="I260" s="59">
        <v>179.74</v>
      </c>
      <c r="J260" s="554"/>
      <c r="K260" s="55"/>
    </row>
    <row r="261" spans="2:11" x14ac:dyDescent="0.25">
      <c r="B261" s="69">
        <v>36426</v>
      </c>
      <c r="C261" s="38">
        <v>36651</v>
      </c>
      <c r="D261" s="70"/>
      <c r="E261" s="42"/>
      <c r="F261" s="40"/>
      <c r="G261" s="40"/>
      <c r="H261" s="41"/>
      <c r="I261" s="40"/>
      <c r="J261" s="40"/>
      <c r="K261" s="55"/>
    </row>
    <row r="262" spans="2:11" x14ac:dyDescent="0.25">
      <c r="B262" s="52" t="s">
        <v>593</v>
      </c>
      <c r="C262" s="51">
        <v>36951</v>
      </c>
      <c r="D262" s="22" t="s">
        <v>757</v>
      </c>
      <c r="E262" s="56">
        <v>98476</v>
      </c>
      <c r="F262" s="59">
        <f>'LONG-TERM DEBT'!W56+'LONG-TERM DEBT'!W96+9000+1931.25</f>
        <v>109312.5</v>
      </c>
      <c r="G262" s="59">
        <f>'LONG-TERM DEBT'!X56+'LONG-TERM DEBT'!X96+8500+1571.25</f>
        <v>100712.5</v>
      </c>
      <c r="H262" s="62" t="s">
        <v>201</v>
      </c>
      <c r="I262" s="59">
        <v>10221.77</v>
      </c>
      <c r="J262" s="379">
        <f>G262-(I262+I263)</f>
        <v>90490.73</v>
      </c>
      <c r="K262" s="55"/>
    </row>
    <row r="263" spans="2:11" x14ac:dyDescent="0.25">
      <c r="B263" s="46" t="s">
        <v>618</v>
      </c>
      <c r="C263" s="45">
        <v>40558</v>
      </c>
      <c r="D263" s="71" t="s">
        <v>757</v>
      </c>
      <c r="E263" s="49"/>
      <c r="F263" s="47"/>
      <c r="G263" s="47"/>
      <c r="H263" s="48" t="s">
        <v>620</v>
      </c>
      <c r="I263" s="47"/>
      <c r="J263" s="545"/>
      <c r="K263" s="55"/>
    </row>
    <row r="264" spans="2:11" x14ac:dyDescent="0.25">
      <c r="B264" s="50">
        <v>36650</v>
      </c>
      <c r="C264" s="51">
        <v>36791</v>
      </c>
      <c r="D264" s="52"/>
      <c r="E264" s="56"/>
      <c r="F264" s="59"/>
      <c r="G264" s="59"/>
      <c r="H264" s="62"/>
      <c r="I264" s="59"/>
      <c r="J264" s="59"/>
      <c r="K264" s="55"/>
    </row>
    <row r="265" spans="2:11" x14ac:dyDescent="0.25">
      <c r="B265" s="3" t="s">
        <v>464</v>
      </c>
      <c r="C265" s="51">
        <v>36951</v>
      </c>
      <c r="D265" s="52" t="s">
        <v>757</v>
      </c>
      <c r="E265" s="5"/>
      <c r="F265" s="5"/>
      <c r="G265" s="5"/>
      <c r="H265" s="36"/>
      <c r="I265" s="3"/>
      <c r="J265" s="5"/>
      <c r="K265" s="55"/>
    </row>
    <row r="266" spans="2:11" x14ac:dyDescent="0.25">
      <c r="B266" s="2" t="s">
        <v>618</v>
      </c>
      <c r="C266" s="45">
        <v>40558</v>
      </c>
      <c r="D266" s="46" t="s">
        <v>757</v>
      </c>
      <c r="E266" s="49">
        <v>26863</v>
      </c>
      <c r="F266" s="47">
        <v>27000</v>
      </c>
      <c r="G266" s="59">
        <f>'LONG-TERM DEBT'!X52+'LONG-TERM DEBT'!X92</f>
        <v>26000</v>
      </c>
      <c r="H266" s="48" t="s">
        <v>620</v>
      </c>
      <c r="I266" s="47">
        <v>137.1</v>
      </c>
      <c r="J266" s="545">
        <f>SUM(G266-I266)</f>
        <v>25862.9</v>
      </c>
      <c r="K266" s="52"/>
    </row>
    <row r="267" spans="2:11" x14ac:dyDescent="0.25">
      <c r="B267" s="50">
        <v>39205</v>
      </c>
      <c r="C267" s="51">
        <v>39835</v>
      </c>
      <c r="D267" s="52" t="s">
        <v>666</v>
      </c>
      <c r="E267" s="56"/>
      <c r="F267" s="59"/>
      <c r="G267" s="59"/>
      <c r="H267" s="62"/>
      <c r="I267" s="59"/>
      <c r="J267" s="554"/>
      <c r="K267" s="52"/>
    </row>
    <row r="268" spans="2:11" x14ac:dyDescent="0.25">
      <c r="B268" s="2" t="s">
        <v>60</v>
      </c>
      <c r="C268" s="45">
        <v>40564</v>
      </c>
      <c r="D268" s="46" t="s">
        <v>757</v>
      </c>
      <c r="G268" s="47"/>
      <c r="H268" s="48"/>
      <c r="I268" s="47"/>
      <c r="K268" s="52"/>
    </row>
    <row r="269" spans="2:11" x14ac:dyDescent="0.25">
      <c r="B269" s="2" t="s">
        <v>618</v>
      </c>
      <c r="C269" s="45">
        <v>40558</v>
      </c>
      <c r="D269" s="46" t="s">
        <v>757</v>
      </c>
      <c r="E269" s="49">
        <v>49009</v>
      </c>
      <c r="F269" s="47">
        <f>'LONG-TERM DEBT'!W61+'LONG-TERM DEBT'!W101</f>
        <v>49580</v>
      </c>
      <c r="G269" s="47">
        <f>'LONG-TERM DEBT'!X61+'LONG-TERM DEBT'!X101</f>
        <v>47980</v>
      </c>
      <c r="H269" s="48" t="s">
        <v>620</v>
      </c>
      <c r="I269" s="48">
        <v>571.23</v>
      </c>
      <c r="J269" s="545">
        <f>SUM(G269-I269)</f>
        <v>47408.77</v>
      </c>
      <c r="K269" s="52"/>
    </row>
    <row r="270" spans="2:11" x14ac:dyDescent="0.25">
      <c r="B270" s="470" t="s">
        <v>596</v>
      </c>
      <c r="C270" s="471"/>
      <c r="D270" s="471"/>
      <c r="E270" s="473">
        <f>SUM(E244:E269)</f>
        <v>825783.29</v>
      </c>
      <c r="F270" s="473">
        <f>SUM(F244:F269)</f>
        <v>1261256.1400000001</v>
      </c>
      <c r="G270" s="473">
        <f>SUM(G244:G269)</f>
        <v>1225845.8500000001</v>
      </c>
      <c r="H270" s="474"/>
      <c r="I270" s="474">
        <f>SUM(I244:I269)</f>
        <v>422316.41999999993</v>
      </c>
      <c r="J270" s="472">
        <f>SUM(J244:J269)</f>
        <v>803529.43</v>
      </c>
      <c r="K270" s="67" t="s">
        <v>188</v>
      </c>
    </row>
    <row r="271" spans="2:11" x14ac:dyDescent="0.25">
      <c r="B271" s="556"/>
      <c r="C271" s="32"/>
      <c r="D271" s="32"/>
      <c r="E271" s="557"/>
      <c r="F271" s="557"/>
      <c r="G271" s="557"/>
      <c r="H271" s="557"/>
      <c r="I271" s="557"/>
      <c r="J271" s="557"/>
      <c r="K271" s="22"/>
    </row>
    <row r="272" spans="2:11" x14ac:dyDescent="0.25">
      <c r="B272" s="556"/>
      <c r="C272" s="32"/>
      <c r="D272" s="32"/>
      <c r="E272" s="557"/>
      <c r="F272" s="557"/>
      <c r="G272" s="557"/>
      <c r="H272" s="557"/>
      <c r="I272" s="557"/>
      <c r="J272" s="557"/>
      <c r="K272" s="22"/>
    </row>
    <row r="273" spans="2:12" x14ac:dyDescent="0.25">
      <c r="C273" s="1"/>
      <c r="D273" s="72"/>
      <c r="E273" s="32" t="s">
        <v>590</v>
      </c>
      <c r="F273" s="32" t="s">
        <v>732</v>
      </c>
      <c r="G273" s="32" t="s">
        <v>733</v>
      </c>
      <c r="H273" s="32"/>
      <c r="I273" s="32" t="s">
        <v>616</v>
      </c>
      <c r="J273" s="32" t="s">
        <v>734</v>
      </c>
    </row>
    <row r="274" spans="2:12" x14ac:dyDescent="0.25">
      <c r="B274" s="424"/>
      <c r="C274" s="425"/>
      <c r="D274" s="425"/>
      <c r="E274" s="425"/>
      <c r="F274" s="425"/>
      <c r="G274" s="426" t="s">
        <v>192</v>
      </c>
      <c r="H274" s="425"/>
      <c r="I274" s="425"/>
      <c r="J274" s="427"/>
      <c r="K274" s="453" t="s">
        <v>23</v>
      </c>
    </row>
    <row r="275" spans="2:12" x14ac:dyDescent="0.25">
      <c r="B275" s="37">
        <v>31904</v>
      </c>
      <c r="C275" s="38">
        <v>32021</v>
      </c>
      <c r="D275" s="39" t="s">
        <v>757</v>
      </c>
      <c r="E275" s="40"/>
      <c r="F275" s="40">
        <v>0</v>
      </c>
      <c r="G275" s="40">
        <v>0</v>
      </c>
      <c r="H275" s="41" t="s">
        <v>758</v>
      </c>
      <c r="I275" s="41"/>
      <c r="J275" s="42">
        <f>SUM(G275-I275)</f>
        <v>0</v>
      </c>
      <c r="K275" s="65"/>
      <c r="L275" s="251"/>
    </row>
    <row r="276" spans="2:12" x14ac:dyDescent="0.25">
      <c r="B276" s="44" t="s">
        <v>529</v>
      </c>
      <c r="C276" s="45"/>
      <c r="D276" s="46"/>
      <c r="E276" s="47"/>
      <c r="F276" s="47"/>
      <c r="G276" s="47"/>
      <c r="H276" s="48"/>
      <c r="I276" s="48"/>
      <c r="J276" s="49"/>
      <c r="K276" s="55"/>
    </row>
    <row r="277" spans="2:12" x14ac:dyDescent="0.25">
      <c r="B277" s="50">
        <v>35368</v>
      </c>
      <c r="C277" s="51"/>
      <c r="D277" s="52"/>
      <c r="E277" s="53"/>
      <c r="F277" s="53"/>
      <c r="G277" s="53"/>
      <c r="I277" s="54"/>
      <c r="J277" s="53"/>
      <c r="K277" s="55"/>
    </row>
    <row r="278" spans="2:12" x14ac:dyDescent="0.25">
      <c r="B278" s="50" t="s">
        <v>617</v>
      </c>
      <c r="C278" s="51">
        <v>36951</v>
      </c>
      <c r="D278" s="52" t="s">
        <v>757</v>
      </c>
      <c r="E278" s="56">
        <f>J247</f>
        <v>39310.089999999997</v>
      </c>
      <c r="F278" s="59">
        <f>'LONG-TERM DEBT'!X57+'LONG-TERM DEBT'!X97</f>
        <v>105437.5</v>
      </c>
      <c r="G278" s="59">
        <f>'LONG-TERM DEBT'!Y57+'LONG-TERM DEBT'!Y97</f>
        <v>106637.5</v>
      </c>
      <c r="H278" s="62" t="s">
        <v>658</v>
      </c>
      <c r="I278" s="62">
        <v>66000</v>
      </c>
      <c r="J278" s="379">
        <f>G278-(I278+I279)</f>
        <v>40510.089999999997</v>
      </c>
      <c r="K278" s="55"/>
    </row>
    <row r="279" spans="2:12" x14ac:dyDescent="0.25">
      <c r="B279" s="44" t="s">
        <v>618</v>
      </c>
      <c r="C279" s="45">
        <v>40558</v>
      </c>
      <c r="D279" s="46" t="s">
        <v>757</v>
      </c>
      <c r="E279" s="49"/>
      <c r="F279" s="47"/>
      <c r="G279" s="47"/>
      <c r="H279" s="28" t="s">
        <v>619</v>
      </c>
      <c r="I279" s="47">
        <v>127.41</v>
      </c>
      <c r="J279" s="543"/>
      <c r="K279" s="55"/>
    </row>
    <row r="280" spans="2:12" x14ac:dyDescent="0.25">
      <c r="B280" s="37">
        <v>35558</v>
      </c>
      <c r="C280" s="51">
        <v>35993</v>
      </c>
      <c r="D280" s="55" t="s">
        <v>666</v>
      </c>
      <c r="E280" s="56">
        <v>0</v>
      </c>
      <c r="F280" s="56"/>
      <c r="G280" s="57">
        <v>0</v>
      </c>
      <c r="H280" s="58" t="s">
        <v>667</v>
      </c>
      <c r="I280" s="40"/>
      <c r="J280" s="56">
        <f>SUM(G280-I280)</f>
        <v>0</v>
      </c>
      <c r="K280" s="55"/>
    </row>
    <row r="281" spans="2:12" x14ac:dyDescent="0.25">
      <c r="B281" s="37" t="s">
        <v>739</v>
      </c>
      <c r="C281" s="51"/>
      <c r="D281" s="52" t="s">
        <v>757</v>
      </c>
      <c r="E281" s="47">
        <f>J250</f>
        <v>288182.68</v>
      </c>
      <c r="F281" s="60">
        <v>632705.85</v>
      </c>
      <c r="G281" s="60">
        <v>635466.47</v>
      </c>
      <c r="H281" s="60"/>
      <c r="I281" s="580">
        <v>344870.43</v>
      </c>
      <c r="J281" s="544">
        <f>SUM(G281-I281)</f>
        <v>290596.03999999998</v>
      </c>
      <c r="K281" s="55"/>
      <c r="L281" s="1" t="s">
        <v>741</v>
      </c>
    </row>
    <row r="282" spans="2:12" x14ac:dyDescent="0.25">
      <c r="B282" s="44"/>
      <c r="C282" s="45"/>
      <c r="D282" s="46" t="s">
        <v>666</v>
      </c>
      <c r="E282" s="49"/>
      <c r="G282" s="59"/>
      <c r="H282" s="60"/>
      <c r="I282" s="59"/>
      <c r="J282" s="56"/>
      <c r="K282" s="55"/>
    </row>
    <row r="283" spans="2:12" x14ac:dyDescent="0.25">
      <c r="B283" s="37">
        <v>35558</v>
      </c>
      <c r="C283" s="51">
        <v>35972</v>
      </c>
      <c r="D283" s="52"/>
      <c r="E283" s="62"/>
      <c r="F283" s="42"/>
      <c r="G283" s="42"/>
      <c r="H283" s="58"/>
      <c r="I283" s="40"/>
      <c r="J283" s="40"/>
      <c r="K283" s="55"/>
    </row>
    <row r="284" spans="2:12" x14ac:dyDescent="0.25">
      <c r="B284" s="44" t="s">
        <v>611</v>
      </c>
      <c r="C284" s="45">
        <v>37330</v>
      </c>
      <c r="D284" s="52" t="s">
        <v>757</v>
      </c>
      <c r="E284" s="62">
        <f>J253</f>
        <v>30953.37</v>
      </c>
      <c r="F284" s="49">
        <f>'LONG-TERM DEBT'!X63+'LONG-TERM DEBT'!X103</f>
        <v>31050</v>
      </c>
      <c r="G284" s="49">
        <f>'LONG-TERM DEBT'!Y63+'LONG-TERM DEBT'!Y103</f>
        <v>30300</v>
      </c>
      <c r="H284" s="63" t="s">
        <v>758</v>
      </c>
      <c r="I284" s="47">
        <v>96.63</v>
      </c>
      <c r="J284" s="545">
        <f>SUM(G284-I284)</f>
        <v>30203.37</v>
      </c>
      <c r="K284" s="55"/>
    </row>
    <row r="285" spans="2:12" x14ac:dyDescent="0.25">
      <c r="B285" s="37" t="s">
        <v>438</v>
      </c>
      <c r="C285" s="64"/>
      <c r="D285" s="65"/>
      <c r="E285" s="54"/>
      <c r="F285" s="3"/>
      <c r="G285" s="3"/>
      <c r="I285" s="3"/>
      <c r="J285" s="3"/>
      <c r="K285" s="55"/>
    </row>
    <row r="286" spans="2:12" x14ac:dyDescent="0.25">
      <c r="B286" s="44" t="s">
        <v>370</v>
      </c>
      <c r="C286" s="66">
        <v>37330</v>
      </c>
      <c r="D286" s="67" t="s">
        <v>757</v>
      </c>
      <c r="E286" s="47">
        <f>J255</f>
        <v>179323.63</v>
      </c>
      <c r="F286" s="47">
        <f>'LONG-TERM DEBT'!X65+'LONG-TERM DEBT'!X105</f>
        <v>179550</v>
      </c>
      <c r="G286" s="47">
        <f>'LONG-TERM DEBT'!Y65+'LONG-TERM DEBT'!Y105</f>
        <v>180200</v>
      </c>
      <c r="H286" s="48" t="s">
        <v>758</v>
      </c>
      <c r="I286" s="47">
        <v>226.37</v>
      </c>
      <c r="J286" s="545">
        <f>SUM(G286-I286)</f>
        <v>179973.63</v>
      </c>
      <c r="K286" s="55"/>
    </row>
    <row r="287" spans="2:12" x14ac:dyDescent="0.25">
      <c r="B287" s="398">
        <v>37012</v>
      </c>
      <c r="C287" s="399"/>
      <c r="D287" s="65"/>
      <c r="E287" s="40"/>
      <c r="F287" s="40"/>
      <c r="G287" s="40"/>
      <c r="H287" s="41"/>
      <c r="I287" s="40"/>
      <c r="J287" s="42"/>
      <c r="K287" s="55"/>
    </row>
    <row r="288" spans="2:12" x14ac:dyDescent="0.25">
      <c r="B288" s="44" t="s">
        <v>557</v>
      </c>
      <c r="C288" s="400">
        <v>37330</v>
      </c>
      <c r="D288" s="67" t="s">
        <v>757</v>
      </c>
      <c r="E288" s="47">
        <f>J257</f>
        <v>11367</v>
      </c>
      <c r="F288" s="47">
        <f>'LONG-TERM DEBT'!X66+'LONG-TERM DEBT'!X106</f>
        <v>11600</v>
      </c>
      <c r="G288" s="47">
        <f>'LONG-TERM DEBT'!Y66+'LONG-TERM DEBT'!Y106</f>
        <v>11300</v>
      </c>
      <c r="H288" s="48"/>
      <c r="I288" s="47">
        <v>233</v>
      </c>
      <c r="J288" s="545">
        <f>SUM(G288-I288)</f>
        <v>11067</v>
      </c>
      <c r="K288" s="55"/>
    </row>
    <row r="289" spans="2:11" x14ac:dyDescent="0.25">
      <c r="B289" s="37">
        <v>35922</v>
      </c>
      <c r="C289" s="51"/>
      <c r="D289" s="52"/>
      <c r="E289" s="59"/>
      <c r="F289" s="59"/>
      <c r="G289" s="59"/>
      <c r="H289" s="62"/>
      <c r="I289" s="59"/>
      <c r="J289" s="56"/>
      <c r="K289" s="55"/>
    </row>
    <row r="290" spans="2:11" x14ac:dyDescent="0.25">
      <c r="B290" s="37" t="s">
        <v>591</v>
      </c>
      <c r="C290" s="51">
        <v>36951</v>
      </c>
      <c r="D290" s="52" t="s">
        <v>757</v>
      </c>
      <c r="E290" s="59">
        <f>J259</f>
        <v>90630.26</v>
      </c>
      <c r="F290" s="59">
        <f>'LONG-TERM DEBT'!X58+'LONG-TERM DEBT'!X98</f>
        <v>90810</v>
      </c>
      <c r="G290" s="59">
        <f>'LONG-TERM DEBT'!Y58+'LONG-TERM DEBT'!Y98</f>
        <v>87810</v>
      </c>
      <c r="H290" s="62" t="s">
        <v>607</v>
      </c>
      <c r="I290" s="59"/>
      <c r="J290" s="379">
        <f>G290-(I290+I291)</f>
        <v>87630.26</v>
      </c>
      <c r="K290" s="55"/>
    </row>
    <row r="291" spans="2:11" x14ac:dyDescent="0.25">
      <c r="B291" s="44" t="s">
        <v>618</v>
      </c>
      <c r="C291" s="45">
        <v>40558</v>
      </c>
      <c r="D291" s="46" t="s">
        <v>757</v>
      </c>
      <c r="E291" s="59"/>
      <c r="F291" s="59"/>
      <c r="G291" s="59"/>
      <c r="H291" s="62" t="s">
        <v>620</v>
      </c>
      <c r="I291" s="59">
        <v>179.74</v>
      </c>
      <c r="J291" s="554"/>
      <c r="K291" s="55"/>
    </row>
    <row r="292" spans="2:11" x14ac:dyDescent="0.25">
      <c r="B292" s="69">
        <v>36426</v>
      </c>
      <c r="C292" s="38">
        <v>36651</v>
      </c>
      <c r="D292" s="70"/>
      <c r="E292" s="42"/>
      <c r="F292" s="40"/>
      <c r="G292" s="40"/>
      <c r="H292" s="41"/>
      <c r="I292" s="40"/>
      <c r="J292" s="40"/>
      <c r="K292" s="55"/>
    </row>
    <row r="293" spans="2:11" x14ac:dyDescent="0.25">
      <c r="B293" s="52" t="s">
        <v>593</v>
      </c>
      <c r="C293" s="51">
        <v>36951</v>
      </c>
      <c r="D293" s="22" t="s">
        <v>757</v>
      </c>
      <c r="E293" s="56">
        <f>J262</f>
        <v>90490.73</v>
      </c>
      <c r="F293" s="59">
        <f>'LONG-TERM DEBT'!X56+'LONG-TERM DEBT'!X96+9000+1931.25</f>
        <v>101572.5</v>
      </c>
      <c r="G293" s="59">
        <f>'LONG-TERM DEBT'!Y56+'LONG-TERM DEBT'!Y96+9000+1231.25</f>
        <v>102312.5</v>
      </c>
      <c r="H293" s="62" t="s">
        <v>201</v>
      </c>
      <c r="I293" s="59">
        <v>10381.77</v>
      </c>
      <c r="J293" s="379">
        <f>G293-(I293+I294)</f>
        <v>91930.73</v>
      </c>
      <c r="K293" s="55"/>
    </row>
    <row r="294" spans="2:11" x14ac:dyDescent="0.25">
      <c r="B294" s="46" t="s">
        <v>618</v>
      </c>
      <c r="C294" s="45">
        <v>40558</v>
      </c>
      <c r="D294" s="71" t="s">
        <v>757</v>
      </c>
      <c r="E294" s="49"/>
      <c r="F294" s="47"/>
      <c r="G294" s="47"/>
      <c r="H294" s="48" t="s">
        <v>620</v>
      </c>
      <c r="I294" s="47"/>
      <c r="J294" s="545"/>
      <c r="K294" s="55"/>
    </row>
    <row r="295" spans="2:11" x14ac:dyDescent="0.25">
      <c r="B295" s="50">
        <v>36650</v>
      </c>
      <c r="C295" s="51">
        <v>36791</v>
      </c>
      <c r="D295" s="52"/>
      <c r="E295" s="56"/>
      <c r="F295" s="59"/>
      <c r="G295" s="59"/>
      <c r="H295" s="62"/>
      <c r="I295" s="59"/>
      <c r="J295" s="59"/>
      <c r="K295" s="55"/>
    </row>
    <row r="296" spans="2:11" x14ac:dyDescent="0.25">
      <c r="B296" s="3" t="s">
        <v>464</v>
      </c>
      <c r="C296" s="51">
        <v>36951</v>
      </c>
      <c r="D296" s="52" t="s">
        <v>757</v>
      </c>
      <c r="E296" s="5"/>
      <c r="F296" s="5"/>
      <c r="G296" s="5"/>
      <c r="H296" s="36"/>
      <c r="I296" s="3"/>
      <c r="J296" s="5"/>
      <c r="K296" s="55"/>
    </row>
    <row r="297" spans="2:11" x14ac:dyDescent="0.25">
      <c r="B297" s="2" t="s">
        <v>618</v>
      </c>
      <c r="C297" s="45">
        <v>40558</v>
      </c>
      <c r="D297" s="46" t="s">
        <v>757</v>
      </c>
      <c r="E297" s="49">
        <f>J266</f>
        <v>25862.9</v>
      </c>
      <c r="F297" s="47">
        <v>26000</v>
      </c>
      <c r="G297" s="47"/>
      <c r="H297" s="48" t="s">
        <v>620</v>
      </c>
      <c r="I297" s="47"/>
      <c r="J297" s="545">
        <f>SUM(G297-I297)</f>
        <v>0</v>
      </c>
      <c r="K297" s="52"/>
    </row>
    <row r="298" spans="2:11" x14ac:dyDescent="0.25">
      <c r="B298" s="50">
        <v>39205</v>
      </c>
      <c r="C298" s="51">
        <v>39835</v>
      </c>
      <c r="D298" s="52" t="s">
        <v>666</v>
      </c>
      <c r="E298" s="56"/>
      <c r="F298" s="59"/>
      <c r="G298" s="59"/>
      <c r="H298" s="62"/>
      <c r="I298" s="59"/>
      <c r="J298" s="554"/>
      <c r="K298" s="52"/>
    </row>
    <row r="299" spans="2:11" x14ac:dyDescent="0.25">
      <c r="B299" s="2" t="s">
        <v>60</v>
      </c>
      <c r="C299" s="45">
        <v>40564</v>
      </c>
      <c r="D299" s="46" t="s">
        <v>757</v>
      </c>
      <c r="G299" s="47"/>
      <c r="H299" s="48"/>
      <c r="I299" s="47"/>
      <c r="K299" s="52"/>
    </row>
    <row r="300" spans="2:11" x14ac:dyDescent="0.25">
      <c r="B300" s="2" t="s">
        <v>618</v>
      </c>
      <c r="C300" s="45">
        <v>40558</v>
      </c>
      <c r="D300" s="46" t="s">
        <v>757</v>
      </c>
      <c r="E300" s="49">
        <f>J269</f>
        <v>47408.77</v>
      </c>
      <c r="F300" s="47">
        <f>'LONG-TERM DEBT'!X61+'LONG-TERM DEBT'!X101</f>
        <v>47980</v>
      </c>
      <c r="G300" s="47">
        <f>'LONG-TERM DEBT'!Y61+'LONG-TERM DEBT'!Y101</f>
        <v>46380</v>
      </c>
      <c r="H300" s="48" t="s">
        <v>620</v>
      </c>
      <c r="I300" s="48">
        <v>571.23</v>
      </c>
      <c r="J300" s="545">
        <f>SUM(G300-I300)</f>
        <v>45808.77</v>
      </c>
      <c r="K300" s="52"/>
    </row>
    <row r="301" spans="2:11" x14ac:dyDescent="0.25">
      <c r="B301" s="470" t="s">
        <v>596</v>
      </c>
      <c r="C301" s="471"/>
      <c r="D301" s="471"/>
      <c r="E301" s="473">
        <f>SUM(E275:E300)</f>
        <v>803529.43</v>
      </c>
      <c r="F301" s="473">
        <f>SUM(F275:F300)</f>
        <v>1226705.8500000001</v>
      </c>
      <c r="G301" s="473">
        <f>SUM(G275:G300)</f>
        <v>1200406.47</v>
      </c>
      <c r="H301" s="474"/>
      <c r="I301" s="474">
        <f>SUM(I275:I300)</f>
        <v>422686.57999999996</v>
      </c>
      <c r="J301" s="472">
        <f>SUM(J275:J300)</f>
        <v>777719.89</v>
      </c>
      <c r="K301" s="67" t="s">
        <v>188</v>
      </c>
    </row>
    <row r="304" spans="2:11" x14ac:dyDescent="0.25">
      <c r="C304" s="1"/>
      <c r="D304" s="72"/>
      <c r="E304" s="32" t="s">
        <v>797</v>
      </c>
      <c r="F304" s="32" t="s">
        <v>798</v>
      </c>
      <c r="G304" s="32" t="s">
        <v>799</v>
      </c>
      <c r="H304" s="32"/>
      <c r="I304" s="32" t="s">
        <v>616</v>
      </c>
      <c r="J304" s="32" t="s">
        <v>800</v>
      </c>
    </row>
    <row r="305" spans="2:12" x14ac:dyDescent="0.25">
      <c r="B305" s="424"/>
      <c r="C305" s="425"/>
      <c r="D305" s="425"/>
      <c r="E305" s="425"/>
      <c r="F305" s="425"/>
      <c r="G305" s="426" t="s">
        <v>801</v>
      </c>
      <c r="H305" s="425"/>
      <c r="I305" s="425"/>
      <c r="J305" s="427"/>
      <c r="K305" s="453" t="s">
        <v>23</v>
      </c>
    </row>
    <row r="306" spans="2:12" x14ac:dyDescent="0.25">
      <c r="B306" s="37">
        <v>31904</v>
      </c>
      <c r="C306" s="38">
        <v>32021</v>
      </c>
      <c r="D306" s="39" t="s">
        <v>757</v>
      </c>
      <c r="E306" s="40"/>
      <c r="F306" s="40">
        <v>0</v>
      </c>
      <c r="G306" s="40">
        <v>0</v>
      </c>
      <c r="H306" s="41" t="s">
        <v>758</v>
      </c>
      <c r="I306" s="41"/>
      <c r="J306" s="42">
        <f>SUM(G306-I306)</f>
        <v>0</v>
      </c>
      <c r="K306" s="65"/>
      <c r="L306" s="251"/>
    </row>
    <row r="307" spans="2:12" x14ac:dyDescent="0.25">
      <c r="B307" s="44" t="s">
        <v>529</v>
      </c>
      <c r="C307" s="45"/>
      <c r="D307" s="46"/>
      <c r="E307" s="47"/>
      <c r="F307" s="47"/>
      <c r="G307" s="47"/>
      <c r="H307" s="48"/>
      <c r="I307" s="48"/>
      <c r="J307" s="49"/>
      <c r="K307" s="55"/>
    </row>
    <row r="308" spans="2:12" x14ac:dyDescent="0.25">
      <c r="B308" s="50">
        <v>35368</v>
      </c>
      <c r="C308" s="51"/>
      <c r="D308" s="52"/>
      <c r="E308" s="53"/>
      <c r="F308" s="53"/>
      <c r="G308" s="53"/>
      <c r="I308" s="54"/>
      <c r="J308" s="53"/>
      <c r="K308" s="55"/>
    </row>
    <row r="309" spans="2:12" x14ac:dyDescent="0.25">
      <c r="B309" s="50" t="s">
        <v>617</v>
      </c>
      <c r="C309" s="51">
        <v>36951</v>
      </c>
      <c r="D309" s="52" t="s">
        <v>757</v>
      </c>
      <c r="E309" s="56">
        <f>J278</f>
        <v>40510.089999999997</v>
      </c>
      <c r="F309" s="59">
        <f>'LONG-TERM DEBT'!Y57+'LONG-TERM DEBT'!Y97</f>
        <v>106637.5</v>
      </c>
      <c r="G309" s="59">
        <f>'LONG-TERM DEBT'!Z57+'LONG-TERM DEBT'!Z97</f>
        <v>99637.5</v>
      </c>
      <c r="H309" s="62" t="s">
        <v>658</v>
      </c>
      <c r="I309" s="62">
        <v>66000</v>
      </c>
      <c r="J309" s="379">
        <f>G309-(I309+I310)</f>
        <v>33510.089999999997</v>
      </c>
      <c r="K309" s="55"/>
      <c r="L309" s="379">
        <f>I309-(K309+K310)</f>
        <v>66000</v>
      </c>
    </row>
    <row r="310" spans="2:12" x14ac:dyDescent="0.25">
      <c r="B310" s="44" t="s">
        <v>618</v>
      </c>
      <c r="C310" s="45">
        <v>40558</v>
      </c>
      <c r="D310" s="46" t="s">
        <v>757</v>
      </c>
      <c r="E310" s="49"/>
      <c r="F310" s="47"/>
      <c r="G310" s="47"/>
      <c r="H310" s="28" t="s">
        <v>619</v>
      </c>
      <c r="I310" s="47">
        <v>127.41</v>
      </c>
      <c r="J310" s="543"/>
      <c r="K310" s="55"/>
    </row>
    <row r="311" spans="2:12" x14ac:dyDescent="0.25">
      <c r="B311" s="37">
        <v>35558</v>
      </c>
      <c r="C311" s="51">
        <v>35993</v>
      </c>
      <c r="D311" s="55" t="s">
        <v>666</v>
      </c>
      <c r="E311" s="56">
        <v>0</v>
      </c>
      <c r="F311" s="56"/>
      <c r="G311" s="57">
        <v>0</v>
      </c>
      <c r="H311" s="58" t="s">
        <v>667</v>
      </c>
      <c r="I311" s="40"/>
      <c r="J311" s="56">
        <f>SUM(G311-I311)</f>
        <v>0</v>
      </c>
      <c r="K311" s="55"/>
    </row>
    <row r="312" spans="2:12" x14ac:dyDescent="0.25">
      <c r="B312" s="37" t="s">
        <v>739</v>
      </c>
      <c r="C312" s="51"/>
      <c r="D312" s="52" t="s">
        <v>757</v>
      </c>
      <c r="E312" s="47">
        <f>J281</f>
        <v>290596.03999999998</v>
      </c>
      <c r="F312" s="60">
        <v>635466.47</v>
      </c>
      <c r="G312" s="60">
        <v>635466.47</v>
      </c>
      <c r="H312" s="60"/>
      <c r="I312" s="580">
        <v>344870.43</v>
      </c>
      <c r="J312" s="594">
        <f>G312-I312</f>
        <v>290596.03999999998</v>
      </c>
      <c r="K312" s="55"/>
      <c r="L312" s="1" t="s">
        <v>741</v>
      </c>
    </row>
    <row r="313" spans="2:12" x14ac:dyDescent="0.25">
      <c r="B313" s="44"/>
      <c r="C313" s="45"/>
      <c r="D313" s="46" t="s">
        <v>666</v>
      </c>
      <c r="E313" s="49"/>
      <c r="G313" s="59"/>
      <c r="H313" s="60"/>
      <c r="I313" s="59"/>
      <c r="J313" s="56"/>
      <c r="K313" s="55"/>
    </row>
    <row r="314" spans="2:12" x14ac:dyDescent="0.25">
      <c r="B314" s="37">
        <v>35558</v>
      </c>
      <c r="C314" s="51">
        <v>35972</v>
      </c>
      <c r="D314" s="52"/>
      <c r="E314" s="62"/>
      <c r="F314" s="42"/>
      <c r="G314" s="42"/>
      <c r="H314" s="58"/>
      <c r="I314" s="40"/>
      <c r="J314" s="40"/>
      <c r="K314" s="55"/>
    </row>
    <row r="315" spans="2:12" x14ac:dyDescent="0.25">
      <c r="B315" s="44" t="s">
        <v>611</v>
      </c>
      <c r="C315" s="45">
        <v>37330</v>
      </c>
      <c r="D315" s="52" t="s">
        <v>757</v>
      </c>
      <c r="E315" s="62">
        <f>J284</f>
        <v>30203.37</v>
      </c>
      <c r="F315" s="49">
        <f>'LONG-TERM DEBT'!Y63+'LONG-TERM DEBT'!Y103</f>
        <v>30300</v>
      </c>
      <c r="G315" s="49">
        <f>'LONG-TERM DEBT'!Z63+'LONG-TERM DEBT'!Z103</f>
        <v>29550</v>
      </c>
      <c r="H315" s="63" t="s">
        <v>758</v>
      </c>
      <c r="I315" s="47">
        <v>96.63</v>
      </c>
      <c r="J315" s="595">
        <f>G315-I315</f>
        <v>29453.37</v>
      </c>
      <c r="K315" s="55"/>
    </row>
    <row r="316" spans="2:12" x14ac:dyDescent="0.25">
      <c r="B316" s="37" t="s">
        <v>438</v>
      </c>
      <c r="C316" s="64"/>
      <c r="D316" s="65"/>
      <c r="E316" s="54"/>
      <c r="F316" s="3"/>
      <c r="G316" s="3"/>
      <c r="I316" s="3"/>
      <c r="J316" s="596"/>
      <c r="K316" s="55"/>
    </row>
    <row r="317" spans="2:12" x14ac:dyDescent="0.25">
      <c r="B317" s="44" t="s">
        <v>370</v>
      </c>
      <c r="C317" s="66">
        <v>37330</v>
      </c>
      <c r="D317" s="67" t="s">
        <v>757</v>
      </c>
      <c r="E317" s="47">
        <f>J286</f>
        <v>179973.63</v>
      </c>
      <c r="F317" s="47">
        <f>'LONG-TERM DEBT'!Y65+'LONG-TERM DEBT'!Y105</f>
        <v>180200</v>
      </c>
      <c r="G317" s="47">
        <f>'LONG-TERM DEBT'!Z65+'LONG-TERM DEBT'!Z105</f>
        <v>180700</v>
      </c>
      <c r="H317" s="48" t="s">
        <v>758</v>
      </c>
      <c r="I317" s="47">
        <v>226.37</v>
      </c>
      <c r="J317" s="595">
        <f>G317-I317</f>
        <v>180473.63</v>
      </c>
      <c r="K317" s="55"/>
    </row>
    <row r="318" spans="2:12" x14ac:dyDescent="0.25">
      <c r="B318" s="398">
        <v>37012</v>
      </c>
      <c r="C318" s="399"/>
      <c r="D318" s="65"/>
      <c r="E318" s="40"/>
      <c r="F318" s="40"/>
      <c r="G318" s="40"/>
      <c r="H318" s="41"/>
      <c r="I318" s="40"/>
      <c r="J318" s="42"/>
      <c r="K318" s="55"/>
    </row>
    <row r="319" spans="2:12" x14ac:dyDescent="0.25">
      <c r="B319" s="44" t="s">
        <v>557</v>
      </c>
      <c r="C319" s="400">
        <v>37330</v>
      </c>
      <c r="D319" s="67" t="s">
        <v>757</v>
      </c>
      <c r="E319" s="47">
        <f>J288</f>
        <v>11067</v>
      </c>
      <c r="F319" s="47">
        <f>'LONG-TERM DEBT'!Y66+'LONG-TERM DEBT'!Y106</f>
        <v>11300</v>
      </c>
      <c r="G319" s="47">
        <f>'LONG-TERM DEBT'!Z$66+'LONG-TERM DEBT'!Z$106</f>
        <v>11000</v>
      </c>
      <c r="H319" s="48"/>
      <c r="I319" s="47">
        <v>233</v>
      </c>
      <c r="J319" s="595">
        <f>SUM(G319-I319)</f>
        <v>10767</v>
      </c>
      <c r="K319" s="55"/>
    </row>
    <row r="320" spans="2:12" x14ac:dyDescent="0.25">
      <c r="B320" s="37">
        <v>35922</v>
      </c>
      <c r="C320" s="51"/>
      <c r="D320" s="52"/>
      <c r="E320" s="59"/>
      <c r="F320" s="59"/>
      <c r="G320" s="59"/>
      <c r="H320" s="62"/>
      <c r="I320" s="59"/>
      <c r="J320" s="56"/>
      <c r="K320" s="55"/>
    </row>
    <row r="321" spans="2:11" x14ac:dyDescent="0.25">
      <c r="B321" s="37" t="s">
        <v>591</v>
      </c>
      <c r="C321" s="51">
        <v>36951</v>
      </c>
      <c r="D321" s="52" t="s">
        <v>757</v>
      </c>
      <c r="E321" s="59">
        <f>J290</f>
        <v>87630.26</v>
      </c>
      <c r="F321" s="59">
        <f>'LONG-TERM DEBT'!Y58+'LONG-TERM DEBT'!Y98</f>
        <v>87810</v>
      </c>
      <c r="G321" s="59">
        <f>'LONG-TERM DEBT'!Z$58+'LONG-TERM DEBT'!Z$98</f>
        <v>91310</v>
      </c>
      <c r="H321" s="62" t="s">
        <v>607</v>
      </c>
      <c r="I321" s="59"/>
      <c r="J321" s="379">
        <f>G321-(I321+I322)</f>
        <v>91130.26</v>
      </c>
      <c r="K321" s="55"/>
    </row>
    <row r="322" spans="2:11" x14ac:dyDescent="0.25">
      <c r="B322" s="44" t="s">
        <v>618</v>
      </c>
      <c r="C322" s="45">
        <v>40558</v>
      </c>
      <c r="D322" s="46" t="s">
        <v>757</v>
      </c>
      <c r="E322" s="59"/>
      <c r="F322" s="59"/>
      <c r="G322" s="59"/>
      <c r="H322" s="62" t="s">
        <v>620</v>
      </c>
      <c r="I322" s="59">
        <v>179.74</v>
      </c>
      <c r="J322" s="554"/>
      <c r="K322" s="55"/>
    </row>
    <row r="323" spans="2:11" x14ac:dyDescent="0.25">
      <c r="B323" s="69">
        <v>36426</v>
      </c>
      <c r="C323" s="38">
        <v>36651</v>
      </c>
      <c r="D323" s="70"/>
      <c r="E323" s="42"/>
      <c r="F323" s="40"/>
      <c r="G323" s="40"/>
      <c r="H323" s="41"/>
      <c r="I323" s="40"/>
      <c r="J323" s="40"/>
      <c r="K323" s="55"/>
    </row>
    <row r="324" spans="2:11" x14ac:dyDescent="0.25">
      <c r="B324" s="52" t="s">
        <v>593</v>
      </c>
      <c r="C324" s="51">
        <v>36951</v>
      </c>
      <c r="D324" s="22" t="s">
        <v>757</v>
      </c>
      <c r="E324" s="56">
        <f>J293</f>
        <v>91930.73</v>
      </c>
      <c r="F324" s="59">
        <f>'LONG-TERM DEBT'!Y56+'LONG-TERM DEBT'!Y96+9000+1931.25</f>
        <v>103012.5</v>
      </c>
      <c r="G324" s="59">
        <f>'LONG-TERM DEBT'!Z$56+'LONG-TERM DEBT'!Z$96+9000+1931.25</f>
        <v>105892.5</v>
      </c>
      <c r="H324" s="62" t="s">
        <v>201</v>
      </c>
      <c r="I324" s="59">
        <v>10381.77</v>
      </c>
      <c r="J324" s="379">
        <f>G324-(I324+I325)</f>
        <v>95510.73</v>
      </c>
      <c r="K324" s="55"/>
    </row>
    <row r="325" spans="2:11" x14ac:dyDescent="0.25">
      <c r="B325" s="46" t="s">
        <v>618</v>
      </c>
      <c r="C325" s="45">
        <v>40558</v>
      </c>
      <c r="D325" s="71" t="s">
        <v>757</v>
      </c>
      <c r="E325" s="49"/>
      <c r="F325" s="47"/>
      <c r="G325" s="47"/>
      <c r="H325" s="48" t="s">
        <v>620</v>
      </c>
      <c r="I325" s="47"/>
      <c r="J325" s="545"/>
      <c r="K325" s="55"/>
    </row>
    <row r="326" spans="2:11" x14ac:dyDescent="0.25">
      <c r="B326" s="50">
        <v>36650</v>
      </c>
      <c r="C326" s="51">
        <v>36791</v>
      </c>
      <c r="D326" s="52"/>
      <c r="E326" s="56"/>
      <c r="F326" s="59"/>
      <c r="G326" s="59"/>
      <c r="H326" s="62"/>
      <c r="I326" s="59"/>
      <c r="J326" s="59"/>
      <c r="K326" s="55"/>
    </row>
    <row r="327" spans="2:11" x14ac:dyDescent="0.25">
      <c r="B327" s="3" t="s">
        <v>464</v>
      </c>
      <c r="C327" s="51">
        <v>36951</v>
      </c>
      <c r="D327" s="52" t="s">
        <v>757</v>
      </c>
      <c r="E327" s="5"/>
      <c r="F327" s="5"/>
      <c r="G327" s="5"/>
      <c r="H327" s="36"/>
      <c r="I327" s="3"/>
      <c r="J327" s="5"/>
      <c r="K327" s="55"/>
    </row>
    <row r="328" spans="2:11" x14ac:dyDescent="0.25">
      <c r="B328" s="2" t="s">
        <v>618</v>
      </c>
      <c r="C328" s="45">
        <v>40558</v>
      </c>
      <c r="D328" s="46" t="s">
        <v>757</v>
      </c>
      <c r="E328" s="49">
        <f>J297</f>
        <v>0</v>
      </c>
      <c r="F328" s="47">
        <v>26000</v>
      </c>
      <c r="G328" s="47">
        <v>26000</v>
      </c>
      <c r="H328" s="48" t="s">
        <v>620</v>
      </c>
      <c r="I328" s="47"/>
      <c r="J328" s="595">
        <f>SUM(G328-I328)</f>
        <v>26000</v>
      </c>
      <c r="K328" s="52"/>
    </row>
    <row r="329" spans="2:11" x14ac:dyDescent="0.25">
      <c r="B329" s="50">
        <v>39205</v>
      </c>
      <c r="C329" s="51">
        <v>39835</v>
      </c>
      <c r="D329" s="52" t="s">
        <v>666</v>
      </c>
      <c r="E329" s="56"/>
      <c r="F329" s="59"/>
      <c r="G329" s="59"/>
      <c r="H329" s="62"/>
      <c r="I329" s="59"/>
      <c r="J329" s="554"/>
      <c r="K329" s="52"/>
    </row>
    <row r="330" spans="2:11" x14ac:dyDescent="0.25">
      <c r="B330" s="3" t="s">
        <v>60</v>
      </c>
      <c r="C330" s="51">
        <v>40564</v>
      </c>
      <c r="D330" s="52" t="s">
        <v>757</v>
      </c>
      <c r="E330" s="5"/>
      <c r="F330" s="5"/>
      <c r="G330" s="56"/>
      <c r="H330" s="60"/>
      <c r="I330" s="59"/>
      <c r="K330" s="52"/>
    </row>
    <row r="331" spans="2:11" x14ac:dyDescent="0.25">
      <c r="B331" s="2" t="s">
        <v>618</v>
      </c>
      <c r="C331" s="45">
        <v>40558</v>
      </c>
      <c r="D331" s="46" t="s">
        <v>757</v>
      </c>
      <c r="E331" s="49">
        <f>J300</f>
        <v>45808.77</v>
      </c>
      <c r="F331" s="49">
        <f>'LONG-TERM DEBT'!Y61+'LONG-TERM DEBT'!Y101</f>
        <v>46380</v>
      </c>
      <c r="G331" s="49">
        <f>'LONG-TERM DEBT'!Z$61+'LONG-TERM DEBT'!Z$101</f>
        <v>45580</v>
      </c>
      <c r="H331" s="63" t="s">
        <v>620</v>
      </c>
      <c r="I331" s="47">
        <v>571.23</v>
      </c>
      <c r="J331" s="595">
        <f>SUM(G331-I331)</f>
        <v>45008.77</v>
      </c>
      <c r="K331" s="52"/>
    </row>
    <row r="332" spans="2:11" x14ac:dyDescent="0.25">
      <c r="B332" s="470" t="s">
        <v>596</v>
      </c>
      <c r="C332" s="471"/>
      <c r="D332" s="471"/>
      <c r="E332" s="473">
        <f>SUM(E306:E331)</f>
        <v>777719.89</v>
      </c>
      <c r="F332" s="473">
        <f>SUM(F306:F331)</f>
        <v>1227106.47</v>
      </c>
      <c r="G332" s="473">
        <f>SUM(G306:G331)</f>
        <v>1225136.47</v>
      </c>
      <c r="H332" s="474"/>
      <c r="I332" s="474">
        <f>SUM(I306:I331)</f>
        <v>422686.57999999996</v>
      </c>
      <c r="J332" s="472">
        <f>SUM(J306:J331)</f>
        <v>802449.89</v>
      </c>
      <c r="K332" s="67" t="s">
        <v>188</v>
      </c>
    </row>
    <row r="335" spans="2:11" x14ac:dyDescent="0.25">
      <c r="B335" s="53"/>
      <c r="C335" s="53"/>
      <c r="D335" s="610"/>
      <c r="E335" s="31" t="s">
        <v>859</v>
      </c>
      <c r="F335" s="31" t="s">
        <v>860</v>
      </c>
      <c r="G335" s="31" t="s">
        <v>861</v>
      </c>
      <c r="H335" s="31"/>
      <c r="I335" s="31" t="s">
        <v>616</v>
      </c>
      <c r="J335" s="31" t="s">
        <v>862</v>
      </c>
    </row>
    <row r="336" spans="2:11" x14ac:dyDescent="0.25">
      <c r="B336" s="33" t="str">
        <f>B11</f>
        <v>(A)</v>
      </c>
      <c r="C336" s="33" t="str">
        <f t="shared" ref="C336:J336" si="0">C11</f>
        <v>(B)</v>
      </c>
      <c r="D336" s="33" t="str">
        <f t="shared" si="0"/>
        <v>(C)</v>
      </c>
      <c r="E336" s="33" t="str">
        <f t="shared" si="0"/>
        <v>(D)</v>
      </c>
      <c r="F336" s="33" t="str">
        <f t="shared" si="0"/>
        <v>(E)</v>
      </c>
      <c r="G336" s="33" t="str">
        <f t="shared" si="0"/>
        <v>(F)</v>
      </c>
      <c r="H336" s="33" t="str">
        <f t="shared" si="0"/>
        <v xml:space="preserve"> </v>
      </c>
      <c r="I336" s="33" t="str">
        <f t="shared" si="0"/>
        <v>(G)</v>
      </c>
      <c r="J336" s="33" t="str">
        <f t="shared" si="0"/>
        <v>(H)</v>
      </c>
    </row>
    <row r="337" spans="2:13" x14ac:dyDescent="0.25">
      <c r="B337" s="33"/>
      <c r="C337" s="33" t="str">
        <f t="shared" ref="C337" si="1">C12</f>
        <v>DATE OF</v>
      </c>
      <c r="D337" s="33"/>
      <c r="E337" s="33"/>
      <c r="F337" s="33"/>
      <c r="G337" s="33"/>
      <c r="H337" s="33"/>
      <c r="I337" s="33"/>
      <c r="J337" s="33"/>
    </row>
    <row r="338" spans="2:13" x14ac:dyDescent="0.25">
      <c r="B338" s="33" t="str">
        <f t="shared" ref="B338:D338" si="2">B13</f>
        <v>BALLOT VOTE</v>
      </c>
      <c r="C338" s="33" t="str">
        <f t="shared" si="2"/>
        <v xml:space="preserve">ORIGINAL </v>
      </c>
      <c r="D338" s="33" t="str">
        <f t="shared" si="2"/>
        <v>TEMP</v>
      </c>
      <c r="E338" s="33" t="s">
        <v>878</v>
      </c>
      <c r="F338" s="33" t="s">
        <v>879</v>
      </c>
      <c r="G338" s="33" t="s">
        <v>880</v>
      </c>
      <c r="H338" s="33"/>
      <c r="I338" s="33"/>
      <c r="J338" s="33" t="s">
        <v>881</v>
      </c>
    </row>
    <row r="339" spans="2:13" x14ac:dyDescent="0.25">
      <c r="B339" s="33" t="str">
        <f t="shared" ref="B339:J339" si="3">B14</f>
        <v xml:space="preserve">DATE/PURPOSE(S) </v>
      </c>
      <c r="C339" s="33" t="str">
        <f t="shared" si="3"/>
        <v>ISSUANCE</v>
      </c>
      <c r="D339" s="33" t="str">
        <f t="shared" si="3"/>
        <v>OR</v>
      </c>
      <c r="E339" s="33" t="str">
        <f>E14</f>
        <v>EXCLUDED</v>
      </c>
      <c r="F339" s="33" t="str">
        <f t="shared" si="3"/>
        <v>DEBT</v>
      </c>
      <c r="G339" s="33" t="str">
        <f t="shared" si="3"/>
        <v>DEBT</v>
      </c>
      <c r="H339" s="33" t="str">
        <f t="shared" si="3"/>
        <v>(*)</v>
      </c>
      <c r="I339" s="33" t="str">
        <f t="shared" si="3"/>
        <v>REIMBURSEMENTS/</v>
      </c>
      <c r="J339" s="33" t="str">
        <f t="shared" si="3"/>
        <v xml:space="preserve">EXCLUDED </v>
      </c>
    </row>
    <row r="340" spans="2:13" x14ac:dyDescent="0.25">
      <c r="B340" s="611" t="str">
        <f t="shared" ref="B340:J340" si="4">B15</f>
        <v>OF EXCLUSION</v>
      </c>
      <c r="C340" s="611" t="str">
        <f t="shared" si="4"/>
        <v>NOTE/BOND</v>
      </c>
      <c r="D340" s="611" t="str">
        <f t="shared" si="4"/>
        <v>PERM</v>
      </c>
      <c r="E340" s="33" t="str">
        <f>E15</f>
        <v>DEBT</v>
      </c>
      <c r="F340" s="611" t="str">
        <f t="shared" si="4"/>
        <v>SERVICE</v>
      </c>
      <c r="G340" s="611" t="str">
        <f t="shared" si="4"/>
        <v>SERVICE</v>
      </c>
      <c r="H340" s="611" t="str">
        <f t="shared" si="4"/>
        <v>(**)</v>
      </c>
      <c r="I340" s="611" t="str">
        <f t="shared" si="4"/>
        <v>ADJUSTMENTS</v>
      </c>
      <c r="J340" s="611" t="str">
        <f t="shared" si="4"/>
        <v>DEBT</v>
      </c>
    </row>
    <row r="341" spans="2:13" x14ac:dyDescent="0.25">
      <c r="B341" s="424"/>
      <c r="C341" s="425"/>
      <c r="D341" s="425"/>
      <c r="E341" s="425"/>
      <c r="F341" s="425"/>
      <c r="G341" s="426" t="s">
        <v>863</v>
      </c>
      <c r="H341" s="425"/>
      <c r="I341" s="425"/>
      <c r="J341" s="427"/>
      <c r="K341" s="453" t="s">
        <v>23</v>
      </c>
    </row>
    <row r="342" spans="2:13" x14ac:dyDescent="0.25">
      <c r="B342" s="37">
        <v>31904</v>
      </c>
      <c r="C342" s="38">
        <v>32021</v>
      </c>
      <c r="D342" s="39" t="s">
        <v>757</v>
      </c>
      <c r="E342" s="40"/>
      <c r="F342" s="40"/>
      <c r="G342" s="40"/>
      <c r="H342" s="41" t="s">
        <v>758</v>
      </c>
      <c r="I342" s="41"/>
      <c r="J342" s="42"/>
      <c r="K342" s="65"/>
    </row>
    <row r="343" spans="2:13" x14ac:dyDescent="0.25">
      <c r="B343" s="44" t="s">
        <v>529</v>
      </c>
      <c r="C343" s="45"/>
      <c r="D343" s="46"/>
      <c r="E343" s="47"/>
      <c r="F343" s="47"/>
      <c r="G343" s="47"/>
      <c r="H343" s="48"/>
      <c r="I343" s="48"/>
      <c r="J343" s="49"/>
      <c r="K343" s="55"/>
    </row>
    <row r="344" spans="2:13" x14ac:dyDescent="0.25">
      <c r="B344" s="50">
        <v>35368</v>
      </c>
      <c r="C344" s="51"/>
      <c r="D344" s="52"/>
      <c r="E344" s="53"/>
      <c r="F344" s="53"/>
      <c r="G344" s="53"/>
      <c r="I344" s="54"/>
      <c r="J344" s="53"/>
      <c r="K344" s="55"/>
    </row>
    <row r="345" spans="2:13" x14ac:dyDescent="0.25">
      <c r="B345" s="50" t="s">
        <v>617</v>
      </c>
      <c r="C345" s="51">
        <v>36951</v>
      </c>
      <c r="D345" s="52" t="s">
        <v>757</v>
      </c>
      <c r="E345" s="56">
        <f>J309</f>
        <v>33510.089999999997</v>
      </c>
      <c r="F345" s="59">
        <f>'LONG-TERM DEBT'!Z$57+'LONG-TERM DEBT'!Z$97</f>
        <v>99637.5</v>
      </c>
      <c r="G345" s="59">
        <f>'LONG-TERM DEBT'!AA$57+'LONG-TERM DEBT'!AA$97</f>
        <v>102500</v>
      </c>
      <c r="H345" s="62" t="s">
        <v>658</v>
      </c>
      <c r="I345" s="62">
        <v>127.41</v>
      </c>
      <c r="J345" s="379">
        <f>G345-(I345+I346)</f>
        <v>102372.59</v>
      </c>
      <c r="K345" s="55"/>
      <c r="L345" s="1" t="s">
        <v>871</v>
      </c>
    </row>
    <row r="346" spans="2:13" x14ac:dyDescent="0.25">
      <c r="B346" s="37" t="s">
        <v>618</v>
      </c>
      <c r="C346" s="51">
        <v>40558</v>
      </c>
      <c r="D346" s="52" t="s">
        <v>757</v>
      </c>
      <c r="E346" s="56"/>
      <c r="F346" s="59"/>
      <c r="G346" s="59"/>
      <c r="H346" s="1" t="s">
        <v>619</v>
      </c>
      <c r="I346" s="59"/>
      <c r="J346" s="544"/>
      <c r="K346" s="55"/>
    </row>
    <row r="347" spans="2:13" x14ac:dyDescent="0.25">
      <c r="B347" s="612" t="s">
        <v>882</v>
      </c>
      <c r="C347" s="45"/>
      <c r="D347" s="46"/>
      <c r="E347" s="49"/>
      <c r="F347" s="47"/>
      <c r="G347" s="47"/>
      <c r="H347" s="28"/>
      <c r="I347" s="47"/>
      <c r="J347" s="543"/>
      <c r="K347" s="55"/>
    </row>
    <row r="348" spans="2:13" x14ac:dyDescent="0.25">
      <c r="B348" s="37">
        <v>35558</v>
      </c>
      <c r="C348" s="51">
        <v>35993</v>
      </c>
      <c r="D348" s="55" t="s">
        <v>666</v>
      </c>
      <c r="E348" s="56"/>
      <c r="F348" s="56"/>
      <c r="G348" s="57"/>
      <c r="H348" s="60" t="s">
        <v>667</v>
      </c>
      <c r="I348" s="59"/>
      <c r="J348" s="56"/>
      <c r="K348" s="55"/>
    </row>
    <row r="349" spans="2:13" x14ac:dyDescent="0.25">
      <c r="B349" s="37" t="s">
        <v>739</v>
      </c>
      <c r="C349" s="51"/>
      <c r="D349" s="52" t="s">
        <v>757</v>
      </c>
      <c r="E349" s="56">
        <f>J312</f>
        <v>290596.03999999998</v>
      </c>
      <c r="F349" s="60">
        <v>635466.47</v>
      </c>
      <c r="G349" s="60">
        <f>627958.47+4119.64</f>
        <v>632078.11</v>
      </c>
      <c r="H349" s="60"/>
      <c r="I349" s="593">
        <v>341732.08</v>
      </c>
      <c r="J349" s="594">
        <f>G349-I349</f>
        <v>290346.02999999997</v>
      </c>
      <c r="K349" s="55"/>
      <c r="L349" s="1" t="s">
        <v>864</v>
      </c>
    </row>
    <row r="350" spans="2:13" x14ac:dyDescent="0.25">
      <c r="B350" s="44"/>
      <c r="C350" s="45"/>
      <c r="D350" s="46" t="s">
        <v>666</v>
      </c>
      <c r="E350" s="49"/>
      <c r="F350" s="592"/>
      <c r="G350" s="59"/>
      <c r="H350" s="60"/>
      <c r="I350" s="59"/>
      <c r="J350" s="56"/>
      <c r="K350" s="55"/>
    </row>
    <row r="351" spans="2:13" x14ac:dyDescent="0.25">
      <c r="B351" s="37">
        <v>35558</v>
      </c>
      <c r="C351" s="51">
        <v>35972</v>
      </c>
      <c r="D351" s="52"/>
      <c r="E351" s="62"/>
      <c r="F351" s="42"/>
      <c r="G351" s="42"/>
      <c r="H351" s="58"/>
      <c r="I351" s="40"/>
      <c r="J351" s="40"/>
      <c r="K351" s="55"/>
    </row>
    <row r="352" spans="2:13" x14ac:dyDescent="0.25">
      <c r="B352" s="44" t="s">
        <v>611</v>
      </c>
      <c r="C352" s="45">
        <v>37330</v>
      </c>
      <c r="D352" s="52" t="s">
        <v>757</v>
      </c>
      <c r="E352" s="62">
        <f>J315</f>
        <v>29453.37</v>
      </c>
      <c r="F352" s="49">
        <f>'LONG-TERM DEBT'!Z$63+'LONG-TERM DEBT'!Z$103</f>
        <v>29550</v>
      </c>
      <c r="G352" s="49">
        <f>'LONG-TERM DEBT'!AA$63+'LONG-TERM DEBT'!AA$103</f>
        <v>33800</v>
      </c>
      <c r="H352" s="63" t="s">
        <v>758</v>
      </c>
      <c r="I352" s="47">
        <v>96.63</v>
      </c>
      <c r="J352" s="597">
        <f>G352-I352</f>
        <v>33703.370000000003</v>
      </c>
      <c r="K352" s="55"/>
      <c r="M352" s="1" t="s">
        <v>160</v>
      </c>
    </row>
    <row r="353" spans="2:16" x14ac:dyDescent="0.25">
      <c r="B353" s="37" t="s">
        <v>438</v>
      </c>
      <c r="C353" s="64"/>
      <c r="D353" s="65"/>
      <c r="E353" s="54"/>
      <c r="F353" s="3"/>
      <c r="G353" s="3"/>
      <c r="I353" s="3"/>
      <c r="J353" s="3"/>
      <c r="K353" s="55"/>
    </row>
    <row r="354" spans="2:16" x14ac:dyDescent="0.25">
      <c r="B354" s="44" t="s">
        <v>370</v>
      </c>
      <c r="C354" s="66">
        <v>37330</v>
      </c>
      <c r="D354" s="67" t="s">
        <v>757</v>
      </c>
      <c r="E354" s="47">
        <f>J317</f>
        <v>180473.63</v>
      </c>
      <c r="F354" s="47">
        <f>'LONG-TERM DEBT'!Z$65+'LONG-TERM DEBT'!Z$105</f>
        <v>180700</v>
      </c>
      <c r="G354" s="47">
        <f>'LONG-TERM DEBT'!AA65+'LONG-TERM DEBT'!AA105</f>
        <v>176050</v>
      </c>
      <c r="H354" s="48" t="s">
        <v>758</v>
      </c>
      <c r="I354" s="47">
        <v>226.37</v>
      </c>
      <c r="J354" s="597">
        <f>G354-I354</f>
        <v>175823.63</v>
      </c>
      <c r="K354" s="55"/>
    </row>
    <row r="355" spans="2:16" x14ac:dyDescent="0.25">
      <c r="B355" s="398">
        <v>37012</v>
      </c>
      <c r="C355" s="399"/>
      <c r="D355" s="65"/>
      <c r="E355" s="40"/>
      <c r="F355" s="40"/>
      <c r="G355" s="40"/>
      <c r="H355" s="41"/>
      <c r="I355" s="40"/>
      <c r="J355" s="42"/>
      <c r="K355" s="55"/>
    </row>
    <row r="356" spans="2:16" x14ac:dyDescent="0.25">
      <c r="B356" s="44" t="s">
        <v>557</v>
      </c>
      <c r="C356" s="400">
        <v>37330</v>
      </c>
      <c r="D356" s="67" t="s">
        <v>757</v>
      </c>
      <c r="E356" s="47">
        <f>J319</f>
        <v>10767</v>
      </c>
      <c r="F356" s="47">
        <f>'LONG-TERM DEBT'!Z$66+'LONG-TERM DEBT'!Z$106</f>
        <v>11000</v>
      </c>
      <c r="G356" s="47">
        <f>'LONG-TERM DEBT'!AA$66+'LONG-TERM DEBT'!AA$106</f>
        <v>10700</v>
      </c>
      <c r="H356" s="48"/>
      <c r="I356" s="47">
        <v>233</v>
      </c>
      <c r="J356" s="597">
        <f>G356-I356</f>
        <v>10467</v>
      </c>
      <c r="K356" s="55"/>
    </row>
    <row r="357" spans="2:16" x14ac:dyDescent="0.25">
      <c r="B357" s="37">
        <v>35922</v>
      </c>
      <c r="C357" s="51"/>
      <c r="D357" s="52"/>
      <c r="E357" s="59"/>
      <c r="F357" s="59"/>
      <c r="G357" s="59"/>
      <c r="H357" s="62"/>
      <c r="I357" s="59"/>
      <c r="J357" s="56"/>
      <c r="K357" s="55"/>
    </row>
    <row r="358" spans="2:16" x14ac:dyDescent="0.25">
      <c r="B358" s="37" t="s">
        <v>591</v>
      </c>
      <c r="C358" s="51">
        <v>36951</v>
      </c>
      <c r="D358" s="52" t="s">
        <v>757</v>
      </c>
      <c r="E358" s="59">
        <f>J321</f>
        <v>91130.26</v>
      </c>
      <c r="F358" s="59">
        <f>'LONG-TERM DEBT'!Z$58+'LONG-TERM DEBT'!Z$98</f>
        <v>91310</v>
      </c>
      <c r="G358" s="59">
        <f>'LONG-TERM DEBT'!AA$58+'LONG-TERM DEBT'!AA$98</f>
        <v>89510</v>
      </c>
      <c r="H358" s="62" t="s">
        <v>607</v>
      </c>
      <c r="I358" s="59"/>
      <c r="J358" s="379">
        <f>G358-(I358+I359)</f>
        <v>89330.26</v>
      </c>
      <c r="K358" s="55"/>
    </row>
    <row r="359" spans="2:16" x14ac:dyDescent="0.25">
      <c r="B359" s="44" t="s">
        <v>618</v>
      </c>
      <c r="C359" s="45">
        <v>40558</v>
      </c>
      <c r="D359" s="46" t="s">
        <v>757</v>
      </c>
      <c r="E359" s="59"/>
      <c r="F359" s="59"/>
      <c r="G359" s="59"/>
      <c r="H359" s="62" t="s">
        <v>620</v>
      </c>
      <c r="I359" s="59">
        <v>179.74</v>
      </c>
      <c r="J359" s="554"/>
      <c r="K359" s="55"/>
    </row>
    <row r="360" spans="2:16" x14ac:dyDescent="0.25">
      <c r="B360" s="69">
        <v>36426</v>
      </c>
      <c r="C360" s="38">
        <v>36651</v>
      </c>
      <c r="D360" s="70"/>
      <c r="E360" s="42"/>
      <c r="F360" s="40"/>
      <c r="G360" s="40"/>
      <c r="H360" s="41"/>
      <c r="I360" s="40"/>
      <c r="J360" s="40"/>
      <c r="K360" s="55"/>
    </row>
    <row r="361" spans="2:16" x14ac:dyDescent="0.25">
      <c r="B361" s="52" t="s">
        <v>593</v>
      </c>
      <c r="C361" s="51">
        <v>36951</v>
      </c>
      <c r="D361" s="22" t="s">
        <v>757</v>
      </c>
      <c r="E361" s="56">
        <f>J324</f>
        <v>95510.73</v>
      </c>
      <c r="F361" s="59">
        <f>'LONG-TERM DEBT'!Z$56+'LONG-TERM DEBT'!Z$96+9000+1931.25</f>
        <v>105892.5</v>
      </c>
      <c r="G361" s="59">
        <f>'LONG-TERM DEBT'!AA$56+'LONG-TERM DEBT'!AA$96+9000+1931.25</f>
        <v>103968.75</v>
      </c>
      <c r="H361" s="62" t="s">
        <v>201</v>
      </c>
      <c r="I361" s="59">
        <f>I324</f>
        <v>10381.77</v>
      </c>
      <c r="J361" s="379">
        <f>G361-(I361+I362)</f>
        <v>93586.98</v>
      </c>
      <c r="K361" s="55"/>
      <c r="L361" s="1" t="s">
        <v>865</v>
      </c>
    </row>
    <row r="362" spans="2:16" x14ac:dyDescent="0.25">
      <c r="B362" s="46" t="s">
        <v>618</v>
      </c>
      <c r="C362" s="45">
        <v>40558</v>
      </c>
      <c r="D362" s="71" t="s">
        <v>757</v>
      </c>
      <c r="E362" s="49"/>
      <c r="F362" s="47"/>
      <c r="G362" s="47"/>
      <c r="H362" s="48" t="s">
        <v>620</v>
      </c>
      <c r="I362" s="47"/>
      <c r="J362" s="545"/>
      <c r="K362" s="55"/>
    </row>
    <row r="363" spans="2:16" x14ac:dyDescent="0.25">
      <c r="B363" s="50">
        <v>36650</v>
      </c>
      <c r="C363" s="51">
        <v>36791</v>
      </c>
      <c r="D363" s="52"/>
      <c r="E363" s="56"/>
      <c r="F363" s="59"/>
      <c r="G363" s="59"/>
      <c r="H363" s="62"/>
      <c r="I363" s="59"/>
      <c r="J363" s="59"/>
      <c r="K363" s="55"/>
    </row>
    <row r="364" spans="2:16" x14ac:dyDescent="0.25">
      <c r="B364" s="3" t="s">
        <v>464</v>
      </c>
      <c r="C364" s="51">
        <v>36951</v>
      </c>
      <c r="D364" s="52" t="s">
        <v>757</v>
      </c>
      <c r="E364" s="5"/>
      <c r="F364" s="5"/>
      <c r="G364" s="5"/>
      <c r="H364" s="36"/>
      <c r="I364" s="3"/>
      <c r="J364" s="5"/>
      <c r="K364" s="55"/>
      <c r="L364" s="1" t="s">
        <v>866</v>
      </c>
      <c r="P364" s="6"/>
    </row>
    <row r="365" spans="2:16" x14ac:dyDescent="0.25">
      <c r="B365" s="2" t="s">
        <v>618</v>
      </c>
      <c r="C365" s="45">
        <v>40558</v>
      </c>
      <c r="D365" s="46" t="s">
        <v>757</v>
      </c>
      <c r="E365" s="49"/>
      <c r="F365" s="47"/>
      <c r="G365" s="47"/>
      <c r="H365" s="48" t="s">
        <v>620</v>
      </c>
      <c r="I365" s="47"/>
      <c r="J365" s="545"/>
      <c r="K365" s="52"/>
    </row>
    <row r="366" spans="2:16" x14ac:dyDescent="0.25">
      <c r="B366" s="50">
        <v>39205</v>
      </c>
      <c r="C366" s="51">
        <v>39835</v>
      </c>
      <c r="D366" s="52" t="s">
        <v>666</v>
      </c>
      <c r="E366" s="56"/>
      <c r="F366" s="59"/>
      <c r="G366" s="59"/>
      <c r="H366" s="62"/>
      <c r="I366" s="59"/>
      <c r="J366" s="554"/>
      <c r="K366" s="52"/>
    </row>
    <row r="367" spans="2:16" x14ac:dyDescent="0.25">
      <c r="B367" s="3" t="s">
        <v>60</v>
      </c>
      <c r="C367" s="51">
        <v>40564</v>
      </c>
      <c r="D367" s="52" t="s">
        <v>757</v>
      </c>
      <c r="E367" s="379"/>
      <c r="F367" s="5"/>
      <c r="G367" s="59"/>
      <c r="H367" s="62"/>
      <c r="I367" s="59"/>
      <c r="J367" s="5"/>
      <c r="K367" s="52"/>
    </row>
    <row r="368" spans="2:16" x14ac:dyDescent="0.25">
      <c r="B368" s="2" t="s">
        <v>618</v>
      </c>
      <c r="C368" s="45">
        <v>40558</v>
      </c>
      <c r="D368" s="46" t="s">
        <v>757</v>
      </c>
      <c r="E368" s="49">
        <f>J331</f>
        <v>45008.77</v>
      </c>
      <c r="F368" s="49">
        <f>'LONG-TERM DEBT'!Z$61+'LONG-TERM DEBT'!Z$101</f>
        <v>45580</v>
      </c>
      <c r="G368" s="49">
        <f>'LONG-TERM DEBT'!AA$61+'LONG-TERM DEBT'!AA$101</f>
        <v>44680</v>
      </c>
      <c r="H368" s="48" t="s">
        <v>620</v>
      </c>
      <c r="I368" s="47">
        <f>I331</f>
        <v>571.23</v>
      </c>
      <c r="J368" s="595">
        <f>SUM(G368-I368)</f>
        <v>44108.77</v>
      </c>
      <c r="K368" s="52"/>
    </row>
    <row r="369" spans="2:14" x14ac:dyDescent="0.25">
      <c r="B369" s="50">
        <v>42493</v>
      </c>
      <c r="C369" s="51"/>
      <c r="D369" s="52"/>
      <c r="E369" s="56"/>
      <c r="F369" s="59"/>
      <c r="G369" s="59"/>
      <c r="H369" s="62"/>
      <c r="I369" s="40"/>
      <c r="J369" s="554"/>
      <c r="K369" s="22"/>
    </row>
    <row r="370" spans="2:14" x14ac:dyDescent="0.25">
      <c r="B370" s="3" t="s">
        <v>870</v>
      </c>
      <c r="C370" s="51"/>
      <c r="D370" s="52"/>
      <c r="E370" s="379">
        <v>0</v>
      </c>
      <c r="F370" s="5"/>
      <c r="G370" s="59">
        <f>'LONG-TERM DEBT'!AA148+'LONG-TERM DEBT'!AA149</f>
        <v>0</v>
      </c>
      <c r="H370" s="62"/>
      <c r="I370" s="59">
        <f>I333</f>
        <v>0</v>
      </c>
      <c r="J370" s="595">
        <f>SUM(G370-I370)</f>
        <v>0</v>
      </c>
      <c r="K370" s="22"/>
    </row>
    <row r="371" spans="2:14" x14ac:dyDescent="0.25">
      <c r="B371" s="3" t="s">
        <v>876</v>
      </c>
      <c r="C371" s="51"/>
      <c r="D371" s="52"/>
      <c r="E371" s="56"/>
      <c r="F371" s="56"/>
      <c r="G371" s="56">
        <f>'LONG-TERM DEBT'!AA147</f>
        <v>0</v>
      </c>
      <c r="H371" s="62"/>
      <c r="I371" s="59"/>
      <c r="J371" s="595">
        <f>SUM(G371-I371)</f>
        <v>0</v>
      </c>
      <c r="K371" s="22"/>
    </row>
    <row r="372" spans="2:14" x14ac:dyDescent="0.25">
      <c r="B372" s="2" t="s">
        <v>913</v>
      </c>
      <c r="C372" s="45"/>
      <c r="D372" s="46"/>
      <c r="E372" s="47"/>
      <c r="F372" s="47"/>
      <c r="G372" s="47">
        <v>0</v>
      </c>
      <c r="H372" s="48"/>
      <c r="I372" s="48"/>
      <c r="J372" s="595">
        <f>SUM(G372-I372)</f>
        <v>0</v>
      </c>
      <c r="K372" s="22"/>
    </row>
    <row r="373" spans="2:14" x14ac:dyDescent="0.25">
      <c r="B373" s="470" t="s">
        <v>596</v>
      </c>
      <c r="C373" s="471"/>
      <c r="D373" s="471"/>
      <c r="E373" s="473">
        <f>SUM(E342:E368)</f>
        <v>776449.89</v>
      </c>
      <c r="F373" s="473">
        <f>SUM(F342:F368)</f>
        <v>1199136.47</v>
      </c>
      <c r="G373" s="473">
        <f>SUM(G342:G368)</f>
        <v>1193286.8599999999</v>
      </c>
      <c r="H373" s="474"/>
      <c r="I373" s="474">
        <f>SUM(I342:I368)</f>
        <v>353548.23</v>
      </c>
      <c r="J373" s="472">
        <f>SUM(J342:J372)</f>
        <v>839738.63</v>
      </c>
      <c r="L373" s="6">
        <f>SUM(J345:J368)</f>
        <v>839738.63</v>
      </c>
      <c r="M373" s="6">
        <f>L373+24282</f>
        <v>864020.63</v>
      </c>
    </row>
    <row r="376" spans="2:14" x14ac:dyDescent="0.25">
      <c r="B376" s="31"/>
      <c r="C376" s="31"/>
      <c r="D376" s="610"/>
      <c r="E376" s="31" t="s">
        <v>903</v>
      </c>
      <c r="F376" s="31" t="s">
        <v>910</v>
      </c>
      <c r="G376" s="31" t="s">
        <v>904</v>
      </c>
      <c r="H376" s="31"/>
      <c r="I376" s="31" t="s">
        <v>616</v>
      </c>
      <c r="J376" s="31" t="s">
        <v>905</v>
      </c>
    </row>
    <row r="377" spans="2:14" x14ac:dyDescent="0.25">
      <c r="B377" s="33" t="str">
        <f t="shared" ref="B377:B381" si="5">B336</f>
        <v>(A)</v>
      </c>
      <c r="C377" s="33" t="str">
        <f>C336</f>
        <v>(B)</v>
      </c>
      <c r="D377" s="33" t="str">
        <f>D336</f>
        <v>(C)</v>
      </c>
      <c r="E377" s="33" t="str">
        <f>E336</f>
        <v>(D)</v>
      </c>
      <c r="F377" s="33" t="str">
        <f t="shared" ref="F377:J377" si="6">F336</f>
        <v>(E)</v>
      </c>
      <c r="G377" s="33" t="str">
        <f t="shared" si="6"/>
        <v>(F)</v>
      </c>
      <c r="H377" s="33" t="str">
        <f t="shared" si="6"/>
        <v xml:space="preserve"> </v>
      </c>
      <c r="I377" s="33" t="str">
        <f t="shared" si="6"/>
        <v>(G)</v>
      </c>
      <c r="J377" s="33" t="str">
        <f t="shared" si="6"/>
        <v>(H)</v>
      </c>
    </row>
    <row r="378" spans="2:14" x14ac:dyDescent="0.25">
      <c r="B378" s="33"/>
      <c r="C378" s="33" t="str">
        <f>C337</f>
        <v>DATE OF</v>
      </c>
      <c r="D378" s="33"/>
      <c r="E378" s="33"/>
      <c r="F378" s="33"/>
      <c r="G378" s="33"/>
      <c r="H378" s="33"/>
      <c r="I378" s="33"/>
      <c r="J378" s="33"/>
    </row>
    <row r="379" spans="2:14" x14ac:dyDescent="0.25">
      <c r="B379" s="33" t="str">
        <f t="shared" si="5"/>
        <v>BALLOT VOTE</v>
      </c>
      <c r="C379" s="33" t="str">
        <f>C338</f>
        <v xml:space="preserve">ORIGINAL </v>
      </c>
      <c r="D379" s="33" t="str">
        <f t="shared" ref="D379:G381" si="7">D338</f>
        <v>TEMP</v>
      </c>
      <c r="E379" s="33" t="str">
        <f t="shared" si="7"/>
        <v>FY17 NET</v>
      </c>
      <c r="F379" s="33" t="str">
        <f t="shared" si="7"/>
        <v>FY17 GROSS</v>
      </c>
      <c r="G379" s="33" t="str">
        <f t="shared" si="7"/>
        <v xml:space="preserve">FY18 GROSS </v>
      </c>
      <c r="H379" s="33"/>
      <c r="I379" s="33"/>
      <c r="J379" s="33" t="str">
        <f>J338</f>
        <v>FY18 NET</v>
      </c>
    </row>
    <row r="380" spans="2:14" x14ac:dyDescent="0.25">
      <c r="B380" s="33" t="str">
        <f t="shared" si="5"/>
        <v xml:space="preserve">DATE/PURPOSE(S) </v>
      </c>
      <c r="C380" s="33" t="str">
        <f>C339</f>
        <v>ISSUANCE</v>
      </c>
      <c r="D380" s="33" t="str">
        <f t="shared" si="7"/>
        <v>OR</v>
      </c>
      <c r="E380" s="33" t="str">
        <f t="shared" si="7"/>
        <v>EXCLUDED</v>
      </c>
      <c r="F380" s="33" t="str">
        <f t="shared" si="7"/>
        <v>DEBT</v>
      </c>
      <c r="G380" s="33" t="str">
        <f t="shared" si="7"/>
        <v>DEBT</v>
      </c>
      <c r="H380" s="33" t="str">
        <f>H339</f>
        <v>(*)</v>
      </c>
      <c r="I380" s="33" t="str">
        <f>I339</f>
        <v>REIMBURSEMENTS/</v>
      </c>
      <c r="J380" s="33" t="str">
        <f>J339</f>
        <v xml:space="preserve">EXCLUDED </v>
      </c>
    </row>
    <row r="381" spans="2:14" x14ac:dyDescent="0.25">
      <c r="B381" s="611" t="str">
        <f t="shared" si="5"/>
        <v>OF EXCLUSION</v>
      </c>
      <c r="C381" s="611" t="str">
        <f>C340</f>
        <v>NOTE/BOND</v>
      </c>
      <c r="D381" s="33" t="str">
        <f t="shared" si="7"/>
        <v>PERM</v>
      </c>
      <c r="E381" s="33" t="str">
        <f t="shared" si="7"/>
        <v>DEBT</v>
      </c>
      <c r="F381" s="33" t="str">
        <f t="shared" si="7"/>
        <v>SERVICE</v>
      </c>
      <c r="G381" s="33" t="str">
        <f t="shared" si="7"/>
        <v>SERVICE</v>
      </c>
      <c r="H381" s="33" t="str">
        <f>H340</f>
        <v>(**)</v>
      </c>
      <c r="I381" s="33" t="str">
        <f>I340</f>
        <v>ADJUSTMENTS</v>
      </c>
      <c r="J381" s="33" t="str">
        <f>J340</f>
        <v>DEBT</v>
      </c>
    </row>
    <row r="382" spans="2:14" x14ac:dyDescent="0.25">
      <c r="B382" s="424"/>
      <c r="C382" s="425"/>
      <c r="D382" s="425"/>
      <c r="E382" s="425"/>
      <c r="F382" s="425"/>
      <c r="G382" s="426" t="s">
        <v>863</v>
      </c>
      <c r="H382" s="425"/>
      <c r="I382" s="425"/>
      <c r="J382" s="427"/>
    </row>
    <row r="383" spans="2:14" x14ac:dyDescent="0.25">
      <c r="B383" s="37">
        <v>31904</v>
      </c>
      <c r="C383" s="38">
        <v>32021</v>
      </c>
      <c r="D383" s="39" t="s">
        <v>757</v>
      </c>
      <c r="E383" s="40"/>
      <c r="F383" s="40"/>
      <c r="G383" s="40"/>
      <c r="H383" s="41" t="s">
        <v>758</v>
      </c>
      <c r="I383" s="41"/>
      <c r="J383" s="42"/>
    </row>
    <row r="384" spans="2:14" x14ac:dyDescent="0.25">
      <c r="B384" s="44" t="s">
        <v>529</v>
      </c>
      <c r="C384" s="45"/>
      <c r="D384" s="71"/>
      <c r="E384" s="49"/>
      <c r="F384" s="47"/>
      <c r="G384" s="47"/>
      <c r="H384" s="48"/>
      <c r="I384" s="48"/>
      <c r="J384" s="49"/>
      <c r="N384" s="1" t="s">
        <v>160</v>
      </c>
    </row>
    <row r="385" spans="2:12" x14ac:dyDescent="0.25">
      <c r="B385" s="50">
        <v>35368</v>
      </c>
      <c r="C385" s="51"/>
      <c r="D385" s="22"/>
      <c r="E385" s="53"/>
      <c r="F385" s="54"/>
      <c r="G385" s="53"/>
      <c r="I385" s="54"/>
      <c r="J385" s="53"/>
    </row>
    <row r="386" spans="2:12" x14ac:dyDescent="0.25">
      <c r="B386" s="50" t="s">
        <v>617</v>
      </c>
      <c r="C386" s="51">
        <v>36951</v>
      </c>
      <c r="D386" s="22" t="s">
        <v>757</v>
      </c>
      <c r="E386" s="56">
        <f>J345</f>
        <v>102372.59</v>
      </c>
      <c r="F386" s="59">
        <f>'LONG-TERM DEBT'!AA$57+'LONG-TERM DEBT'!AA$97</f>
        <v>102500</v>
      </c>
      <c r="G386" s="59">
        <f>'LONG-TERM DEBT'!AB$57+'LONG-TERM DEBT'!AB$97</f>
        <v>0</v>
      </c>
      <c r="H386" s="62" t="s">
        <v>658</v>
      </c>
      <c r="I386" s="62"/>
      <c r="J386" s="379">
        <f>G386-(I386+I387)</f>
        <v>0</v>
      </c>
    </row>
    <row r="387" spans="2:12" x14ac:dyDescent="0.25">
      <c r="B387" s="37" t="s">
        <v>618</v>
      </c>
      <c r="C387" s="51">
        <v>40558</v>
      </c>
      <c r="D387" s="22" t="s">
        <v>757</v>
      </c>
      <c r="E387" s="56"/>
      <c r="F387" s="59"/>
      <c r="G387" s="59"/>
      <c r="H387" s="1" t="s">
        <v>619</v>
      </c>
      <c r="I387" s="59"/>
      <c r="J387" s="544"/>
    </row>
    <row r="388" spans="2:12" x14ac:dyDescent="0.25">
      <c r="B388" s="612" t="s">
        <v>882</v>
      </c>
      <c r="C388" s="45"/>
      <c r="D388" s="71"/>
      <c r="E388" s="49"/>
      <c r="F388" s="47"/>
      <c r="G388" s="47"/>
      <c r="H388" s="28"/>
      <c r="I388" s="47"/>
      <c r="J388" s="543"/>
    </row>
    <row r="389" spans="2:12" x14ac:dyDescent="0.25">
      <c r="B389" s="37">
        <v>35558</v>
      </c>
      <c r="C389" s="51">
        <v>35993</v>
      </c>
      <c r="D389" s="697" t="s">
        <v>666</v>
      </c>
      <c r="E389" s="56"/>
      <c r="F389" s="59"/>
      <c r="G389" s="57"/>
      <c r="H389" s="60" t="s">
        <v>667</v>
      </c>
      <c r="I389" s="59"/>
      <c r="J389" s="56"/>
    </row>
    <row r="390" spans="2:12" x14ac:dyDescent="0.25">
      <c r="B390" s="37" t="s">
        <v>739</v>
      </c>
      <c r="C390" s="51"/>
      <c r="D390" s="22" t="s">
        <v>757</v>
      </c>
      <c r="E390" s="56">
        <f>J349</f>
        <v>290346.02999999997</v>
      </c>
      <c r="F390" s="62">
        <v>635466.47</v>
      </c>
      <c r="G390" s="60">
        <f>627958.47+4119.64</f>
        <v>632078.11</v>
      </c>
      <c r="H390" s="60"/>
      <c r="I390" s="593">
        <v>341732.08</v>
      </c>
      <c r="J390" s="594">
        <f>G390-I390</f>
        <v>290346.02999999997</v>
      </c>
    </row>
    <row r="391" spans="2:12" x14ac:dyDescent="0.25">
      <c r="B391" s="44"/>
      <c r="C391" s="45"/>
      <c r="D391" s="71" t="s">
        <v>666</v>
      </c>
      <c r="E391" s="49"/>
      <c r="F391" s="2"/>
      <c r="G391" s="59"/>
      <c r="H391" s="60"/>
      <c r="I391" s="59"/>
      <c r="J391" s="56"/>
    </row>
    <row r="392" spans="2:12" x14ac:dyDescent="0.25">
      <c r="B392" s="37">
        <v>35558</v>
      </c>
      <c r="C392" s="51">
        <v>35972</v>
      </c>
      <c r="D392" s="22"/>
      <c r="E392" s="56"/>
      <c r="F392" s="40"/>
      <c r="G392" s="42"/>
      <c r="H392" s="58"/>
      <c r="I392" s="40"/>
      <c r="J392" s="40"/>
    </row>
    <row r="393" spans="2:12" x14ac:dyDescent="0.25">
      <c r="B393" s="44" t="s">
        <v>611</v>
      </c>
      <c r="C393" s="45">
        <v>37330</v>
      </c>
      <c r="D393" s="22" t="s">
        <v>757</v>
      </c>
      <c r="E393" s="56">
        <f>J352</f>
        <v>33703.370000000003</v>
      </c>
      <c r="F393" s="47">
        <f>'LONG-TERM DEBT'!AA$63+'LONG-TERM DEBT'!AA$103</f>
        <v>33800</v>
      </c>
      <c r="G393" s="49">
        <f>'LONG-TERM DEBT'!AB$63+'LONG-TERM DEBT'!AB$103</f>
        <v>32900</v>
      </c>
      <c r="H393" s="63" t="s">
        <v>758</v>
      </c>
      <c r="I393" s="47">
        <v>96.63</v>
      </c>
      <c r="J393" s="597">
        <f>G393-I393</f>
        <v>32803.370000000003</v>
      </c>
    </row>
    <row r="394" spans="2:12" x14ac:dyDescent="0.25">
      <c r="B394" s="37" t="s">
        <v>438</v>
      </c>
      <c r="C394" s="64"/>
      <c r="D394" s="698"/>
      <c r="E394" s="53"/>
      <c r="F394" s="3"/>
      <c r="G394" s="3"/>
      <c r="I394" s="3"/>
      <c r="J394" s="3"/>
    </row>
    <row r="395" spans="2:12" x14ac:dyDescent="0.25">
      <c r="B395" s="44" t="s">
        <v>370</v>
      </c>
      <c r="C395" s="66">
        <v>37330</v>
      </c>
      <c r="D395" s="477" t="s">
        <v>757</v>
      </c>
      <c r="E395" s="56">
        <f>J354</f>
        <v>175823.63</v>
      </c>
      <c r="F395" s="47">
        <f>'LONG-TERM DEBT'!AA$65+'LONG-TERM DEBT'!AA$105</f>
        <v>176050</v>
      </c>
      <c r="G395" s="47">
        <f>'LONG-TERM DEBT'!AB$65+'LONG-TERM DEBT'!AB$105</f>
        <v>176400</v>
      </c>
      <c r="H395" s="48" t="s">
        <v>758</v>
      </c>
      <c r="I395" s="47">
        <v>226.37</v>
      </c>
      <c r="J395" s="597">
        <f>G395-I395</f>
        <v>176173.63</v>
      </c>
      <c r="L395" s="1" t="s">
        <v>160</v>
      </c>
    </row>
    <row r="396" spans="2:12" x14ac:dyDescent="0.25">
      <c r="B396" s="398">
        <v>37012</v>
      </c>
      <c r="C396" s="399"/>
      <c r="D396" s="698"/>
      <c r="E396" s="42"/>
      <c r="F396" s="40"/>
      <c r="G396" s="40"/>
      <c r="H396" s="41"/>
      <c r="I396" s="40"/>
      <c r="J396" s="42"/>
    </row>
    <row r="397" spans="2:12" x14ac:dyDescent="0.25">
      <c r="B397" s="44" t="s">
        <v>557</v>
      </c>
      <c r="C397" s="400">
        <v>37330</v>
      </c>
      <c r="D397" s="477" t="s">
        <v>757</v>
      </c>
      <c r="E397" s="49">
        <f>J356</f>
        <v>10467</v>
      </c>
      <c r="F397" s="47">
        <f>'LONG-TERM DEBT'!AA$66+'LONG-TERM DEBT'!AA$106</f>
        <v>10700</v>
      </c>
      <c r="G397" s="47">
        <f>'LONG-TERM DEBT'!AB$66+'LONG-TERM DEBT'!AB$106</f>
        <v>10400</v>
      </c>
      <c r="H397" s="48"/>
      <c r="I397" s="47">
        <v>233</v>
      </c>
      <c r="J397" s="597">
        <f>G397-I397</f>
        <v>10167</v>
      </c>
    </row>
    <row r="398" spans="2:12" x14ac:dyDescent="0.25">
      <c r="B398" s="37">
        <v>35922</v>
      </c>
      <c r="C398" s="51"/>
      <c r="D398" s="22"/>
      <c r="E398" s="56"/>
      <c r="F398" s="59"/>
      <c r="G398" s="59"/>
      <c r="H398" s="62"/>
      <c r="I398" s="59"/>
      <c r="J398" s="56"/>
    </row>
    <row r="399" spans="2:12" x14ac:dyDescent="0.25">
      <c r="B399" s="37" t="s">
        <v>591</v>
      </c>
      <c r="C399" s="51">
        <v>36951</v>
      </c>
      <c r="D399" s="22" t="s">
        <v>757</v>
      </c>
      <c r="E399" s="56">
        <f>J358</f>
        <v>89330.26</v>
      </c>
      <c r="F399" s="59">
        <f>'LONG-TERM DEBT'!AA$58+'LONG-TERM DEBT'!AA$98</f>
        <v>89510</v>
      </c>
      <c r="G399" s="59">
        <f>'LONG-TERM DEBT'!AB$58+'LONG-TERM DEBT'!AB$98</f>
        <v>87510</v>
      </c>
      <c r="H399" s="62" t="s">
        <v>607</v>
      </c>
      <c r="I399" s="59"/>
      <c r="J399" s="379">
        <f>G399-(I399+I400)</f>
        <v>87330.26</v>
      </c>
    </row>
    <row r="400" spans="2:12" x14ac:dyDescent="0.25">
      <c r="B400" s="44" t="s">
        <v>618</v>
      </c>
      <c r="C400" s="45">
        <v>40558</v>
      </c>
      <c r="D400" s="71" t="s">
        <v>757</v>
      </c>
      <c r="E400" s="56"/>
      <c r="F400" s="59"/>
      <c r="G400" s="59"/>
      <c r="H400" s="62" t="s">
        <v>620</v>
      </c>
      <c r="I400" s="59">
        <v>179.74</v>
      </c>
      <c r="J400" s="554"/>
    </row>
    <row r="401" spans="2:13" x14ac:dyDescent="0.25">
      <c r="B401" s="69">
        <v>36426</v>
      </c>
      <c r="C401" s="38">
        <v>36651</v>
      </c>
      <c r="D401" s="70"/>
      <c r="E401" s="42"/>
      <c r="F401" s="40"/>
      <c r="G401" s="40"/>
      <c r="H401" s="41"/>
      <c r="I401" s="40"/>
      <c r="J401" s="40"/>
    </row>
    <row r="402" spans="2:13" x14ac:dyDescent="0.25">
      <c r="B402" s="52" t="s">
        <v>593</v>
      </c>
      <c r="C402" s="51">
        <v>36951</v>
      </c>
      <c r="D402" s="22" t="s">
        <v>757</v>
      </c>
      <c r="E402" s="56">
        <f>J361</f>
        <v>93586.98</v>
      </c>
      <c r="F402" s="59">
        <f>'LONG-TERM DEBT'!AA$56+'LONG-TERM DEBT'!AA$96+9000+1931.25</f>
        <v>103968.75</v>
      </c>
      <c r="G402" s="59">
        <f>'LONG-TERM DEBT'!AB$56+'LONG-TERM DEBT'!AB$96+9000+1931.25</f>
        <v>106331.25</v>
      </c>
      <c r="H402" s="62" t="s">
        <v>201</v>
      </c>
      <c r="I402" s="59">
        <f>I324</f>
        <v>10381.77</v>
      </c>
      <c r="J402" s="379">
        <f>G402-(I402+I403)</f>
        <v>95949.48</v>
      </c>
    </row>
    <row r="403" spans="2:13" x14ac:dyDescent="0.25">
      <c r="B403" s="46" t="s">
        <v>618</v>
      </c>
      <c r="C403" s="45">
        <v>40558</v>
      </c>
      <c r="D403" s="71" t="s">
        <v>757</v>
      </c>
      <c r="E403" s="49"/>
      <c r="F403" s="47"/>
      <c r="G403" s="47"/>
      <c r="H403" s="48" t="s">
        <v>620</v>
      </c>
      <c r="I403" s="47"/>
      <c r="J403" s="545"/>
    </row>
    <row r="404" spans="2:13" x14ac:dyDescent="0.25">
      <c r="B404" s="50">
        <v>36650</v>
      </c>
      <c r="C404" s="51">
        <v>36791</v>
      </c>
      <c r="D404" s="22"/>
      <c r="E404" s="56"/>
      <c r="F404" s="59"/>
      <c r="G404" s="59"/>
      <c r="H404" s="62"/>
      <c r="I404" s="59"/>
      <c r="J404" s="59"/>
    </row>
    <row r="405" spans="2:13" x14ac:dyDescent="0.25">
      <c r="B405" s="3" t="s">
        <v>464</v>
      </c>
      <c r="C405" s="51">
        <v>36951</v>
      </c>
      <c r="D405" s="22" t="s">
        <v>757</v>
      </c>
      <c r="E405" s="5"/>
      <c r="F405" s="3"/>
      <c r="G405" s="5"/>
      <c r="H405" s="36"/>
      <c r="I405" s="3"/>
      <c r="J405" s="5"/>
    </row>
    <row r="406" spans="2:13" x14ac:dyDescent="0.25">
      <c r="B406" s="2" t="s">
        <v>618</v>
      </c>
      <c r="C406" s="45">
        <v>40558</v>
      </c>
      <c r="D406" s="71" t="s">
        <v>757</v>
      </c>
      <c r="E406" s="49"/>
      <c r="F406" s="47"/>
      <c r="G406" s="47"/>
      <c r="H406" s="48" t="s">
        <v>620</v>
      </c>
      <c r="I406" s="47"/>
      <c r="J406" s="545"/>
    </row>
    <row r="407" spans="2:13" x14ac:dyDescent="0.25">
      <c r="B407" s="50">
        <v>39205</v>
      </c>
      <c r="C407" s="51">
        <v>39835</v>
      </c>
      <c r="D407" s="22" t="s">
        <v>666</v>
      </c>
      <c r="E407" s="56"/>
      <c r="F407" s="59"/>
      <c r="G407" s="59"/>
      <c r="H407" s="62"/>
      <c r="I407" s="59"/>
      <c r="J407" s="554"/>
    </row>
    <row r="408" spans="2:13" x14ac:dyDescent="0.25">
      <c r="B408" s="3" t="s">
        <v>60</v>
      </c>
      <c r="C408" s="51">
        <v>40564</v>
      </c>
      <c r="D408" s="22" t="s">
        <v>757</v>
      </c>
      <c r="E408" s="379"/>
      <c r="F408" s="3"/>
      <c r="G408" s="59"/>
      <c r="H408" s="62"/>
      <c r="I408" s="59"/>
      <c r="J408" s="5"/>
    </row>
    <row r="409" spans="2:13" x14ac:dyDescent="0.25">
      <c r="B409" s="2" t="s">
        <v>618</v>
      </c>
      <c r="C409" s="45">
        <v>40558</v>
      </c>
      <c r="D409" s="71" t="s">
        <v>757</v>
      </c>
      <c r="E409" s="49">
        <f>J368</f>
        <v>44108.77</v>
      </c>
      <c r="F409" s="47">
        <f>'LONG-TERM DEBT'!AA$61+'LONG-TERM DEBT'!AA$101</f>
        <v>44680</v>
      </c>
      <c r="G409" s="49">
        <f>'LONG-TERM DEBT'!AB$61+'LONG-TERM DEBT'!AB$101</f>
        <v>43680</v>
      </c>
      <c r="H409" s="48" t="s">
        <v>620</v>
      </c>
      <c r="I409" s="47">
        <f>I331</f>
        <v>571.23</v>
      </c>
      <c r="J409" s="595">
        <f>SUM(G409-I409)</f>
        <v>43108.77</v>
      </c>
    </row>
    <row r="410" spans="2:13" x14ac:dyDescent="0.25">
      <c r="B410" s="50" t="s">
        <v>914</v>
      </c>
      <c r="C410" s="51"/>
      <c r="D410" s="52"/>
      <c r="E410" s="56"/>
      <c r="F410" s="59"/>
      <c r="G410" s="59"/>
      <c r="H410" s="62"/>
      <c r="I410" s="40"/>
      <c r="J410" s="554"/>
    </row>
    <row r="411" spans="2:13" x14ac:dyDescent="0.25">
      <c r="B411" s="3" t="s">
        <v>906</v>
      </c>
      <c r="C411" s="51">
        <v>43019</v>
      </c>
      <c r="D411" s="52" t="s">
        <v>757</v>
      </c>
      <c r="E411" s="379"/>
      <c r="F411" s="5"/>
      <c r="G411" s="59">
        <f>SUM('LONG-TERM DEBT'!AB$78) + SUM('LONG-TERM DEBT'!AB$117)</f>
        <v>84123.760000000009</v>
      </c>
      <c r="H411" s="62"/>
      <c r="I411" s="59"/>
      <c r="J411" s="601">
        <f>SUM(G411-I411)</f>
        <v>84123.760000000009</v>
      </c>
      <c r="K411" s="1" t="s">
        <v>160</v>
      </c>
    </row>
    <row r="412" spans="2:13" x14ac:dyDescent="0.25">
      <c r="B412" s="2"/>
      <c r="C412" s="45"/>
      <c r="D412" s="46"/>
      <c r="E412" s="699"/>
      <c r="F412" s="592"/>
      <c r="G412" s="47"/>
      <c r="H412" s="48"/>
      <c r="I412" s="47"/>
      <c r="J412" s="595"/>
    </row>
    <row r="413" spans="2:13" x14ac:dyDescent="0.25">
      <c r="B413" s="3" t="s">
        <v>907</v>
      </c>
      <c r="C413" s="51"/>
      <c r="D413" s="52"/>
      <c r="E413" s="379"/>
      <c r="F413" s="5"/>
      <c r="G413" s="59"/>
      <c r="H413" s="62"/>
      <c r="I413" s="59"/>
      <c r="J413" s="601"/>
    </row>
    <row r="414" spans="2:13" x14ac:dyDescent="0.25">
      <c r="B414" s="3"/>
      <c r="C414" s="51"/>
      <c r="D414" s="52"/>
      <c r="E414" s="379"/>
      <c r="F414" s="5"/>
      <c r="G414" s="59"/>
      <c r="H414" s="62"/>
      <c r="I414" s="59"/>
      <c r="J414" s="601"/>
    </row>
    <row r="415" spans="2:13" x14ac:dyDescent="0.25">
      <c r="B415" s="3" t="s">
        <v>908</v>
      </c>
      <c r="C415" s="51"/>
      <c r="D415" s="52" t="s">
        <v>666</v>
      </c>
      <c r="E415" s="379"/>
      <c r="F415" s="5"/>
      <c r="G415" s="59">
        <v>447001</v>
      </c>
      <c r="H415" s="62"/>
      <c r="I415" s="59"/>
      <c r="J415" s="601">
        <v>264177.91999999998</v>
      </c>
    </row>
    <row r="416" spans="2:13" x14ac:dyDescent="0.25">
      <c r="B416" s="3" t="s">
        <v>909</v>
      </c>
      <c r="C416" s="51"/>
      <c r="D416" s="52" t="s">
        <v>666</v>
      </c>
      <c r="E416" s="379"/>
      <c r="F416" s="5"/>
      <c r="G416" s="59"/>
      <c r="H416" s="62"/>
      <c r="I416" s="59"/>
      <c r="J416" s="601">
        <f>SUM(G416-I416)</f>
        <v>0</v>
      </c>
      <c r="L416" s="6">
        <f>J415+J416</f>
        <v>264177.91999999998</v>
      </c>
      <c r="M416" s="1450">
        <f>L416*359/360</f>
        <v>263444.09244444442</v>
      </c>
    </row>
    <row r="417" spans="2:10" x14ac:dyDescent="0.25">
      <c r="B417" s="2"/>
      <c r="C417" s="45"/>
      <c r="D417" s="46"/>
      <c r="E417" s="49"/>
      <c r="F417" s="49"/>
      <c r="G417" s="49"/>
      <c r="H417" s="48"/>
      <c r="I417" s="47"/>
      <c r="J417" s="595"/>
    </row>
    <row r="418" spans="2:10" x14ac:dyDescent="0.25">
      <c r="B418" s="470" t="s">
        <v>596</v>
      </c>
      <c r="C418" s="471"/>
      <c r="D418" s="471"/>
      <c r="E418" s="473">
        <f>SUM(E383:E409)</f>
        <v>839738.63</v>
      </c>
      <c r="F418" s="473">
        <f>SUM(F383:F409)</f>
        <v>1196675.22</v>
      </c>
      <c r="G418" s="473">
        <f>SUM(G383:G409)</f>
        <v>1089299.3599999999</v>
      </c>
      <c r="H418" s="474"/>
      <c r="I418" s="474">
        <f>SUM(I383:I409)</f>
        <v>353420.82</v>
      </c>
      <c r="J418" s="472">
        <f>SUM(J383:J417)</f>
        <v>1084180.22</v>
      </c>
    </row>
    <row r="419" spans="2:10" x14ac:dyDescent="0.25">
      <c r="B419" s="1493"/>
      <c r="C419" s="1494"/>
      <c r="D419" s="1494"/>
      <c r="E419" s="1495"/>
      <c r="F419" s="1495"/>
      <c r="G419" s="1495"/>
      <c r="H419" s="1495"/>
      <c r="I419" s="1495"/>
      <c r="J419" s="1495"/>
    </row>
    <row r="420" spans="2:10" ht="10.5" customHeight="1" x14ac:dyDescent="0.25"/>
    <row r="421" spans="2:10" ht="10.5" customHeight="1" x14ac:dyDescent="0.25">
      <c r="B421" s="31"/>
      <c r="C421" s="31"/>
      <c r="D421" s="610"/>
      <c r="E421" s="31" t="s">
        <v>952</v>
      </c>
      <c r="F421" s="31" t="s">
        <v>953</v>
      </c>
      <c r="G421" s="31" t="s">
        <v>954</v>
      </c>
      <c r="H421" s="31"/>
      <c r="I421" s="31" t="s">
        <v>616</v>
      </c>
      <c r="J421" s="31" t="s">
        <v>955</v>
      </c>
    </row>
    <row r="422" spans="2:10" ht="10.5" customHeight="1" x14ac:dyDescent="0.25">
      <c r="B422" s="33" t="s">
        <v>691</v>
      </c>
      <c r="C422" s="33" t="s">
        <v>692</v>
      </c>
      <c r="D422" s="33" t="s">
        <v>693</v>
      </c>
      <c r="E422" s="33" t="s">
        <v>694</v>
      </c>
      <c r="F422" s="33" t="s">
        <v>695</v>
      </c>
      <c r="G422" s="33" t="s">
        <v>696</v>
      </c>
      <c r="H422" s="33" t="s">
        <v>160</v>
      </c>
      <c r="I422" s="33" t="s">
        <v>697</v>
      </c>
      <c r="J422" s="33" t="s">
        <v>698</v>
      </c>
    </row>
    <row r="423" spans="2:10" ht="10.5" customHeight="1" x14ac:dyDescent="0.25">
      <c r="B423" s="33"/>
      <c r="C423" s="33" t="s">
        <v>567</v>
      </c>
      <c r="D423" s="33"/>
      <c r="E423" s="33"/>
      <c r="F423" s="33"/>
      <c r="G423" s="33"/>
      <c r="H423" s="33"/>
      <c r="I423" s="33"/>
      <c r="J423" s="33"/>
    </row>
    <row r="424" spans="2:10" ht="10.5" customHeight="1" x14ac:dyDescent="0.25">
      <c r="B424" s="33" t="s">
        <v>850</v>
      </c>
      <c r="C424" s="33" t="s">
        <v>851</v>
      </c>
      <c r="D424" s="33" t="s">
        <v>720</v>
      </c>
      <c r="E424" s="33" t="s">
        <v>956</v>
      </c>
      <c r="F424" s="33" t="s">
        <v>957</v>
      </c>
      <c r="G424" s="33" t="s">
        <v>958</v>
      </c>
      <c r="H424" s="33"/>
      <c r="I424" s="33"/>
      <c r="J424" s="33" t="s">
        <v>959</v>
      </c>
    </row>
    <row r="425" spans="2:10" ht="10.5" customHeight="1" x14ac:dyDescent="0.25">
      <c r="B425" s="33" t="s">
        <v>821</v>
      </c>
      <c r="C425" s="33" t="s">
        <v>822</v>
      </c>
      <c r="D425" s="33" t="s">
        <v>823</v>
      </c>
      <c r="E425" s="33" t="s">
        <v>841</v>
      </c>
      <c r="F425" s="33" t="s">
        <v>842</v>
      </c>
      <c r="G425" s="33" t="s">
        <v>842</v>
      </c>
      <c r="H425" s="33" t="s">
        <v>843</v>
      </c>
      <c r="I425" s="33" t="s">
        <v>844</v>
      </c>
      <c r="J425" s="33" t="s">
        <v>784</v>
      </c>
    </row>
    <row r="426" spans="2:10" ht="10.5" customHeight="1" x14ac:dyDescent="0.25">
      <c r="B426" s="611" t="s">
        <v>785</v>
      </c>
      <c r="C426" s="1506" t="s">
        <v>786</v>
      </c>
      <c r="D426" s="611" t="s">
        <v>846</v>
      </c>
      <c r="E426" s="611" t="s">
        <v>842</v>
      </c>
      <c r="F426" s="611" t="s">
        <v>847</v>
      </c>
      <c r="G426" s="611" t="s">
        <v>847</v>
      </c>
      <c r="H426" s="611" t="s">
        <v>848</v>
      </c>
      <c r="I426" s="611" t="s">
        <v>816</v>
      </c>
      <c r="J426" s="611" t="s">
        <v>842</v>
      </c>
    </row>
    <row r="427" spans="2:10" ht="10.5" customHeight="1" x14ac:dyDescent="0.25">
      <c r="B427" s="424"/>
      <c r="C427" s="425"/>
      <c r="D427" s="425"/>
      <c r="E427" s="425"/>
      <c r="F427" s="425"/>
      <c r="G427" s="426" t="s">
        <v>1013</v>
      </c>
      <c r="H427" s="425"/>
      <c r="I427" s="425"/>
      <c r="J427" s="427"/>
    </row>
    <row r="428" spans="2:10" ht="10.5" customHeight="1" x14ac:dyDescent="0.25">
      <c r="B428" s="37">
        <v>31904</v>
      </c>
      <c r="C428" s="38">
        <v>32021</v>
      </c>
      <c r="D428" s="39" t="s">
        <v>757</v>
      </c>
      <c r="E428" s="40"/>
      <c r="F428" s="40"/>
      <c r="G428" s="40"/>
      <c r="H428" s="41" t="s">
        <v>758</v>
      </c>
      <c r="I428" s="41"/>
      <c r="J428" s="42"/>
    </row>
    <row r="429" spans="2:10" ht="10.5" customHeight="1" x14ac:dyDescent="0.25">
      <c r="B429" s="44" t="s">
        <v>529</v>
      </c>
      <c r="C429" s="45"/>
      <c r="D429" s="71"/>
      <c r="E429" s="49"/>
      <c r="F429" s="47"/>
      <c r="G429" s="47"/>
      <c r="H429" s="48"/>
      <c r="I429" s="48"/>
      <c r="J429" s="49"/>
    </row>
    <row r="430" spans="2:10" ht="10.5" customHeight="1" x14ac:dyDescent="0.25">
      <c r="B430" s="50">
        <v>35368</v>
      </c>
      <c r="C430" s="51"/>
      <c r="D430" s="22"/>
      <c r="E430" s="53"/>
      <c r="F430" s="54"/>
      <c r="G430" s="53"/>
      <c r="I430" s="54"/>
      <c r="J430" s="53"/>
    </row>
    <row r="431" spans="2:10" ht="10.5" customHeight="1" x14ac:dyDescent="0.25">
      <c r="B431" s="50" t="s">
        <v>617</v>
      </c>
      <c r="C431" s="51">
        <v>36951</v>
      </c>
      <c r="D431" s="22" t="s">
        <v>757</v>
      </c>
      <c r="E431" s="56">
        <f>J389</f>
        <v>0</v>
      </c>
      <c r="F431" s="59">
        <f>'LONG-TERM DEBT'!AB$57+'LONG-TERM DEBT'!AB$97</f>
        <v>0</v>
      </c>
      <c r="G431" s="59">
        <f>'LONG-TERM DEBT'!AC$57+'LONG-TERM DEBT'!AC$97</f>
        <v>0</v>
      </c>
      <c r="H431" s="62" t="s">
        <v>658</v>
      </c>
      <c r="I431" s="62"/>
      <c r="J431" s="379">
        <f>G431-(I431+I432)</f>
        <v>0</v>
      </c>
    </row>
    <row r="432" spans="2:10" ht="10.5" customHeight="1" x14ac:dyDescent="0.25">
      <c r="B432" s="37" t="s">
        <v>618</v>
      </c>
      <c r="C432" s="51">
        <v>40558</v>
      </c>
      <c r="D432" s="22" t="s">
        <v>757</v>
      </c>
      <c r="E432" s="56"/>
      <c r="F432" s="59"/>
      <c r="G432" s="59"/>
      <c r="H432" s="1" t="s">
        <v>619</v>
      </c>
      <c r="I432" s="59"/>
      <c r="J432" s="544"/>
    </row>
    <row r="433" spans="2:15" ht="10.5" customHeight="1" x14ac:dyDescent="0.25">
      <c r="B433" s="612" t="s">
        <v>882</v>
      </c>
      <c r="C433" s="45"/>
      <c r="D433" s="71"/>
      <c r="E433" s="49"/>
      <c r="F433" s="47"/>
      <c r="G433" s="47"/>
      <c r="H433" s="28"/>
      <c r="I433" s="47"/>
      <c r="J433" s="543"/>
    </row>
    <row r="434" spans="2:15" ht="10.5" customHeight="1" x14ac:dyDescent="0.25">
      <c r="B434" s="37">
        <v>35558</v>
      </c>
      <c r="C434" s="51">
        <v>35993</v>
      </c>
      <c r="D434" s="697" t="s">
        <v>666</v>
      </c>
      <c r="E434" s="56"/>
      <c r="F434" s="59"/>
      <c r="G434" s="57"/>
      <c r="H434" s="60" t="s">
        <v>667</v>
      </c>
      <c r="I434" s="59"/>
      <c r="J434" s="56"/>
    </row>
    <row r="435" spans="2:15" ht="10.5" customHeight="1" x14ac:dyDescent="0.25">
      <c r="B435" s="37" t="s">
        <v>739</v>
      </c>
      <c r="C435" s="51"/>
      <c r="D435" s="22" t="s">
        <v>757</v>
      </c>
      <c r="E435" s="56">
        <f>J393</f>
        <v>32803.370000000003</v>
      </c>
      <c r="F435" s="62">
        <v>635466.47</v>
      </c>
      <c r="G435" s="60">
        <f>BUDGET!AI437</f>
        <v>285306</v>
      </c>
      <c r="H435" s="60"/>
      <c r="I435" s="593"/>
      <c r="J435" s="594">
        <f>BUDGET!AI437</f>
        <v>285306</v>
      </c>
      <c r="O435" s="6">
        <f>G435-J435</f>
        <v>0</v>
      </c>
    </row>
    <row r="436" spans="2:15" ht="10.5" customHeight="1" x14ac:dyDescent="0.25">
      <c r="B436" s="44"/>
      <c r="C436" s="45"/>
      <c r="D436" s="71" t="s">
        <v>666</v>
      </c>
      <c r="E436" s="49"/>
      <c r="F436" s="2"/>
      <c r="G436" s="59"/>
      <c r="H436" s="60"/>
      <c r="I436" s="59"/>
      <c r="J436" s="56"/>
      <c r="O436" s="6">
        <f t="shared" ref="O436:O460" si="8">G436-J436</f>
        <v>0</v>
      </c>
    </row>
    <row r="437" spans="2:15" ht="10.5" customHeight="1" x14ac:dyDescent="0.25">
      <c r="B437" s="37">
        <v>35558</v>
      </c>
      <c r="C437" s="51">
        <v>35972</v>
      </c>
      <c r="D437" s="22"/>
      <c r="E437" s="56"/>
      <c r="F437" s="40"/>
      <c r="G437" s="42"/>
      <c r="H437" s="58"/>
      <c r="I437" s="40"/>
      <c r="J437" s="40"/>
      <c r="O437" s="6">
        <f t="shared" si="8"/>
        <v>0</v>
      </c>
    </row>
    <row r="438" spans="2:15" ht="10.5" customHeight="1" x14ac:dyDescent="0.25">
      <c r="B438" s="44" t="s">
        <v>611</v>
      </c>
      <c r="C438" s="45">
        <v>37330</v>
      </c>
      <c r="D438" s="22" t="s">
        <v>757</v>
      </c>
      <c r="E438" s="56">
        <f>J396</f>
        <v>0</v>
      </c>
      <c r="F438" s="47">
        <f>'LONG-TERM DEBT'!AB$63+'LONG-TERM DEBT'!AB$103</f>
        <v>32900</v>
      </c>
      <c r="G438" s="49">
        <f>'LONG-TERM DEBT'!AC$63+'LONG-TERM DEBT'!AC$103</f>
        <v>31700</v>
      </c>
      <c r="H438" s="63" t="s">
        <v>758</v>
      </c>
      <c r="I438" s="47">
        <v>96.63</v>
      </c>
      <c r="J438" s="597">
        <f>G438-I438</f>
        <v>31603.37</v>
      </c>
      <c r="O438" s="6">
        <f t="shared" si="8"/>
        <v>96.630000000001019</v>
      </c>
    </row>
    <row r="439" spans="2:15" ht="10.5" customHeight="1" x14ac:dyDescent="0.25">
      <c r="B439" s="37" t="s">
        <v>438</v>
      </c>
      <c r="C439" s="64"/>
      <c r="D439" s="698"/>
      <c r="E439" s="53"/>
      <c r="F439" s="3"/>
      <c r="G439" s="3"/>
      <c r="I439" s="3"/>
      <c r="J439" s="3"/>
      <c r="O439" s="6">
        <f t="shared" si="8"/>
        <v>0</v>
      </c>
    </row>
    <row r="440" spans="2:15" ht="10.5" customHeight="1" x14ac:dyDescent="0.25">
      <c r="B440" s="44" t="s">
        <v>370</v>
      </c>
      <c r="C440" s="66">
        <v>37330</v>
      </c>
      <c r="D440" s="477" t="s">
        <v>757</v>
      </c>
      <c r="E440" s="56">
        <f>J398</f>
        <v>0</v>
      </c>
      <c r="F440" s="47">
        <f>'LONG-TERM DEBT'!AB$65+'LONG-TERM DEBT'!AB$105</f>
        <v>176400</v>
      </c>
      <c r="G440" s="47">
        <f>'LONG-TERM DEBT'!AC$65+'LONG-TERM DEBT'!AC$105</f>
        <v>180000</v>
      </c>
      <c r="H440" s="48" t="s">
        <v>758</v>
      </c>
      <c r="I440" s="47">
        <v>226.37</v>
      </c>
      <c r="J440" s="597">
        <f>G440-I440</f>
        <v>179773.63</v>
      </c>
      <c r="O440" s="6">
        <f t="shared" si="8"/>
        <v>226.36999999999534</v>
      </c>
    </row>
    <row r="441" spans="2:15" ht="10.5" customHeight="1" x14ac:dyDescent="0.25">
      <c r="B441" s="398">
        <v>37012</v>
      </c>
      <c r="C441" s="399"/>
      <c r="D441" s="698"/>
      <c r="E441" s="42"/>
      <c r="F441" s="40"/>
      <c r="G441" s="40"/>
      <c r="H441" s="41"/>
      <c r="I441" s="40"/>
      <c r="J441" s="42"/>
      <c r="O441" s="6">
        <f t="shared" si="8"/>
        <v>0</v>
      </c>
    </row>
    <row r="442" spans="2:15" ht="10.5" customHeight="1" x14ac:dyDescent="0.25">
      <c r="B442" s="44" t="s">
        <v>557</v>
      </c>
      <c r="C442" s="400">
        <v>37330</v>
      </c>
      <c r="D442" s="477" t="s">
        <v>757</v>
      </c>
      <c r="E442" s="49">
        <f>J397</f>
        <v>10167</v>
      </c>
      <c r="F442" s="47">
        <f>'LONG-TERM DEBT'!AB$66+'LONG-TERM DEBT'!AB$106</f>
        <v>10400</v>
      </c>
      <c r="G442" s="47">
        <f>'LONG-TERM DEBT'!AC$66+'LONG-TERM DEBT'!AC$106</f>
        <v>0</v>
      </c>
      <c r="H442" s="48"/>
      <c r="I442" s="47"/>
      <c r="J442" s="597">
        <f>G442-I442</f>
        <v>0</v>
      </c>
      <c r="K442" s="1" t="s">
        <v>946</v>
      </c>
      <c r="O442" s="6">
        <f t="shared" si="8"/>
        <v>0</v>
      </c>
    </row>
    <row r="443" spans="2:15" ht="10.5" customHeight="1" x14ac:dyDescent="0.25">
      <c r="B443" s="37">
        <v>35922</v>
      </c>
      <c r="C443" s="51"/>
      <c r="D443" s="22"/>
      <c r="E443" s="56"/>
      <c r="F443" s="59"/>
      <c r="G443" s="59"/>
      <c r="H443" s="62"/>
      <c r="I443" s="59"/>
      <c r="J443" s="56"/>
      <c r="O443" s="6">
        <f t="shared" si="8"/>
        <v>0</v>
      </c>
    </row>
    <row r="444" spans="2:15" ht="10.5" customHeight="1" x14ac:dyDescent="0.25">
      <c r="B444" s="37" t="s">
        <v>591</v>
      </c>
      <c r="C444" s="51">
        <v>36951</v>
      </c>
      <c r="D444" s="22" t="s">
        <v>757</v>
      </c>
      <c r="E444" s="56">
        <f>J399</f>
        <v>87330.26</v>
      </c>
      <c r="F444" s="59">
        <f>'LONG-TERM DEBT'!AB$58+'LONG-TERM DEBT'!AB$98</f>
        <v>87510</v>
      </c>
      <c r="G444" s="59">
        <f>'LONG-TERM DEBT'!AC$58+'LONG-TERM DEBT'!AC$98</f>
        <v>90110</v>
      </c>
      <c r="H444" s="62" t="s">
        <v>607</v>
      </c>
      <c r="I444" s="59">
        <v>179.94</v>
      </c>
      <c r="J444" s="379">
        <f>G444-(I444+I445)</f>
        <v>89930.06</v>
      </c>
      <c r="O444" s="6">
        <f t="shared" si="8"/>
        <v>179.94000000000233</v>
      </c>
    </row>
    <row r="445" spans="2:15" ht="10.5" customHeight="1" x14ac:dyDescent="0.25">
      <c r="B445" s="44" t="s">
        <v>618</v>
      </c>
      <c r="C445" s="45">
        <v>40558</v>
      </c>
      <c r="D445" s="71" t="s">
        <v>757</v>
      </c>
      <c r="E445" s="56"/>
      <c r="F445" s="59"/>
      <c r="G445" s="59"/>
      <c r="H445" s="62" t="s">
        <v>620</v>
      </c>
      <c r="I445" s="59"/>
      <c r="J445" s="554"/>
      <c r="O445" s="6">
        <f t="shared" si="8"/>
        <v>0</v>
      </c>
    </row>
    <row r="446" spans="2:15" ht="10.5" customHeight="1" x14ac:dyDescent="0.25">
      <c r="B446" s="69">
        <v>36426</v>
      </c>
      <c r="C446" s="38">
        <v>36651</v>
      </c>
      <c r="D446" s="70"/>
      <c r="E446" s="42"/>
      <c r="F446" s="40"/>
      <c r="G446" s="40"/>
      <c r="H446" s="41"/>
      <c r="I446" s="40"/>
      <c r="J446" s="40"/>
      <c r="O446" s="6">
        <f t="shared" si="8"/>
        <v>0</v>
      </c>
    </row>
    <row r="447" spans="2:15" ht="10.5" customHeight="1" x14ac:dyDescent="0.25">
      <c r="B447" s="52" t="s">
        <v>593</v>
      </c>
      <c r="C447" s="51">
        <v>36951</v>
      </c>
      <c r="D447" s="22" t="s">
        <v>757</v>
      </c>
      <c r="E447" s="56">
        <f>J402</f>
        <v>95949.48</v>
      </c>
      <c r="F447" s="59">
        <f>'LONG-TERM DEBT'!AB$56+'LONG-TERM DEBT'!AB$96+9000+1931.25</f>
        <v>106331.25</v>
      </c>
      <c r="G447" s="59">
        <f>'LONG-TERM DEBT'!AC$56+'LONG-TERM DEBT'!AC$96</f>
        <v>92700</v>
      </c>
      <c r="H447" s="62" t="s">
        <v>201</v>
      </c>
      <c r="I447" s="59">
        <v>150.52000000000001</v>
      </c>
      <c r="J447" s="379">
        <f>G447-(I447+I448)</f>
        <v>92549.48</v>
      </c>
      <c r="O447" s="6">
        <f t="shared" si="8"/>
        <v>150.52000000000407</v>
      </c>
    </row>
    <row r="448" spans="2:15" ht="10.5" customHeight="1" x14ac:dyDescent="0.25">
      <c r="B448" s="46" t="s">
        <v>618</v>
      </c>
      <c r="C448" s="45">
        <v>40558</v>
      </c>
      <c r="D448" s="71" t="s">
        <v>757</v>
      </c>
      <c r="E448" s="49"/>
      <c r="F448" s="47"/>
      <c r="G448" s="47"/>
      <c r="H448" s="48" t="s">
        <v>620</v>
      </c>
      <c r="I448" s="47"/>
      <c r="J448" s="545"/>
      <c r="O448" s="6">
        <f t="shared" si="8"/>
        <v>0</v>
      </c>
    </row>
    <row r="449" spans="2:15" ht="10.5" customHeight="1" x14ac:dyDescent="0.25">
      <c r="B449" s="50">
        <v>36650</v>
      </c>
      <c r="C449" s="51">
        <v>36791</v>
      </c>
      <c r="D449" s="22"/>
      <c r="E449" s="56"/>
      <c r="F449" s="59"/>
      <c r="G449" s="59"/>
      <c r="H449" s="62"/>
      <c r="I449" s="59"/>
      <c r="J449" s="59"/>
      <c r="O449" s="6">
        <f t="shared" si="8"/>
        <v>0</v>
      </c>
    </row>
    <row r="450" spans="2:15" ht="10.5" customHeight="1" x14ac:dyDescent="0.25">
      <c r="B450" s="3" t="s">
        <v>464</v>
      </c>
      <c r="C450" s="51">
        <v>36951</v>
      </c>
      <c r="D450" s="22" t="s">
        <v>757</v>
      </c>
      <c r="E450" s="56">
        <f>J405</f>
        <v>0</v>
      </c>
      <c r="F450" s="3"/>
      <c r="G450" s="5"/>
      <c r="H450" s="36"/>
      <c r="I450" s="3"/>
      <c r="J450" s="5"/>
      <c r="O450" s="6">
        <f t="shared" si="8"/>
        <v>0</v>
      </c>
    </row>
    <row r="451" spans="2:15" ht="10.5" customHeight="1" x14ac:dyDescent="0.25">
      <c r="B451" s="2" t="s">
        <v>618</v>
      </c>
      <c r="C451" s="45">
        <v>40558</v>
      </c>
      <c r="D451" s="71" t="s">
        <v>757</v>
      </c>
      <c r="E451" s="56">
        <f>J406</f>
        <v>0</v>
      </c>
      <c r="F451" s="47"/>
      <c r="G451" s="47"/>
      <c r="H451" s="48" t="s">
        <v>620</v>
      </c>
      <c r="I451" s="47"/>
      <c r="J451" s="545"/>
      <c r="O451" s="6">
        <f t="shared" si="8"/>
        <v>0</v>
      </c>
    </row>
    <row r="452" spans="2:15" ht="10.5" customHeight="1" x14ac:dyDescent="0.25">
      <c r="B452" s="50">
        <v>39205</v>
      </c>
      <c r="C452" s="51">
        <v>39835</v>
      </c>
      <c r="D452" s="22" t="s">
        <v>666</v>
      </c>
      <c r="E452" s="56"/>
      <c r="F452" s="59"/>
      <c r="G452" s="59"/>
      <c r="H452" s="62"/>
      <c r="I452" s="59"/>
      <c r="J452" s="554"/>
      <c r="O452" s="6">
        <f t="shared" si="8"/>
        <v>0</v>
      </c>
    </row>
    <row r="453" spans="2:15" ht="10.5" customHeight="1" x14ac:dyDescent="0.25">
      <c r="B453" s="3" t="s">
        <v>60</v>
      </c>
      <c r="C453" s="51">
        <v>40564</v>
      </c>
      <c r="D453" s="22" t="s">
        <v>757</v>
      </c>
      <c r="E453" s="379"/>
      <c r="F453" s="3"/>
      <c r="G453" s="59"/>
      <c r="H453" s="62"/>
      <c r="I453" s="59"/>
      <c r="J453" s="5"/>
      <c r="O453" s="6">
        <f t="shared" si="8"/>
        <v>0</v>
      </c>
    </row>
    <row r="454" spans="2:15" ht="10.5" customHeight="1" x14ac:dyDescent="0.25">
      <c r="B454" s="2" t="s">
        <v>618</v>
      </c>
      <c r="C454" s="45">
        <v>40558</v>
      </c>
      <c r="D454" s="71" t="s">
        <v>757</v>
      </c>
      <c r="E454" s="49">
        <f>J412</f>
        <v>0</v>
      </c>
      <c r="F454" s="47">
        <f>'LONG-TERM DEBT'!AA$61+'LONG-TERM DEBT'!AA$101</f>
        <v>44680</v>
      </c>
      <c r="G454" s="49">
        <f>'LONG-TERM DEBT'!AC$61+'LONG-TERM DEBT'!AC$101</f>
        <v>42480</v>
      </c>
      <c r="H454" s="48" t="s">
        <v>620</v>
      </c>
      <c r="I454" s="47">
        <v>572.74</v>
      </c>
      <c r="J454" s="595">
        <f>SUM(G454-I454)</f>
        <v>41907.26</v>
      </c>
      <c r="O454" s="6">
        <f t="shared" si="8"/>
        <v>572.73999999999796</v>
      </c>
    </row>
    <row r="455" spans="2:15" ht="10.5" customHeight="1" x14ac:dyDescent="0.25">
      <c r="B455" s="50" t="s">
        <v>914</v>
      </c>
      <c r="C455" s="51"/>
      <c r="D455" s="52"/>
      <c r="E455" s="56"/>
      <c r="F455" s="59"/>
      <c r="G455" s="59"/>
      <c r="H455" s="62"/>
      <c r="I455" s="40"/>
      <c r="J455" s="554"/>
      <c r="O455" s="6">
        <f t="shared" si="8"/>
        <v>0</v>
      </c>
    </row>
    <row r="456" spans="2:15" x14ac:dyDescent="0.25">
      <c r="B456" s="3" t="s">
        <v>906</v>
      </c>
      <c r="C456" s="51">
        <v>43019</v>
      </c>
      <c r="D456" s="52" t="s">
        <v>757</v>
      </c>
      <c r="E456" s="379"/>
      <c r="F456" s="5"/>
      <c r="G456" s="59">
        <f>SUM('LONG-TERM DEBT'!AC$78) + SUM('LONG-TERM DEBT'!AC$117)</f>
        <v>85968.760000000009</v>
      </c>
      <c r="H456" s="62"/>
      <c r="I456" s="59"/>
      <c r="J456" s="601">
        <f>SUM(G456-I456)</f>
        <v>85968.760000000009</v>
      </c>
      <c r="O456" s="6">
        <f t="shared" si="8"/>
        <v>0</v>
      </c>
    </row>
    <row r="457" spans="2:15" x14ac:dyDescent="0.25">
      <c r="B457" s="2"/>
      <c r="C457" s="45"/>
      <c r="D457" s="46"/>
      <c r="E457" s="699"/>
      <c r="F457" s="592"/>
      <c r="G457" s="47"/>
      <c r="H457" s="48"/>
      <c r="I457" s="47"/>
      <c r="J457" s="595"/>
      <c r="K457" s="1" t="s">
        <v>160</v>
      </c>
      <c r="O457" s="6">
        <f t="shared" si="8"/>
        <v>0</v>
      </c>
    </row>
    <row r="458" spans="2:15" x14ac:dyDescent="0.25">
      <c r="B458" s="3" t="s">
        <v>993</v>
      </c>
      <c r="C458" s="51"/>
      <c r="D458" s="52"/>
      <c r="E458" s="379"/>
      <c r="F458" s="5"/>
      <c r="G458" s="59"/>
      <c r="H458" s="62"/>
      <c r="I458" s="59"/>
      <c r="J458" s="601"/>
      <c r="O458" s="6">
        <f t="shared" si="8"/>
        <v>0</v>
      </c>
    </row>
    <row r="459" spans="2:15" x14ac:dyDescent="0.25">
      <c r="B459" s="1507" t="s">
        <v>908</v>
      </c>
      <c r="C459" s="51"/>
      <c r="D459" s="52" t="s">
        <v>666</v>
      </c>
      <c r="E459" s="379"/>
      <c r="F459" s="5"/>
      <c r="G459" s="59">
        <f>'LONG-TERM DEBT'!AC$80+'LONG-TERM DEBT'!AC$120</f>
        <v>355437.5</v>
      </c>
      <c r="H459" s="62"/>
      <c r="I459" s="59"/>
      <c r="J459" s="601">
        <f>SUM(G459-I459)</f>
        <v>355437.5</v>
      </c>
      <c r="L459" s="1511">
        <v>484741.25686089194</v>
      </c>
      <c r="O459" s="6">
        <f t="shared" si="8"/>
        <v>0</v>
      </c>
    </row>
    <row r="460" spans="2:15" x14ac:dyDescent="0.25">
      <c r="B460" s="1507" t="s">
        <v>909</v>
      </c>
      <c r="C460" s="51"/>
      <c r="D460" s="52" t="s">
        <v>666</v>
      </c>
      <c r="E460" s="379"/>
      <c r="F460" s="5"/>
      <c r="G460" s="59">
        <f>'LONG-TERM DEBT'!AC$81+'LONG-TERM DEBT'!AC$121</f>
        <v>187075</v>
      </c>
      <c r="H460" s="62"/>
      <c r="I460" s="59"/>
      <c r="J460" s="601">
        <f>SUM(G460-I460)</f>
        <v>187075</v>
      </c>
      <c r="L460" s="1511">
        <v>269530.99079817405</v>
      </c>
      <c r="O460" s="6">
        <f t="shared" si="8"/>
        <v>0</v>
      </c>
    </row>
    <row r="461" spans="2:15" x14ac:dyDescent="0.25">
      <c r="B461" s="1507"/>
      <c r="C461" s="51"/>
      <c r="D461" s="52"/>
      <c r="E461" s="379"/>
      <c r="F461" s="5"/>
      <c r="G461" s="59"/>
      <c r="H461" s="62"/>
      <c r="I461" s="59"/>
      <c r="J461" s="601"/>
      <c r="O461" s="6"/>
    </row>
    <row r="462" spans="2:15" x14ac:dyDescent="0.25">
      <c r="B462" s="1508" t="s">
        <v>1014</v>
      </c>
      <c r="C462" s="38"/>
      <c r="D462" s="39"/>
      <c r="E462" s="1509"/>
      <c r="F462" s="53"/>
      <c r="G462" s="40"/>
      <c r="H462" s="41"/>
      <c r="I462" s="40"/>
      <c r="J462" s="1510"/>
      <c r="O462" s="6"/>
    </row>
    <row r="463" spans="2:15" x14ac:dyDescent="0.25">
      <c r="B463" s="1507" t="s">
        <v>908</v>
      </c>
      <c r="C463" s="51"/>
      <c r="D463" s="52"/>
      <c r="E463" s="379"/>
      <c r="F463" s="5"/>
      <c r="G463" s="59">
        <f>'LONG-TERM DEBT'!AC124</f>
        <v>33238.35</v>
      </c>
      <c r="H463" s="62"/>
      <c r="I463" s="59"/>
      <c r="J463" s="601">
        <f>G463-I463</f>
        <v>33238.35</v>
      </c>
      <c r="O463" s="6"/>
    </row>
    <row r="464" spans="2:15" x14ac:dyDescent="0.25">
      <c r="B464" s="1507" t="s">
        <v>909</v>
      </c>
      <c r="C464" s="51"/>
      <c r="D464" s="52"/>
      <c r="E464" s="379"/>
      <c r="F464" s="5"/>
      <c r="G464" s="59">
        <f>'LONG-TERM DEBT'!AC125</f>
        <v>26698.13</v>
      </c>
      <c r="H464" s="62"/>
      <c r="I464" s="59"/>
      <c r="J464" s="601">
        <f>G464-I464</f>
        <v>26698.13</v>
      </c>
      <c r="O464" s="6"/>
    </row>
    <row r="465" spans="2:15" x14ac:dyDescent="0.25">
      <c r="B465" s="1508" t="s">
        <v>963</v>
      </c>
      <c r="C465" s="38"/>
      <c r="D465" s="39"/>
      <c r="E465" s="1509"/>
      <c r="F465" s="53"/>
      <c r="G465" s="40"/>
      <c r="H465" s="41"/>
      <c r="I465" s="40"/>
      <c r="J465" s="1510"/>
      <c r="O465" s="6"/>
    </row>
    <row r="466" spans="2:15" x14ac:dyDescent="0.25">
      <c r="B466" s="1507" t="s">
        <v>961</v>
      </c>
      <c r="C466" s="51"/>
      <c r="D466" s="52"/>
      <c r="E466" s="379"/>
      <c r="F466" s="5"/>
      <c r="G466" s="59">
        <f>('LONG-TERM DEBT'!AC$84+'LONG-TERM DEBT'!AC$124)*0</f>
        <v>0</v>
      </c>
      <c r="H466" s="62"/>
      <c r="I466" s="59"/>
      <c r="J466" s="601"/>
      <c r="L466" s="1">
        <v>23590</v>
      </c>
      <c r="O466" s="6"/>
    </row>
    <row r="467" spans="2:15" x14ac:dyDescent="0.25">
      <c r="B467" s="1507" t="s">
        <v>962</v>
      </c>
      <c r="C467" s="51"/>
      <c r="D467" s="52"/>
      <c r="E467" s="379"/>
      <c r="F467" s="5"/>
      <c r="G467" s="59">
        <f>('LONG-TERM DEBT'!AC$85+'LONG-TERM DEBT'!AC$125)*0</f>
        <v>0</v>
      </c>
      <c r="H467" s="62"/>
      <c r="I467" s="59"/>
      <c r="J467" s="601">
        <f>BUDGET!AJ380</f>
        <v>53613</v>
      </c>
      <c r="L467" s="1">
        <v>52590.63</v>
      </c>
      <c r="O467" s="6"/>
    </row>
    <row r="468" spans="2:15" x14ac:dyDescent="0.25">
      <c r="B468" s="1507"/>
      <c r="C468" s="51"/>
      <c r="D468" s="52"/>
      <c r="E468" s="379"/>
      <c r="F468" s="5"/>
      <c r="G468" s="59"/>
      <c r="H468" s="62"/>
      <c r="I468" s="59"/>
      <c r="J468" s="601"/>
      <c r="O468" s="6"/>
    </row>
    <row r="469" spans="2:15" x14ac:dyDescent="0.25">
      <c r="B469" s="2"/>
      <c r="C469" s="45"/>
      <c r="D469" s="46"/>
      <c r="E469" s="49"/>
      <c r="F469" s="49"/>
      <c r="G469" s="49"/>
      <c r="H469" s="48"/>
      <c r="I469" s="47"/>
      <c r="J469" s="595"/>
      <c r="M469" s="6">
        <f>'LEVY LIMIT'!AM20-'DE 1'!J470</f>
        <v>-1463100.54</v>
      </c>
    </row>
    <row r="470" spans="2:15" x14ac:dyDescent="0.25">
      <c r="B470" s="470" t="s">
        <v>596</v>
      </c>
      <c r="C470" s="471"/>
      <c r="D470" s="471"/>
      <c r="E470" s="473">
        <f>SUM(E428:E454)</f>
        <v>226250.11</v>
      </c>
      <c r="F470" s="473">
        <f>SUM(F428:F454)</f>
        <v>1093687.72</v>
      </c>
      <c r="G470" s="473">
        <f>SUM(G434:G469)</f>
        <v>1410713.74</v>
      </c>
      <c r="H470" s="474"/>
      <c r="I470" s="474">
        <f>SUM(I428:I454)</f>
        <v>1226.2</v>
      </c>
      <c r="J470" s="472">
        <f>SUM(J435:J469)</f>
        <v>1463100.54</v>
      </c>
      <c r="K470" s="6">
        <f>J470-J435</f>
        <v>1177794.54</v>
      </c>
      <c r="M470" s="6"/>
    </row>
    <row r="471" spans="2:15" x14ac:dyDescent="0.25">
      <c r="G471" s="6"/>
    </row>
    <row r="472" spans="2:15" x14ac:dyDescent="0.25">
      <c r="G472" s="6"/>
    </row>
    <row r="473" spans="2:15" x14ac:dyDescent="0.25">
      <c r="B473" s="31"/>
      <c r="C473" s="31"/>
      <c r="D473" s="610"/>
      <c r="E473" s="31" t="s">
        <v>1009</v>
      </c>
      <c r="F473" s="31" t="s">
        <v>953</v>
      </c>
      <c r="G473" s="31" t="s">
        <v>1010</v>
      </c>
      <c r="H473" s="31"/>
      <c r="I473" s="31" t="s">
        <v>616</v>
      </c>
      <c r="J473" s="31" t="s">
        <v>1011</v>
      </c>
    </row>
    <row r="474" spans="2:15" x14ac:dyDescent="0.25">
      <c r="B474" s="33" t="s">
        <v>691</v>
      </c>
      <c r="C474" s="33" t="s">
        <v>692</v>
      </c>
      <c r="D474" s="33" t="s">
        <v>693</v>
      </c>
      <c r="E474" s="33" t="s">
        <v>694</v>
      </c>
      <c r="F474" s="33" t="s">
        <v>695</v>
      </c>
      <c r="G474" s="33" t="s">
        <v>696</v>
      </c>
      <c r="H474" s="33" t="s">
        <v>160</v>
      </c>
      <c r="I474" s="33" t="s">
        <v>697</v>
      </c>
      <c r="J474" s="33" t="s">
        <v>698</v>
      </c>
    </row>
    <row r="475" spans="2:15" x14ac:dyDescent="0.25">
      <c r="B475" s="33"/>
      <c r="C475" s="33" t="s">
        <v>567</v>
      </c>
      <c r="D475" s="33"/>
      <c r="E475" s="33"/>
      <c r="F475" s="33"/>
      <c r="G475" s="33"/>
      <c r="H475" s="33"/>
      <c r="I475" s="33"/>
      <c r="J475" s="33"/>
    </row>
    <row r="476" spans="2:15" x14ac:dyDescent="0.25">
      <c r="B476" s="33" t="s">
        <v>850</v>
      </c>
      <c r="C476" s="33" t="s">
        <v>851</v>
      </c>
      <c r="D476" s="33" t="s">
        <v>720</v>
      </c>
      <c r="E476" s="33" t="s">
        <v>959</v>
      </c>
      <c r="F476" s="33" t="s">
        <v>1006</v>
      </c>
      <c r="G476" s="33" t="s">
        <v>1007</v>
      </c>
      <c r="H476" s="33"/>
      <c r="I476" s="33"/>
      <c r="J476" s="33" t="s">
        <v>1008</v>
      </c>
    </row>
    <row r="477" spans="2:15" x14ac:dyDescent="0.25">
      <c r="B477" s="33" t="s">
        <v>821</v>
      </c>
      <c r="C477" s="33" t="s">
        <v>822</v>
      </c>
      <c r="D477" s="33" t="s">
        <v>823</v>
      </c>
      <c r="E477" s="33" t="s">
        <v>841</v>
      </c>
      <c r="F477" s="33" t="s">
        <v>842</v>
      </c>
      <c r="G477" s="33" t="s">
        <v>842</v>
      </c>
      <c r="H477" s="33" t="s">
        <v>843</v>
      </c>
      <c r="I477" s="33" t="s">
        <v>844</v>
      </c>
      <c r="J477" s="33" t="s">
        <v>784</v>
      </c>
    </row>
    <row r="478" spans="2:15" x14ac:dyDescent="0.25">
      <c r="B478" s="611" t="s">
        <v>785</v>
      </c>
      <c r="C478" s="1506" t="s">
        <v>786</v>
      </c>
      <c r="D478" s="611" t="s">
        <v>846</v>
      </c>
      <c r="E478" s="611" t="s">
        <v>842</v>
      </c>
      <c r="F478" s="611" t="s">
        <v>847</v>
      </c>
      <c r="G478" s="611" t="s">
        <v>847</v>
      </c>
      <c r="H478" s="611" t="s">
        <v>848</v>
      </c>
      <c r="I478" s="611" t="s">
        <v>816</v>
      </c>
      <c r="J478" s="611" t="s">
        <v>842</v>
      </c>
    </row>
    <row r="479" spans="2:15" x14ac:dyDescent="0.25">
      <c r="B479" s="424"/>
      <c r="C479" s="425"/>
      <c r="D479" s="425"/>
      <c r="E479" s="425"/>
      <c r="F479" s="425"/>
      <c r="G479" s="426" t="s">
        <v>1012</v>
      </c>
      <c r="H479" s="425"/>
      <c r="I479" s="425"/>
      <c r="J479" s="427"/>
    </row>
    <row r="480" spans="2:15" x14ac:dyDescent="0.25">
      <c r="B480" s="37">
        <v>35558</v>
      </c>
      <c r="C480" s="51">
        <v>35993</v>
      </c>
      <c r="D480" s="697" t="s">
        <v>666</v>
      </c>
      <c r="E480" s="56"/>
      <c r="F480" s="59"/>
      <c r="G480" s="57"/>
      <c r="H480" s="60" t="s">
        <v>667</v>
      </c>
      <c r="I480" s="59"/>
      <c r="J480" s="56"/>
      <c r="N480" s="6"/>
    </row>
    <row r="481" spans="2:10" x14ac:dyDescent="0.25">
      <c r="B481" s="37" t="s">
        <v>739</v>
      </c>
      <c r="C481" s="51"/>
      <c r="D481" s="22" t="s">
        <v>757</v>
      </c>
      <c r="E481" s="56">
        <f>J442</f>
        <v>0</v>
      </c>
      <c r="F481" s="62">
        <v>635466.47</v>
      </c>
      <c r="G481" s="60">
        <f>'LONG-TERM DEBT'!AD$172</f>
        <v>85324.45199999999</v>
      </c>
      <c r="H481" s="60"/>
      <c r="I481" s="593">
        <v>0</v>
      </c>
      <c r="J481" s="594">
        <f>G481-I481</f>
        <v>85324.45199999999</v>
      </c>
    </row>
    <row r="482" spans="2:10" x14ac:dyDescent="0.25">
      <c r="B482" s="44"/>
      <c r="C482" s="45"/>
      <c r="D482" s="71" t="s">
        <v>666</v>
      </c>
      <c r="E482" s="49"/>
      <c r="F482" s="2"/>
      <c r="G482" s="59"/>
      <c r="H482" s="60"/>
      <c r="I482" s="59"/>
      <c r="J482" s="56"/>
    </row>
    <row r="483" spans="2:10" x14ac:dyDescent="0.25">
      <c r="B483" s="37">
        <v>35558</v>
      </c>
      <c r="C483" s="51">
        <v>35972</v>
      </c>
      <c r="D483" s="22"/>
      <c r="E483" s="56"/>
      <c r="F483" s="40"/>
      <c r="G483" s="42"/>
      <c r="H483" s="58"/>
      <c r="I483" s="40"/>
      <c r="J483" s="40"/>
    </row>
    <row r="484" spans="2:10" x14ac:dyDescent="0.25">
      <c r="B484" s="44" t="s">
        <v>611</v>
      </c>
      <c r="C484" s="45">
        <v>37330</v>
      </c>
      <c r="D484" s="22" t="s">
        <v>757</v>
      </c>
      <c r="E484" s="56">
        <f>J445</f>
        <v>0</v>
      </c>
      <c r="F484" s="47">
        <f>'LONG-TERM DEBT'!AB$63+'LONG-TERM DEBT'!AB$103</f>
        <v>32900</v>
      </c>
      <c r="G484" s="49">
        <f>'LONG-TERM DEBT'!AD$63+'LONG-TERM DEBT'!AD$103</f>
        <v>26100</v>
      </c>
      <c r="H484" s="63" t="s">
        <v>758</v>
      </c>
      <c r="I484" s="47">
        <v>96.63</v>
      </c>
      <c r="J484" s="597">
        <f>G484-I484</f>
        <v>26003.37</v>
      </c>
    </row>
    <row r="485" spans="2:10" x14ac:dyDescent="0.25">
      <c r="B485" s="37" t="s">
        <v>438</v>
      </c>
      <c r="C485" s="64"/>
      <c r="D485" s="698"/>
      <c r="E485" s="53"/>
      <c r="F485" s="3"/>
      <c r="G485" s="3"/>
      <c r="I485" s="3"/>
      <c r="J485" s="3"/>
    </row>
    <row r="486" spans="2:10" x14ac:dyDescent="0.25">
      <c r="B486" s="44" t="s">
        <v>370</v>
      </c>
      <c r="C486" s="66">
        <v>37330</v>
      </c>
      <c r="D486" s="477" t="s">
        <v>757</v>
      </c>
      <c r="E486" s="56">
        <f>J447</f>
        <v>92549.48</v>
      </c>
      <c r="F486" s="47">
        <f>'LONG-TERM DEBT'!AB$65+'LONG-TERM DEBT'!AB$105</f>
        <v>176400</v>
      </c>
      <c r="G486" s="47">
        <f>'LONG-TERM DEBT'!AD$65+'LONG-TERM DEBT'!AD$105</f>
        <v>171600</v>
      </c>
      <c r="H486" s="48" t="s">
        <v>758</v>
      </c>
      <c r="I486" s="47">
        <v>226.37</v>
      </c>
      <c r="J486" s="597">
        <f>G486-I486</f>
        <v>171373.63</v>
      </c>
    </row>
    <row r="487" spans="2:10" x14ac:dyDescent="0.25">
      <c r="B487" s="398">
        <v>37012</v>
      </c>
      <c r="C487" s="399"/>
      <c r="D487" s="698"/>
      <c r="E487" s="42"/>
      <c r="F487" s="40"/>
      <c r="G487" s="40"/>
      <c r="H487" s="41"/>
      <c r="I487" s="40"/>
      <c r="J487" s="42"/>
    </row>
    <row r="488" spans="2:10" x14ac:dyDescent="0.25">
      <c r="B488" s="44" t="s">
        <v>557</v>
      </c>
      <c r="C488" s="400">
        <v>37330</v>
      </c>
      <c r="D488" s="477" t="s">
        <v>757</v>
      </c>
      <c r="E488" s="49">
        <f>J446</f>
        <v>0</v>
      </c>
      <c r="F488" s="47">
        <f>'LONG-TERM DEBT'!AB$66+'LONG-TERM DEBT'!AB$106</f>
        <v>10400</v>
      </c>
      <c r="G488" s="47">
        <f>'LONG-TERM DEBT'!AD$66+'LONG-TERM DEBT'!AD$106</f>
        <v>0</v>
      </c>
      <c r="H488" s="48"/>
      <c r="I488" s="47"/>
      <c r="J488" s="597">
        <f>G488-I488</f>
        <v>0</v>
      </c>
    </row>
    <row r="489" spans="2:10" x14ac:dyDescent="0.25">
      <c r="B489" s="37">
        <v>35922</v>
      </c>
      <c r="C489" s="51"/>
      <c r="D489" s="22"/>
      <c r="E489" s="56"/>
      <c r="F489" s="59"/>
      <c r="G489" s="59"/>
      <c r="H489" s="62"/>
      <c r="I489" s="59"/>
      <c r="J489" s="56"/>
    </row>
    <row r="490" spans="2:10" x14ac:dyDescent="0.25">
      <c r="B490" s="37" t="s">
        <v>591</v>
      </c>
      <c r="C490" s="51">
        <v>36951</v>
      </c>
      <c r="D490" s="22" t="s">
        <v>757</v>
      </c>
      <c r="E490" s="56">
        <f>J448</f>
        <v>0</v>
      </c>
      <c r="F490" s="59">
        <f>'LONG-TERM DEBT'!AB$58+'LONG-TERM DEBT'!AB$98</f>
        <v>87510</v>
      </c>
      <c r="G490" s="59">
        <f>'LONG-TERM DEBT'!AD$58+'LONG-TERM DEBT'!AD$98</f>
        <v>82560</v>
      </c>
      <c r="H490" s="62" t="s">
        <v>607</v>
      </c>
      <c r="I490" s="59">
        <v>179.72</v>
      </c>
      <c r="J490" s="379">
        <f>G490-(I490+I491)</f>
        <v>82380.28</v>
      </c>
    </row>
    <row r="491" spans="2:10" x14ac:dyDescent="0.25">
      <c r="B491" s="44" t="s">
        <v>618</v>
      </c>
      <c r="C491" s="45">
        <v>40558</v>
      </c>
      <c r="D491" s="71" t="s">
        <v>757</v>
      </c>
      <c r="E491" s="56"/>
      <c r="F491" s="59"/>
      <c r="G491" s="59"/>
      <c r="H491" s="62" t="s">
        <v>620</v>
      </c>
      <c r="I491" s="59"/>
      <c r="J491" s="554"/>
    </row>
    <row r="492" spans="2:10" x14ac:dyDescent="0.25">
      <c r="B492" s="69">
        <v>36426</v>
      </c>
      <c r="C492" s="38">
        <v>36651</v>
      </c>
      <c r="D492" s="70"/>
      <c r="E492" s="42"/>
      <c r="F492" s="40"/>
      <c r="G492" s="40"/>
      <c r="H492" s="41"/>
      <c r="I492" s="40"/>
      <c r="J492" s="40"/>
    </row>
    <row r="493" spans="2:10" x14ac:dyDescent="0.25">
      <c r="B493" s="52" t="s">
        <v>593</v>
      </c>
      <c r="C493" s="51">
        <v>36951</v>
      </c>
      <c r="D493" s="22" t="s">
        <v>757</v>
      </c>
      <c r="E493" s="56">
        <f>J451</f>
        <v>0</v>
      </c>
      <c r="F493" s="59">
        <f>'LONG-TERM DEBT'!AB$56+'LONG-TERM DEBT'!AB$96+9000+1931.25</f>
        <v>106331.25</v>
      </c>
      <c r="G493" s="59">
        <f>'LONG-TERM DEBT'!AD$56+'LONG-TERM DEBT'!AD$96</f>
        <v>0</v>
      </c>
      <c r="H493" s="62" t="s">
        <v>201</v>
      </c>
      <c r="I493" s="59"/>
      <c r="J493" s="379">
        <f>G493-(I493+I494)</f>
        <v>0</v>
      </c>
    </row>
    <row r="494" spans="2:10" x14ac:dyDescent="0.25">
      <c r="B494" s="46" t="s">
        <v>618</v>
      </c>
      <c r="C494" s="45">
        <v>40558</v>
      </c>
      <c r="D494" s="71" t="s">
        <v>757</v>
      </c>
      <c r="E494" s="49"/>
      <c r="F494" s="47"/>
      <c r="G494" s="47"/>
      <c r="H494" s="48" t="s">
        <v>620</v>
      </c>
      <c r="I494" s="47"/>
      <c r="J494" s="545"/>
    </row>
    <row r="495" spans="2:10" x14ac:dyDescent="0.25">
      <c r="B495" s="50">
        <v>36650</v>
      </c>
      <c r="C495" s="51">
        <v>36791</v>
      </c>
      <c r="D495" s="22"/>
      <c r="E495" s="56"/>
      <c r="F495" s="59"/>
      <c r="G495" s="59"/>
      <c r="H495" s="62"/>
      <c r="I495" s="59"/>
      <c r="J495" s="59"/>
    </row>
    <row r="496" spans="2:10" x14ac:dyDescent="0.25">
      <c r="B496" s="3" t="s">
        <v>464</v>
      </c>
      <c r="C496" s="51">
        <v>36951</v>
      </c>
      <c r="D496" s="22" t="s">
        <v>757</v>
      </c>
      <c r="E496" s="56">
        <f>J454</f>
        <v>41907.26</v>
      </c>
      <c r="F496" s="3"/>
      <c r="G496" s="5"/>
      <c r="H496" s="36"/>
      <c r="I496" s="3"/>
      <c r="J496" s="5"/>
    </row>
    <row r="497" spans="2:12" x14ac:dyDescent="0.25">
      <c r="B497" s="2" t="s">
        <v>618</v>
      </c>
      <c r="C497" s="45">
        <v>40558</v>
      </c>
      <c r="D497" s="71" t="s">
        <v>757</v>
      </c>
      <c r="E497" s="56">
        <f>J455</f>
        <v>0</v>
      </c>
      <c r="F497" s="47"/>
      <c r="G497" s="47"/>
      <c r="H497" s="48" t="s">
        <v>620</v>
      </c>
      <c r="I497" s="47"/>
      <c r="J497" s="545"/>
    </row>
    <row r="498" spans="2:12" x14ac:dyDescent="0.25">
      <c r="B498" s="50">
        <v>39205</v>
      </c>
      <c r="C498" s="51">
        <v>39835</v>
      </c>
      <c r="D498" s="22" t="s">
        <v>666</v>
      </c>
      <c r="E498" s="56"/>
      <c r="F498" s="59"/>
      <c r="G498" s="59"/>
      <c r="H498" s="62"/>
      <c r="I498" s="59"/>
      <c r="J498" s="554"/>
    </row>
    <row r="499" spans="2:12" x14ac:dyDescent="0.25">
      <c r="B499" s="3" t="s">
        <v>60</v>
      </c>
      <c r="C499" s="51">
        <v>40564</v>
      </c>
      <c r="D499" s="22" t="s">
        <v>757</v>
      </c>
      <c r="E499" s="379"/>
      <c r="F499" s="3"/>
      <c r="G499" s="59"/>
      <c r="H499" s="62"/>
      <c r="I499" s="59"/>
      <c r="J499" s="5"/>
    </row>
    <row r="500" spans="2:12" x14ac:dyDescent="0.25">
      <c r="B500" s="2" t="s">
        <v>618</v>
      </c>
      <c r="C500" s="45">
        <v>40558</v>
      </c>
      <c r="D500" s="71" t="s">
        <v>757</v>
      </c>
      <c r="E500" s="49">
        <f>J461</f>
        <v>0</v>
      </c>
      <c r="F500" s="47">
        <f>'LONG-TERM DEBT'!AA$61+'LONG-TERM DEBT'!AA$101</f>
        <v>44680</v>
      </c>
      <c r="G500" s="49">
        <f>'LONG-TERM DEBT'!AD$61+'LONG-TERM DEBT'!AD$101</f>
        <v>41280</v>
      </c>
      <c r="H500" s="48" t="s">
        <v>620</v>
      </c>
      <c r="I500" s="47">
        <f>572.74-1.46</f>
        <v>571.28</v>
      </c>
      <c r="J500" s="595">
        <f>SUM(G500-I500)</f>
        <v>40708.720000000001</v>
      </c>
      <c r="L500" s="1">
        <f>1.72-0.26</f>
        <v>1.46</v>
      </c>
    </row>
    <row r="501" spans="2:12" x14ac:dyDescent="0.25">
      <c r="B501" s="50" t="s">
        <v>914</v>
      </c>
      <c r="C501" s="51"/>
      <c r="D501" s="52"/>
      <c r="E501" s="56"/>
      <c r="F501" s="59"/>
      <c r="G501" s="59"/>
      <c r="H501" s="62"/>
      <c r="I501" s="40"/>
      <c r="J501" s="554"/>
    </row>
    <row r="502" spans="2:12" x14ac:dyDescent="0.25">
      <c r="B502" s="3" t="s">
        <v>1015</v>
      </c>
      <c r="C502" s="51">
        <v>43019</v>
      </c>
      <c r="D502" s="52" t="s">
        <v>757</v>
      </c>
      <c r="E502" s="379"/>
      <c r="F502" s="5"/>
      <c r="G502" s="59">
        <f>SUM('LONG-TERM DEBT'!AD$78) + SUM('LONG-TERM DEBT'!AD$117)</f>
        <v>84768.760000000009</v>
      </c>
      <c r="H502" s="62"/>
      <c r="I502" s="59">
        <v>0.01</v>
      </c>
      <c r="J502" s="601">
        <f>SUM(G502-I502)</f>
        <v>84768.750000000015</v>
      </c>
    </row>
    <row r="503" spans="2:12" x14ac:dyDescent="0.25">
      <c r="B503" s="2"/>
      <c r="C503" s="45"/>
      <c r="D503" s="46"/>
      <c r="E503" s="699"/>
      <c r="F503" s="592"/>
      <c r="G503" s="47"/>
      <c r="H503" s="48"/>
      <c r="I503" s="47"/>
      <c r="J503" s="595"/>
    </row>
    <row r="504" spans="2:12" x14ac:dyDescent="0.25">
      <c r="B504" s="3" t="s">
        <v>993</v>
      </c>
      <c r="C504" s="51"/>
      <c r="D504" s="52"/>
      <c r="E504" s="379"/>
      <c r="F504" s="5"/>
      <c r="G504" s="59"/>
      <c r="H504" s="62"/>
      <c r="I504" s="59"/>
      <c r="J504" s="601"/>
    </row>
    <row r="505" spans="2:12" x14ac:dyDescent="0.25">
      <c r="B505" s="1507" t="s">
        <v>908</v>
      </c>
      <c r="C505" s="51"/>
      <c r="D505" s="52" t="s">
        <v>666</v>
      </c>
      <c r="E505" s="379"/>
      <c r="F505" s="5"/>
      <c r="G505" s="59">
        <f>'LONG-TERM DEBT'!AD$80+'LONG-TERM DEBT'!AD$120</f>
        <v>353687.5</v>
      </c>
      <c r="H505" s="62"/>
      <c r="I505" s="59"/>
      <c r="J505" s="601">
        <f>SUM(G505-I505)</f>
        <v>353687.5</v>
      </c>
    </row>
    <row r="506" spans="2:12" x14ac:dyDescent="0.25">
      <c r="B506" s="1507" t="s">
        <v>909</v>
      </c>
      <c r="C506" s="51"/>
      <c r="D506" s="52" t="s">
        <v>666</v>
      </c>
      <c r="E506" s="379"/>
      <c r="F506" s="5"/>
      <c r="G506" s="59">
        <f>'LONG-TERM DEBT'!AD$81+'LONG-TERM DEBT'!AD$121</f>
        <v>188275</v>
      </c>
      <c r="H506" s="62"/>
      <c r="I506" s="59"/>
      <c r="J506" s="601">
        <f>SUM(G506-I506)</f>
        <v>188275</v>
      </c>
    </row>
    <row r="507" spans="2:12" x14ac:dyDescent="0.25">
      <c r="B507" s="1507"/>
      <c r="C507" s="51"/>
      <c r="D507" s="52"/>
      <c r="E507" s="379"/>
      <c r="F507" s="5"/>
      <c r="G507" s="59"/>
      <c r="H507" s="62"/>
      <c r="I507" s="59"/>
      <c r="J507" s="601"/>
    </row>
    <row r="508" spans="2:12" x14ac:dyDescent="0.25">
      <c r="B508" s="1508" t="s">
        <v>1014</v>
      </c>
      <c r="C508" s="38"/>
      <c r="D508" s="39"/>
      <c r="E508" s="1509"/>
      <c r="F508" s="53"/>
      <c r="G508" s="40"/>
      <c r="H508" s="41"/>
      <c r="I508" s="40"/>
      <c r="J508" s="1510"/>
    </row>
    <row r="509" spans="2:12" x14ac:dyDescent="0.25">
      <c r="B509" s="1507" t="s">
        <v>908</v>
      </c>
      <c r="C509" s="51"/>
      <c r="D509" s="52"/>
      <c r="E509" s="379"/>
      <c r="F509" s="5"/>
      <c r="G509" s="59">
        <f>'LONG-TERM DEBT'!AD$84+'LONG-TERM DEBT'!AD$124</f>
        <v>122394</v>
      </c>
      <c r="H509" s="62"/>
      <c r="I509" s="59"/>
      <c r="J509" s="601">
        <f>SUM(G509-I509)</f>
        <v>122394</v>
      </c>
    </row>
    <row r="510" spans="2:12" x14ac:dyDescent="0.25">
      <c r="B510" s="1507" t="s">
        <v>909</v>
      </c>
      <c r="C510" s="51"/>
      <c r="D510" s="52"/>
      <c r="E510" s="379"/>
      <c r="F510" s="5"/>
      <c r="G510" s="59">
        <f>'LONG-TERM DEBT'!AD$85+'LONG-TERM DEBT'!AD$125</f>
        <v>118612.5</v>
      </c>
      <c r="H510" s="62"/>
      <c r="I510" s="59"/>
      <c r="J510" s="601">
        <f>SUM(G510-I510)</f>
        <v>118612.5</v>
      </c>
    </row>
    <row r="511" spans="2:12" x14ac:dyDescent="0.25">
      <c r="B511" s="1507"/>
      <c r="C511" s="51"/>
      <c r="D511" s="52"/>
      <c r="E511" s="379"/>
      <c r="F511" s="5"/>
      <c r="G511" s="59"/>
      <c r="H511" s="62"/>
      <c r="I511" s="59"/>
      <c r="J511" s="601"/>
    </row>
    <row r="512" spans="2:12" x14ac:dyDescent="0.25">
      <c r="B512" s="1508" t="s">
        <v>963</v>
      </c>
      <c r="C512" s="38"/>
      <c r="D512" s="39"/>
      <c r="E512" s="1509"/>
      <c r="F512" s="53"/>
      <c r="G512" s="40"/>
      <c r="H512" s="41"/>
      <c r="I512" s="40"/>
      <c r="J512" s="1510"/>
    </row>
    <row r="513" spans="2:11" x14ac:dyDescent="0.25">
      <c r="B513" s="1507"/>
      <c r="C513" s="51"/>
      <c r="D513" s="52"/>
      <c r="E513" s="379"/>
      <c r="F513" s="5"/>
      <c r="G513" s="59">
        <f>'LONG-TERM DEBT'!AD201</f>
        <v>0</v>
      </c>
      <c r="H513" s="62"/>
      <c r="I513" s="59"/>
      <c r="J513" s="601">
        <v>10000</v>
      </c>
    </row>
    <row r="514" spans="2:11" x14ac:dyDescent="0.25">
      <c r="B514" s="1507"/>
      <c r="C514" s="51"/>
      <c r="D514" s="52"/>
      <c r="E514" s="379"/>
      <c r="F514" s="5"/>
      <c r="G514" s="59"/>
      <c r="H514" s="62"/>
      <c r="I514" s="59"/>
      <c r="J514" s="601"/>
    </row>
    <row r="515" spans="2:11" x14ac:dyDescent="0.25">
      <c r="B515" s="1507"/>
      <c r="C515" s="51"/>
      <c r="D515" s="52"/>
      <c r="E515" s="379"/>
      <c r="F515" s="5"/>
      <c r="G515" s="59"/>
      <c r="H515" s="62"/>
      <c r="I515" s="59"/>
      <c r="J515" s="601"/>
    </row>
    <row r="516" spans="2:11" x14ac:dyDescent="0.25">
      <c r="B516" s="2"/>
      <c r="C516" s="45"/>
      <c r="D516" s="46"/>
      <c r="E516" s="49"/>
      <c r="F516" s="49"/>
      <c r="G516" s="49"/>
      <c r="H516" s="48"/>
      <c r="I516" s="47"/>
      <c r="J516" s="595"/>
    </row>
    <row r="517" spans="2:11" x14ac:dyDescent="0.25">
      <c r="B517" s="470" t="s">
        <v>596</v>
      </c>
      <c r="C517" s="471"/>
      <c r="D517" s="471"/>
      <c r="E517" s="473">
        <f>SUM(E480:E500)</f>
        <v>134456.74</v>
      </c>
      <c r="F517" s="473">
        <f>SUM(F480:F500)</f>
        <v>1093687.72</v>
      </c>
      <c r="G517" s="473">
        <f>SUM(G480:G516)</f>
        <v>1274602.2120000001</v>
      </c>
      <c r="H517" s="474"/>
      <c r="I517" s="474">
        <f>SUM(I480:I500)</f>
        <v>1074</v>
      </c>
      <c r="J517" s="472">
        <f>SUM(J481:J515)</f>
        <v>1283528.202</v>
      </c>
    </row>
    <row r="518" spans="2:11" x14ac:dyDescent="0.25">
      <c r="B518" s="1493"/>
      <c r="C518" s="1494"/>
      <c r="D518" s="1494"/>
      <c r="E518" s="1495"/>
      <c r="F518" s="1495"/>
      <c r="G518" s="1495"/>
      <c r="H518" s="1495"/>
      <c r="I518" s="1495"/>
      <c r="J518" s="1495"/>
    </row>
    <row r="519" spans="2:11" x14ac:dyDescent="0.25">
      <c r="B519" s="31"/>
      <c r="C519" s="31"/>
      <c r="D519" s="610"/>
      <c r="E519" s="31" t="s">
        <v>1040</v>
      </c>
      <c r="F519" s="31" t="s">
        <v>1041</v>
      </c>
      <c r="G519" s="31" t="s">
        <v>1038</v>
      </c>
      <c r="H519" s="31"/>
      <c r="I519" s="31" t="s">
        <v>616</v>
      </c>
      <c r="J519" s="31" t="s">
        <v>1039</v>
      </c>
    </row>
    <row r="520" spans="2:11" x14ac:dyDescent="0.25">
      <c r="B520" s="33" t="s">
        <v>691</v>
      </c>
      <c r="C520" s="33" t="s">
        <v>692</v>
      </c>
      <c r="D520" s="33" t="s">
        <v>693</v>
      </c>
      <c r="E520" s="33" t="s">
        <v>694</v>
      </c>
      <c r="F520" s="33" t="s">
        <v>695</v>
      </c>
      <c r="G520" s="33" t="s">
        <v>696</v>
      </c>
      <c r="H520" s="33" t="s">
        <v>160</v>
      </c>
      <c r="I520" s="33" t="s">
        <v>697</v>
      </c>
      <c r="J520" s="33" t="s">
        <v>698</v>
      </c>
    </row>
    <row r="521" spans="2:11" x14ac:dyDescent="0.25">
      <c r="B521" s="33"/>
      <c r="C521" s="33" t="s">
        <v>567</v>
      </c>
      <c r="D521" s="33"/>
      <c r="E521" s="33"/>
      <c r="F521" s="33"/>
      <c r="G521" s="33"/>
      <c r="H521" s="33"/>
      <c r="I521" s="33"/>
      <c r="J521" s="33"/>
    </row>
    <row r="522" spans="2:11" x14ac:dyDescent="0.25">
      <c r="B522" s="33" t="s">
        <v>850</v>
      </c>
      <c r="C522" s="33" t="s">
        <v>851</v>
      </c>
      <c r="D522" s="33" t="s">
        <v>720</v>
      </c>
      <c r="E522" s="33" t="s">
        <v>1008</v>
      </c>
      <c r="F522" s="33" t="s">
        <v>1046</v>
      </c>
      <c r="G522" s="33" t="s">
        <v>1045</v>
      </c>
      <c r="H522" s="33"/>
      <c r="I522" s="33"/>
      <c r="J522" s="33" t="s">
        <v>1044</v>
      </c>
    </row>
    <row r="523" spans="2:11" x14ac:dyDescent="0.25">
      <c r="B523" s="33" t="s">
        <v>821</v>
      </c>
      <c r="C523" s="33" t="s">
        <v>822</v>
      </c>
      <c r="D523" s="33" t="s">
        <v>823</v>
      </c>
      <c r="E523" s="33" t="s">
        <v>841</v>
      </c>
      <c r="F523" s="33" t="s">
        <v>842</v>
      </c>
      <c r="G523" s="33" t="s">
        <v>842</v>
      </c>
      <c r="H523" s="33" t="s">
        <v>843</v>
      </c>
      <c r="I523" s="33" t="s">
        <v>844</v>
      </c>
      <c r="J523" s="33" t="s">
        <v>784</v>
      </c>
    </row>
    <row r="524" spans="2:11" x14ac:dyDescent="0.25">
      <c r="B524" s="611" t="s">
        <v>785</v>
      </c>
      <c r="C524" s="1506" t="s">
        <v>786</v>
      </c>
      <c r="D524" s="611" t="s">
        <v>846</v>
      </c>
      <c r="E524" s="611" t="s">
        <v>842</v>
      </c>
      <c r="F524" s="611" t="s">
        <v>847</v>
      </c>
      <c r="G524" s="611" t="s">
        <v>847</v>
      </c>
      <c r="H524" s="611" t="s">
        <v>848</v>
      </c>
      <c r="I524" s="611" t="s">
        <v>816</v>
      </c>
      <c r="J524" s="611" t="s">
        <v>842</v>
      </c>
    </row>
    <row r="525" spans="2:11" x14ac:dyDescent="0.25">
      <c r="B525" s="424"/>
      <c r="C525" s="425"/>
      <c r="D525" s="425"/>
      <c r="E525" s="425"/>
      <c r="F525" s="425"/>
      <c r="G525" s="426" t="s">
        <v>1012</v>
      </c>
      <c r="H525" s="425"/>
      <c r="I525" s="425"/>
      <c r="J525" s="427"/>
    </row>
    <row r="526" spans="2:11" x14ac:dyDescent="0.25">
      <c r="B526" s="37">
        <v>35558</v>
      </c>
      <c r="C526" s="51">
        <v>35993</v>
      </c>
      <c r="D526" s="697" t="s">
        <v>666</v>
      </c>
      <c r="E526" s="56"/>
      <c r="F526" s="59"/>
      <c r="G526" s="57"/>
      <c r="H526" s="60" t="s">
        <v>667</v>
      </c>
      <c r="I526" s="59"/>
      <c r="J526" s="56"/>
    </row>
    <row r="527" spans="2:11" x14ac:dyDescent="0.25">
      <c r="B527" s="37" t="s">
        <v>739</v>
      </c>
      <c r="C527" s="51"/>
      <c r="D527" s="22" t="s">
        <v>757</v>
      </c>
      <c r="E527" s="56">
        <f>J488</f>
        <v>0</v>
      </c>
      <c r="F527" s="62">
        <v>635466.47</v>
      </c>
      <c r="G527" s="60">
        <f>'LONG-TERM DEBT'!AE$172*0+BUDGET!AN437</f>
        <v>82467</v>
      </c>
      <c r="H527" s="60"/>
      <c r="I527" s="593">
        <v>0</v>
      </c>
      <c r="J527" s="594">
        <f>G527-I527</f>
        <v>82467</v>
      </c>
      <c r="K527" s="6">
        <v>0</v>
      </c>
    </row>
    <row r="528" spans="2:11" x14ac:dyDescent="0.25">
      <c r="B528" s="44"/>
      <c r="C528" s="45"/>
      <c r="D528" s="71" t="s">
        <v>666</v>
      </c>
      <c r="E528" s="49"/>
      <c r="F528" s="2"/>
      <c r="G528" s="59"/>
      <c r="H528" s="60"/>
      <c r="I528" s="59"/>
      <c r="J528" s="56"/>
    </row>
    <row r="529" spans="2:11" x14ac:dyDescent="0.25">
      <c r="B529" s="37">
        <v>35558</v>
      </c>
      <c r="C529" s="51">
        <v>35972</v>
      </c>
      <c r="D529" s="22"/>
      <c r="E529" s="56"/>
      <c r="F529" s="40"/>
      <c r="G529" s="42"/>
      <c r="H529" s="58"/>
      <c r="I529" s="40"/>
      <c r="J529" s="40"/>
    </row>
    <row r="530" spans="2:11" x14ac:dyDescent="0.25">
      <c r="B530" s="44" t="s">
        <v>611</v>
      </c>
      <c r="C530" s="45">
        <v>37330</v>
      </c>
      <c r="D530" s="22" t="s">
        <v>757</v>
      </c>
      <c r="E530" s="56">
        <f>J491</f>
        <v>0</v>
      </c>
      <c r="F530" s="47">
        <f>'LONG-TERM DEBT'!AB$63+'LONG-TERM DEBT'!AB$103</f>
        <v>32900</v>
      </c>
      <c r="G530" s="49">
        <f>'LONG-TERM DEBT'!AE$63+'LONG-TERM DEBT'!AE$103</f>
        <v>30600</v>
      </c>
      <c r="H530" s="63" t="s">
        <v>758</v>
      </c>
      <c r="I530" s="47">
        <v>96.63</v>
      </c>
      <c r="J530" s="597">
        <f>G530-I530</f>
        <v>30503.37</v>
      </c>
      <c r="K530" s="6">
        <v>9.9999999983992893E-3</v>
      </c>
    </row>
    <row r="531" spans="2:11" x14ac:dyDescent="0.25">
      <c r="B531" s="37" t="s">
        <v>438</v>
      </c>
      <c r="C531" s="64"/>
      <c r="D531" s="698"/>
      <c r="E531" s="53"/>
      <c r="F531" s="3"/>
      <c r="G531" s="3"/>
      <c r="I531" s="3"/>
      <c r="J531" s="3"/>
    </row>
    <row r="532" spans="2:11" x14ac:dyDescent="0.25">
      <c r="B532" s="44" t="s">
        <v>370</v>
      </c>
      <c r="C532" s="66">
        <v>37330</v>
      </c>
      <c r="D532" s="477" t="s">
        <v>757</v>
      </c>
      <c r="E532" s="56">
        <f>J493</f>
        <v>0</v>
      </c>
      <c r="F532" s="47">
        <f>'LONG-TERM DEBT'!AB$65+'LONG-TERM DEBT'!AB$105</f>
        <v>176400</v>
      </c>
      <c r="G532" s="47">
        <f>'LONG-TERM DEBT'!AE$65+'LONG-TERM DEBT'!AE$105</f>
        <v>168300</v>
      </c>
      <c r="H532" s="48" t="s">
        <v>758</v>
      </c>
      <c r="I532" s="47">
        <v>226.37</v>
      </c>
      <c r="J532" s="597">
        <f>G532-I532</f>
        <v>168073.63</v>
      </c>
      <c r="K532" s="6">
        <v>-0.33999999999650754</v>
      </c>
    </row>
    <row r="533" spans="2:11" x14ac:dyDescent="0.25">
      <c r="B533" s="398">
        <v>37012</v>
      </c>
      <c r="C533" s="399"/>
      <c r="D533" s="698"/>
      <c r="E533" s="42"/>
      <c r="F533" s="40"/>
      <c r="G533" s="40"/>
      <c r="H533" s="41"/>
      <c r="I533" s="40"/>
      <c r="J533" s="42"/>
    </row>
    <row r="534" spans="2:11" x14ac:dyDescent="0.25">
      <c r="B534" s="44" t="s">
        <v>557</v>
      </c>
      <c r="C534" s="400">
        <v>37330</v>
      </c>
      <c r="D534" s="477" t="s">
        <v>757</v>
      </c>
      <c r="E534" s="49">
        <f>J492</f>
        <v>0</v>
      </c>
      <c r="F534" s="47">
        <f>'LONG-TERM DEBT'!AB$66+'LONG-TERM DEBT'!AB$106</f>
        <v>10400</v>
      </c>
      <c r="G534" s="47">
        <f>'LONG-TERM DEBT'!AE$66+'LONG-TERM DEBT'!AE$106</f>
        <v>0</v>
      </c>
      <c r="H534" s="48"/>
      <c r="I534" s="47"/>
      <c r="J534" s="597">
        <f>G534-I534</f>
        <v>0</v>
      </c>
    </row>
    <row r="535" spans="2:11" x14ac:dyDescent="0.25">
      <c r="B535" s="37">
        <v>35922</v>
      </c>
      <c r="C535" s="51"/>
      <c r="D535" s="22"/>
      <c r="E535" s="56"/>
      <c r="F535" s="59"/>
      <c r="G535" s="59"/>
      <c r="H535" s="62"/>
      <c r="I535" s="59"/>
      <c r="J535" s="56"/>
    </row>
    <row r="536" spans="2:11" x14ac:dyDescent="0.25">
      <c r="B536" s="37" t="s">
        <v>591</v>
      </c>
      <c r="C536" s="51">
        <v>36951</v>
      </c>
      <c r="D536" s="22" t="s">
        <v>757</v>
      </c>
      <c r="E536" s="56">
        <f>J494</f>
        <v>0</v>
      </c>
      <c r="F536" s="59">
        <f>'LONG-TERM DEBT'!AB$58+'LONG-TERM DEBT'!AB$98</f>
        <v>87510</v>
      </c>
      <c r="G536" s="59">
        <f>'LONG-TERM DEBT'!AE$58+'LONG-TERM DEBT'!AE$98</f>
        <v>0</v>
      </c>
      <c r="H536" s="62" t="s">
        <v>607</v>
      </c>
      <c r="I536" s="59">
        <v>179.72</v>
      </c>
      <c r="J536" s="379"/>
    </row>
    <row r="537" spans="2:11" x14ac:dyDescent="0.25">
      <c r="B537" s="44" t="s">
        <v>618</v>
      </c>
      <c r="C537" s="45">
        <v>40558</v>
      </c>
      <c r="D537" s="71" t="s">
        <v>757</v>
      </c>
      <c r="E537" s="56"/>
      <c r="F537" s="59"/>
      <c r="G537" s="59"/>
      <c r="H537" s="62" t="s">
        <v>620</v>
      </c>
      <c r="I537" s="59"/>
      <c r="J537" s="554"/>
    </row>
    <row r="538" spans="2:11" x14ac:dyDescent="0.25">
      <c r="B538" s="69">
        <v>36426</v>
      </c>
      <c r="C538" s="38">
        <v>36651</v>
      </c>
      <c r="D538" s="70"/>
      <c r="E538" s="42"/>
      <c r="F538" s="40"/>
      <c r="G538" s="40"/>
      <c r="H538" s="41"/>
      <c r="I538" s="40"/>
      <c r="J538" s="40"/>
    </row>
    <row r="539" spans="2:11" x14ac:dyDescent="0.25">
      <c r="B539" s="52" t="s">
        <v>593</v>
      </c>
      <c r="C539" s="51">
        <v>36951</v>
      </c>
      <c r="D539" s="22" t="s">
        <v>757</v>
      </c>
      <c r="E539" s="56">
        <f>J497</f>
        <v>0</v>
      </c>
      <c r="F539" s="59">
        <f>'LONG-TERM DEBT'!AB$56+'LONG-TERM DEBT'!AB$96+9000+1931.25</f>
        <v>106331.25</v>
      </c>
      <c r="G539" s="59">
        <f>'LONG-TERM DEBT'!AE$56+'LONG-TERM DEBT'!AE$96</f>
        <v>0</v>
      </c>
      <c r="H539" s="62" t="s">
        <v>201</v>
      </c>
      <c r="I539" s="59"/>
      <c r="J539" s="379">
        <f>G539-(I539+I540)</f>
        <v>0</v>
      </c>
    </row>
    <row r="540" spans="2:11" x14ac:dyDescent="0.25">
      <c r="B540" s="46" t="s">
        <v>618</v>
      </c>
      <c r="C540" s="45">
        <v>40558</v>
      </c>
      <c r="D540" s="71" t="s">
        <v>757</v>
      </c>
      <c r="E540" s="49"/>
      <c r="F540" s="47"/>
      <c r="G540" s="47"/>
      <c r="H540" s="48" t="s">
        <v>620</v>
      </c>
      <c r="I540" s="47"/>
      <c r="J540" s="545"/>
    </row>
    <row r="541" spans="2:11" x14ac:dyDescent="0.25">
      <c r="B541" s="50">
        <v>36650</v>
      </c>
      <c r="C541" s="51">
        <v>36791</v>
      </c>
      <c r="D541" s="22"/>
      <c r="E541" s="56"/>
      <c r="F541" s="59"/>
      <c r="G541" s="59"/>
      <c r="H541" s="62"/>
      <c r="I541" s="59"/>
      <c r="J541" s="59"/>
    </row>
    <row r="542" spans="2:11" x14ac:dyDescent="0.25">
      <c r="B542" s="3" t="s">
        <v>464</v>
      </c>
      <c r="C542" s="51">
        <v>36951</v>
      </c>
      <c r="D542" s="22" t="s">
        <v>757</v>
      </c>
      <c r="E542" s="56">
        <f>J500</f>
        <v>40708.720000000001</v>
      </c>
      <c r="F542" s="3"/>
      <c r="G542" s="5"/>
      <c r="H542" s="36"/>
      <c r="I542" s="3"/>
      <c r="J542" s="5"/>
    </row>
    <row r="543" spans="2:11" x14ac:dyDescent="0.25">
      <c r="B543" s="2" t="s">
        <v>618</v>
      </c>
      <c r="C543" s="45">
        <v>40558</v>
      </c>
      <c r="D543" s="71" t="s">
        <v>757</v>
      </c>
      <c r="E543" s="56">
        <f>J501</f>
        <v>0</v>
      </c>
      <c r="F543" s="47"/>
      <c r="G543" s="47"/>
      <c r="H543" s="48" t="s">
        <v>620</v>
      </c>
      <c r="I543" s="47"/>
      <c r="J543" s="545"/>
    </row>
    <row r="544" spans="2:11" x14ac:dyDescent="0.25">
      <c r="B544" s="50">
        <v>39205</v>
      </c>
      <c r="C544" s="51">
        <v>39835</v>
      </c>
      <c r="D544" s="22" t="s">
        <v>666</v>
      </c>
      <c r="E544" s="56"/>
      <c r="F544" s="59"/>
      <c r="G544" s="59"/>
      <c r="H544" s="62"/>
      <c r="I544" s="59"/>
      <c r="J544" s="554"/>
    </row>
    <row r="545" spans="2:10" x14ac:dyDescent="0.25">
      <c r="B545" s="3" t="s">
        <v>60</v>
      </c>
      <c r="C545" s="51">
        <v>40564</v>
      </c>
      <c r="D545" s="22" t="s">
        <v>757</v>
      </c>
      <c r="E545" s="379"/>
      <c r="F545" s="3"/>
      <c r="G545" s="59"/>
      <c r="H545" s="62"/>
      <c r="I545" s="59"/>
      <c r="J545" s="5"/>
    </row>
    <row r="546" spans="2:10" x14ac:dyDescent="0.25">
      <c r="B546" s="2" t="s">
        <v>618</v>
      </c>
      <c r="C546" s="45">
        <v>40558</v>
      </c>
      <c r="D546" s="71" t="s">
        <v>757</v>
      </c>
      <c r="E546" s="49">
        <f>J507</f>
        <v>0</v>
      </c>
      <c r="F546" s="47">
        <f>'LONG-TERM DEBT'!AA$61+'LONG-TERM DEBT'!AA$101</f>
        <v>44680</v>
      </c>
      <c r="G546" s="49">
        <f>'LONG-TERM DEBT'!AE$61+'LONG-TERM DEBT'!AE$101</f>
        <v>0</v>
      </c>
      <c r="H546" s="48" t="s">
        <v>620</v>
      </c>
      <c r="I546" s="47">
        <f>572.74-1.46</f>
        <v>571.28</v>
      </c>
      <c r="J546" s="595">
        <f>SUM(G546-I546)*0</f>
        <v>0</v>
      </c>
    </row>
    <row r="547" spans="2:10" x14ac:dyDescent="0.25">
      <c r="B547" s="50" t="s">
        <v>914</v>
      </c>
      <c r="C547" s="51"/>
      <c r="D547" s="52"/>
      <c r="E547" s="56"/>
      <c r="F547" s="59"/>
      <c r="G547" s="59"/>
      <c r="H547" s="62"/>
      <c r="I547" s="40"/>
      <c r="J547" s="554"/>
    </row>
    <row r="548" spans="2:10" x14ac:dyDescent="0.25">
      <c r="B548" s="3" t="s">
        <v>1015</v>
      </c>
      <c r="C548" s="51">
        <v>43019</v>
      </c>
      <c r="D548" s="52" t="s">
        <v>757</v>
      </c>
      <c r="E548" s="379"/>
      <c r="F548" s="5"/>
      <c r="G548" s="59">
        <f>SUM('LONG-TERM DEBT'!AE$78) + SUM('LONG-TERM DEBT'!AE$117)</f>
        <v>88493.760000000009</v>
      </c>
      <c r="H548" s="62"/>
      <c r="I548" s="59">
        <v>0.01</v>
      </c>
      <c r="J548" s="601">
        <f>SUM(G548-I548)</f>
        <v>88493.750000000015</v>
      </c>
    </row>
    <row r="549" spans="2:10" x14ac:dyDescent="0.25">
      <c r="B549" s="2"/>
      <c r="C549" s="45"/>
      <c r="D549" s="46"/>
      <c r="E549" s="699"/>
      <c r="F549" s="592"/>
      <c r="G549" s="47"/>
      <c r="H549" s="48"/>
      <c r="I549" s="47"/>
      <c r="J549" s="595"/>
    </row>
    <row r="550" spans="2:10" x14ac:dyDescent="0.25">
      <c r="B550" s="3" t="s">
        <v>993</v>
      </c>
      <c r="C550" s="51"/>
      <c r="D550" s="52"/>
      <c r="E550" s="379"/>
      <c r="F550" s="5"/>
      <c r="G550" s="59"/>
      <c r="H550" s="62"/>
      <c r="I550" s="59"/>
      <c r="J550" s="601"/>
    </row>
    <row r="551" spans="2:10" x14ac:dyDescent="0.25">
      <c r="B551" s="1507" t="s">
        <v>908</v>
      </c>
      <c r="C551" s="51"/>
      <c r="D551" s="52" t="s">
        <v>666</v>
      </c>
      <c r="E551" s="379"/>
      <c r="F551" s="5"/>
      <c r="G551" s="59">
        <f>'LONG-TERM DEBT'!AE$80+'LONG-TERM DEBT'!AE$120</f>
        <v>351687.5</v>
      </c>
      <c r="H551" s="62"/>
      <c r="I551" s="59"/>
      <c r="J551" s="601">
        <f>SUM(G551-I551)</f>
        <v>351687.5</v>
      </c>
    </row>
    <row r="552" spans="2:10" x14ac:dyDescent="0.25">
      <c r="B552" s="1507" t="s">
        <v>909</v>
      </c>
      <c r="C552" s="51"/>
      <c r="D552" s="52" t="s">
        <v>666</v>
      </c>
      <c r="E552" s="379"/>
      <c r="F552" s="5"/>
      <c r="G552" s="59">
        <f>'LONG-TERM DEBT'!AE$81+'LONG-TERM DEBT'!AE$121</f>
        <v>265275</v>
      </c>
      <c r="H552" s="62"/>
      <c r="I552" s="59"/>
      <c r="J552" s="601">
        <f>SUM(G552-I552)</f>
        <v>265275</v>
      </c>
    </row>
    <row r="553" spans="2:10" x14ac:dyDescent="0.25">
      <c r="B553" s="1507"/>
      <c r="C553" s="51"/>
      <c r="D553" s="52"/>
      <c r="E553" s="379"/>
      <c r="F553" s="5"/>
      <c r="G553" s="59"/>
      <c r="H553" s="62"/>
      <c r="I553" s="59"/>
      <c r="J553" s="601"/>
    </row>
    <row r="554" spans="2:10" x14ac:dyDescent="0.25">
      <c r="B554" s="1508" t="s">
        <v>1014</v>
      </c>
      <c r="C554" s="38"/>
      <c r="D554" s="39"/>
      <c r="E554" s="1509"/>
      <c r="F554" s="53"/>
      <c r="G554" s="40"/>
      <c r="H554" s="41"/>
      <c r="I554" s="40"/>
      <c r="J554" s="1510"/>
    </row>
    <row r="555" spans="2:10" x14ac:dyDescent="0.25">
      <c r="B555" s="1507" t="s">
        <v>908</v>
      </c>
      <c r="C555" s="51"/>
      <c r="D555" s="52"/>
      <c r="E555" s="379"/>
      <c r="F555" s="5"/>
      <c r="G555" s="59">
        <f>'LONG-TERM DEBT'!AE$84+'LONG-TERM DEBT'!AE$124</f>
        <v>119644</v>
      </c>
      <c r="H555" s="62"/>
      <c r="I555" s="59"/>
      <c r="J555" s="601">
        <f>SUM(G555-I555)</f>
        <v>119644</v>
      </c>
    </row>
    <row r="556" spans="2:10" x14ac:dyDescent="0.25">
      <c r="B556" s="1507" t="s">
        <v>909</v>
      </c>
      <c r="C556" s="51"/>
      <c r="D556" s="52"/>
      <c r="E556" s="379"/>
      <c r="F556" s="5"/>
      <c r="G556" s="59">
        <f>'LONG-TERM DEBT'!AE$85+'LONG-TERM DEBT'!AE$125</f>
        <v>120237.5</v>
      </c>
      <c r="H556" s="62"/>
      <c r="I556" s="59"/>
      <c r="J556" s="601">
        <f>SUM(G556-I556)</f>
        <v>120237.5</v>
      </c>
    </row>
    <row r="557" spans="2:10" x14ac:dyDescent="0.25">
      <c r="B557" s="1507"/>
      <c r="C557" s="51"/>
      <c r="D557" s="52"/>
      <c r="E557" s="379"/>
      <c r="F557" s="5"/>
      <c r="G557" s="59"/>
      <c r="H557" s="62"/>
      <c r="I557" s="59"/>
      <c r="J557" s="601"/>
    </row>
    <row r="558" spans="2:10" x14ac:dyDescent="0.25">
      <c r="B558" s="1508" t="s">
        <v>963</v>
      </c>
      <c r="C558" s="38"/>
      <c r="D558" s="39"/>
      <c r="E558" s="1509"/>
      <c r="F558" s="53"/>
      <c r="G558" s="40"/>
      <c r="H558" s="41"/>
      <c r="I558" s="40"/>
      <c r="J558" s="1510"/>
    </row>
    <row r="559" spans="2:10" x14ac:dyDescent="0.25">
      <c r="B559" s="1507"/>
      <c r="C559" s="51"/>
      <c r="D559" s="52"/>
      <c r="E559" s="379"/>
      <c r="F559" s="5"/>
      <c r="G559" s="59">
        <f>'LONG-TERM DEBT'!AD247</f>
        <v>0</v>
      </c>
      <c r="H559" s="62"/>
      <c r="I559" s="59"/>
      <c r="J559" s="601"/>
    </row>
    <row r="560" spans="2:10" x14ac:dyDescent="0.25">
      <c r="B560" s="1507"/>
      <c r="C560" s="51"/>
      <c r="D560" s="52"/>
      <c r="E560" s="379"/>
      <c r="F560" s="5"/>
      <c r="G560" s="59"/>
      <c r="H560" s="62"/>
      <c r="I560" s="59"/>
      <c r="J560" s="601"/>
    </row>
    <row r="561" spans="2:11" x14ac:dyDescent="0.25">
      <c r="B561" s="1507"/>
      <c r="C561" s="51"/>
      <c r="D561" s="52"/>
      <c r="E561" s="379"/>
      <c r="F561" s="5"/>
      <c r="G561" s="59"/>
      <c r="H561" s="62"/>
      <c r="I561" s="59"/>
      <c r="J561" s="601"/>
    </row>
    <row r="562" spans="2:11" x14ac:dyDescent="0.25">
      <c r="B562" s="2"/>
      <c r="C562" s="45"/>
      <c r="D562" s="46"/>
      <c r="E562" s="49"/>
      <c r="F562" s="49"/>
      <c r="G562" s="49"/>
      <c r="H562" s="48"/>
      <c r="I562" s="47"/>
      <c r="J562" s="595"/>
    </row>
    <row r="563" spans="2:11" x14ac:dyDescent="0.25">
      <c r="B563" s="470" t="s">
        <v>596</v>
      </c>
      <c r="C563" s="471"/>
      <c r="D563" s="471"/>
      <c r="E563" s="473">
        <f>SUM(E526:E546)</f>
        <v>40708.720000000001</v>
      </c>
      <c r="F563" s="473">
        <f>SUM(F526:F546)</f>
        <v>1093687.72</v>
      </c>
      <c r="G563" s="473">
        <f>SUM(G526:G562)</f>
        <v>1226704.76</v>
      </c>
      <c r="H563" s="474"/>
      <c r="I563" s="474">
        <f>SUM(I526:I546)</f>
        <v>1074</v>
      </c>
      <c r="J563" s="472">
        <f>SUM(J527:J561)</f>
        <v>1226381.75</v>
      </c>
      <c r="K563" s="6">
        <f>J563-J527</f>
        <v>1143914.75</v>
      </c>
    </row>
    <row r="564" spans="2:11" x14ac:dyDescent="0.25">
      <c r="C564" s="1"/>
    </row>
    <row r="565" spans="2:11" x14ac:dyDescent="0.25">
      <c r="C565" s="1"/>
    </row>
    <row r="566" spans="2:11" x14ac:dyDescent="0.25">
      <c r="B566" s="31"/>
      <c r="C566" s="31"/>
      <c r="D566" s="610"/>
      <c r="E566" s="31" t="s">
        <v>1076</v>
      </c>
      <c r="F566" s="31" t="s">
        <v>1077</v>
      </c>
      <c r="G566" s="31" t="s">
        <v>1078</v>
      </c>
      <c r="H566" s="31"/>
      <c r="I566" s="31" t="s">
        <v>616</v>
      </c>
      <c r="J566" s="31" t="s">
        <v>1079</v>
      </c>
    </row>
    <row r="567" spans="2:11" x14ac:dyDescent="0.25">
      <c r="B567" s="33" t="s">
        <v>691</v>
      </c>
      <c r="C567" s="33" t="s">
        <v>692</v>
      </c>
      <c r="D567" s="33" t="s">
        <v>693</v>
      </c>
      <c r="E567" s="33" t="s">
        <v>694</v>
      </c>
      <c r="F567" s="33" t="s">
        <v>695</v>
      </c>
      <c r="G567" s="33" t="s">
        <v>696</v>
      </c>
      <c r="H567" s="33" t="s">
        <v>160</v>
      </c>
      <c r="I567" s="33" t="s">
        <v>697</v>
      </c>
      <c r="J567" s="33" t="s">
        <v>698</v>
      </c>
    </row>
    <row r="568" spans="2:11" x14ac:dyDescent="0.25">
      <c r="B568" s="33"/>
      <c r="C568" s="33" t="s">
        <v>567</v>
      </c>
      <c r="D568" s="33"/>
      <c r="E568" s="33"/>
      <c r="F568" s="33"/>
      <c r="G568" s="33"/>
      <c r="H568" s="33"/>
      <c r="I568" s="33"/>
      <c r="J568" s="33"/>
    </row>
    <row r="569" spans="2:11" x14ac:dyDescent="0.25">
      <c r="B569" s="33" t="s">
        <v>850</v>
      </c>
      <c r="C569" s="33" t="s">
        <v>851</v>
      </c>
      <c r="D569" s="33" t="s">
        <v>720</v>
      </c>
      <c r="E569" s="33" t="s">
        <v>1008</v>
      </c>
      <c r="F569" s="33" t="s">
        <v>1046</v>
      </c>
      <c r="G569" s="33" t="s">
        <v>1045</v>
      </c>
      <c r="H569" s="33"/>
      <c r="I569" s="33"/>
      <c r="J569" s="33" t="s">
        <v>1044</v>
      </c>
    </row>
    <row r="570" spans="2:11" x14ac:dyDescent="0.25">
      <c r="B570" s="33" t="s">
        <v>821</v>
      </c>
      <c r="C570" s="33" t="s">
        <v>822</v>
      </c>
      <c r="D570" s="33" t="s">
        <v>823</v>
      </c>
      <c r="E570" s="33" t="s">
        <v>841</v>
      </c>
      <c r="F570" s="33" t="s">
        <v>842</v>
      </c>
      <c r="G570" s="33" t="s">
        <v>842</v>
      </c>
      <c r="H570" s="33" t="s">
        <v>843</v>
      </c>
      <c r="I570" s="33" t="s">
        <v>844</v>
      </c>
      <c r="J570" s="33" t="s">
        <v>784</v>
      </c>
    </row>
    <row r="571" spans="2:11" x14ac:dyDescent="0.25">
      <c r="B571" s="611" t="s">
        <v>785</v>
      </c>
      <c r="C571" s="1506" t="s">
        <v>786</v>
      </c>
      <c r="D571" s="611" t="s">
        <v>846</v>
      </c>
      <c r="E571" s="611" t="s">
        <v>842</v>
      </c>
      <c r="F571" s="611" t="s">
        <v>847</v>
      </c>
      <c r="G571" s="611" t="s">
        <v>847</v>
      </c>
      <c r="H571" s="611" t="s">
        <v>848</v>
      </c>
      <c r="I571" s="611" t="s">
        <v>816</v>
      </c>
      <c r="J571" s="611" t="s">
        <v>842</v>
      </c>
    </row>
    <row r="572" spans="2:11" x14ac:dyDescent="0.25">
      <c r="B572" s="424"/>
      <c r="C572" s="425"/>
      <c r="D572" s="425"/>
      <c r="E572" s="425"/>
      <c r="F572" s="425"/>
      <c r="G572" s="426" t="s">
        <v>1012</v>
      </c>
      <c r="H572" s="425"/>
      <c r="I572" s="425"/>
      <c r="J572" s="427"/>
    </row>
    <row r="573" spans="2:11" x14ac:dyDescent="0.25">
      <c r="B573" s="37">
        <v>35558</v>
      </c>
      <c r="C573" s="51">
        <v>35993</v>
      </c>
      <c r="D573" s="697" t="s">
        <v>666</v>
      </c>
      <c r="E573" s="56"/>
      <c r="F573" s="59"/>
      <c r="G573" s="57"/>
      <c r="H573" s="60" t="s">
        <v>667</v>
      </c>
      <c r="I573" s="59"/>
      <c r="J573" s="56"/>
    </row>
    <row r="574" spans="2:11" x14ac:dyDescent="0.25">
      <c r="B574" s="37" t="s">
        <v>739</v>
      </c>
      <c r="C574" s="51"/>
      <c r="D574" s="22" t="s">
        <v>757</v>
      </c>
      <c r="E574" s="56">
        <f>J535</f>
        <v>0</v>
      </c>
      <c r="F574" s="62">
        <v>635466.47</v>
      </c>
      <c r="G574" s="60">
        <f>'LONG-TERM DEBT'!AF$172+BUDGET!AN477*0</f>
        <v>228708.37499999997</v>
      </c>
      <c r="H574" s="60"/>
      <c r="I574" s="593">
        <v>0</v>
      </c>
      <c r="J574" s="1620">
        <v>-143887</v>
      </c>
      <c r="K574" s="6">
        <v>-226354</v>
      </c>
    </row>
    <row r="575" spans="2:11" x14ac:dyDescent="0.25">
      <c r="B575" s="44"/>
      <c r="C575" s="45"/>
      <c r="D575" s="71" t="s">
        <v>666</v>
      </c>
      <c r="E575" s="49"/>
      <c r="F575" s="2"/>
      <c r="G575" s="59"/>
      <c r="H575" s="60"/>
      <c r="I575" s="59"/>
      <c r="J575" s="56"/>
    </row>
    <row r="576" spans="2:11" x14ac:dyDescent="0.25">
      <c r="B576" s="37">
        <v>35558</v>
      </c>
      <c r="C576" s="51">
        <v>35972</v>
      </c>
      <c r="D576" s="22"/>
      <c r="E576" s="56"/>
      <c r="F576" s="40"/>
      <c r="G576" s="42"/>
      <c r="H576" s="58"/>
      <c r="I576" s="40"/>
      <c r="J576" s="40"/>
    </row>
    <row r="577" spans="2:11" x14ac:dyDescent="0.25">
      <c r="B577" s="44" t="s">
        <v>611</v>
      </c>
      <c r="C577" s="45">
        <v>37330</v>
      </c>
      <c r="D577" s="22" t="s">
        <v>757</v>
      </c>
      <c r="E577" s="56">
        <f>J538</f>
        <v>0</v>
      </c>
      <c r="F577" s="47">
        <f>'LONG-TERM DEBT'!AB$63+'LONG-TERM DEBT'!AB$103</f>
        <v>32900</v>
      </c>
      <c r="G577" s="49">
        <f>'LONG-TERM DEBT'!AF$63+'LONG-TERM DEBT'!AF$103</f>
        <v>0</v>
      </c>
      <c r="H577" s="63" t="s">
        <v>758</v>
      </c>
      <c r="I577" s="47">
        <v>0</v>
      </c>
      <c r="J577" s="597">
        <f>G577-I577</f>
        <v>0</v>
      </c>
      <c r="K577" s="6">
        <v>-30503.360000000001</v>
      </c>
    </row>
    <row r="578" spans="2:11" x14ac:dyDescent="0.25">
      <c r="B578" s="37" t="s">
        <v>438</v>
      </c>
      <c r="C578" s="64"/>
      <c r="D578" s="698"/>
      <c r="E578" s="53"/>
      <c r="F578" s="3"/>
      <c r="G578" s="3"/>
      <c r="I578" s="3"/>
      <c r="J578" s="3"/>
    </row>
    <row r="579" spans="2:11" x14ac:dyDescent="0.25">
      <c r="B579" s="44" t="s">
        <v>370</v>
      </c>
      <c r="C579" s="66">
        <v>37330</v>
      </c>
      <c r="D579" s="477" t="s">
        <v>757</v>
      </c>
      <c r="E579" s="56">
        <f>J540</f>
        <v>0</v>
      </c>
      <c r="F579" s="47">
        <f>'LONG-TERM DEBT'!AB$65+'LONG-TERM DEBT'!AB$105</f>
        <v>176400</v>
      </c>
      <c r="G579" s="47">
        <f>'LONG-TERM DEBT'!AF$65+'LONG-TERM DEBT'!AF$105</f>
        <v>0</v>
      </c>
      <c r="H579" s="48" t="s">
        <v>758</v>
      </c>
      <c r="I579" s="47">
        <v>0</v>
      </c>
      <c r="J579" s="597">
        <f>G579-I579</f>
        <v>0</v>
      </c>
      <c r="K579" s="6">
        <v>-168073.97</v>
      </c>
    </row>
    <row r="580" spans="2:11" x14ac:dyDescent="0.25">
      <c r="B580" s="398">
        <v>37012</v>
      </c>
      <c r="C580" s="399"/>
      <c r="D580" s="698"/>
      <c r="E580" s="42"/>
      <c r="F580" s="40"/>
      <c r="G580" s="40"/>
      <c r="H580" s="41"/>
      <c r="I580" s="40"/>
      <c r="J580" s="42"/>
    </row>
    <row r="581" spans="2:11" x14ac:dyDescent="0.25">
      <c r="B581" s="44" t="s">
        <v>557</v>
      </c>
      <c r="C581" s="400">
        <v>37330</v>
      </c>
      <c r="D581" s="477" t="s">
        <v>757</v>
      </c>
      <c r="E581" s="49">
        <f>J539</f>
        <v>0</v>
      </c>
      <c r="F581" s="47">
        <f>'LONG-TERM DEBT'!AB$66+'LONG-TERM DEBT'!AB$106</f>
        <v>10400</v>
      </c>
      <c r="G581" s="47">
        <f>'LONG-TERM DEBT'!AE$66+'LONG-TERM DEBT'!AE$106</f>
        <v>0</v>
      </c>
      <c r="H581" s="48"/>
      <c r="I581" s="47"/>
      <c r="J581" s="597">
        <f>G581-I581</f>
        <v>0</v>
      </c>
    </row>
    <row r="582" spans="2:11" x14ac:dyDescent="0.25">
      <c r="B582" s="37">
        <v>35922</v>
      </c>
      <c r="C582" s="51"/>
      <c r="D582" s="22"/>
      <c r="E582" s="56"/>
      <c r="F582" s="59"/>
      <c r="G582" s="59"/>
      <c r="H582" s="62"/>
      <c r="I582" s="59"/>
      <c r="J582" s="56"/>
    </row>
    <row r="583" spans="2:11" x14ac:dyDescent="0.25">
      <c r="B583" s="37" t="s">
        <v>591</v>
      </c>
      <c r="C583" s="51">
        <v>36951</v>
      </c>
      <c r="D583" s="22" t="s">
        <v>757</v>
      </c>
      <c r="E583" s="56">
        <f>J541</f>
        <v>0</v>
      </c>
      <c r="F583" s="59">
        <f>'LONG-TERM DEBT'!AB$58+'LONG-TERM DEBT'!AB$98</f>
        <v>87510</v>
      </c>
      <c r="G583" s="59">
        <f>'LONG-TERM DEBT'!AE$58+'LONG-TERM DEBT'!AE$98</f>
        <v>0</v>
      </c>
      <c r="H583" s="62" t="s">
        <v>607</v>
      </c>
      <c r="I583" s="59">
        <v>179.72</v>
      </c>
      <c r="J583" s="379"/>
    </row>
    <row r="584" spans="2:11" x14ac:dyDescent="0.25">
      <c r="B584" s="44" t="s">
        <v>618</v>
      </c>
      <c r="C584" s="45">
        <v>40558</v>
      </c>
      <c r="D584" s="71" t="s">
        <v>757</v>
      </c>
      <c r="E584" s="56"/>
      <c r="F584" s="59"/>
      <c r="G584" s="59"/>
      <c r="H584" s="62" t="s">
        <v>620</v>
      </c>
      <c r="I584" s="59"/>
      <c r="J584" s="554"/>
    </row>
    <row r="585" spans="2:11" x14ac:dyDescent="0.25">
      <c r="B585" s="69">
        <v>36426</v>
      </c>
      <c r="C585" s="38">
        <v>36651</v>
      </c>
      <c r="D585" s="70"/>
      <c r="E585" s="42"/>
      <c r="F585" s="40"/>
      <c r="G585" s="40"/>
      <c r="H585" s="41"/>
      <c r="I585" s="40"/>
      <c r="J585" s="40"/>
    </row>
    <row r="586" spans="2:11" x14ac:dyDescent="0.25">
      <c r="B586" s="52" t="s">
        <v>593</v>
      </c>
      <c r="C586" s="51">
        <v>36951</v>
      </c>
      <c r="D586" s="22" t="s">
        <v>757</v>
      </c>
      <c r="E586" s="56">
        <f>J544</f>
        <v>0</v>
      </c>
      <c r="F586" s="59">
        <f>'LONG-TERM DEBT'!AB$56+'LONG-TERM DEBT'!AB$96+9000+1931.25</f>
        <v>106331.25</v>
      </c>
      <c r="G586" s="59">
        <f>'LONG-TERM DEBT'!AE$56+'LONG-TERM DEBT'!AE$96</f>
        <v>0</v>
      </c>
      <c r="H586" s="62" t="s">
        <v>201</v>
      </c>
      <c r="I586" s="59"/>
      <c r="J586" s="379">
        <f>G586-(I586+I587)</f>
        <v>0</v>
      </c>
    </row>
    <row r="587" spans="2:11" x14ac:dyDescent="0.25">
      <c r="B587" s="46" t="s">
        <v>618</v>
      </c>
      <c r="C587" s="45">
        <v>40558</v>
      </c>
      <c r="D587" s="71" t="s">
        <v>757</v>
      </c>
      <c r="E587" s="49"/>
      <c r="F587" s="47"/>
      <c r="G587" s="47"/>
      <c r="H587" s="48" t="s">
        <v>620</v>
      </c>
      <c r="I587" s="47"/>
      <c r="J587" s="545"/>
    </row>
    <row r="588" spans="2:11" x14ac:dyDescent="0.25">
      <c r="B588" s="50">
        <v>36650</v>
      </c>
      <c r="C588" s="51">
        <v>36791</v>
      </c>
      <c r="D588" s="22"/>
      <c r="E588" s="56"/>
      <c r="F588" s="59"/>
      <c r="G588" s="59"/>
      <c r="H588" s="62"/>
      <c r="I588" s="59"/>
      <c r="J588" s="59"/>
    </row>
    <row r="589" spans="2:11" x14ac:dyDescent="0.25">
      <c r="B589" s="3" t="s">
        <v>464</v>
      </c>
      <c r="C589" s="51">
        <v>36951</v>
      </c>
      <c r="D589" s="22" t="s">
        <v>757</v>
      </c>
      <c r="E589" s="56">
        <f>J547</f>
        <v>0</v>
      </c>
      <c r="F589" s="3"/>
      <c r="G589" s="5"/>
      <c r="H589" s="36"/>
      <c r="I589" s="3"/>
      <c r="J589" s="5"/>
    </row>
    <row r="590" spans="2:11" x14ac:dyDescent="0.25">
      <c r="B590" s="2" t="s">
        <v>618</v>
      </c>
      <c r="C590" s="45">
        <v>40558</v>
      </c>
      <c r="D590" s="71" t="s">
        <v>757</v>
      </c>
      <c r="E590" s="56"/>
      <c r="F590" s="47"/>
      <c r="G590" s="47"/>
      <c r="H590" s="48" t="s">
        <v>620</v>
      </c>
      <c r="I590" s="47"/>
      <c r="J590" s="545"/>
    </row>
    <row r="591" spans="2:11" x14ac:dyDescent="0.25">
      <c r="B591" s="50">
        <v>39205</v>
      </c>
      <c r="C591" s="51">
        <v>39835</v>
      </c>
      <c r="D591" s="22" t="s">
        <v>666</v>
      </c>
      <c r="E591" s="56"/>
      <c r="F591" s="59"/>
      <c r="G591" s="59"/>
      <c r="H591" s="62"/>
      <c r="I591" s="59"/>
      <c r="J591" s="554"/>
    </row>
    <row r="592" spans="2:11" x14ac:dyDescent="0.25">
      <c r="B592" s="3" t="s">
        <v>60</v>
      </c>
      <c r="C592" s="51">
        <v>40564</v>
      </c>
      <c r="D592" s="22" t="s">
        <v>757</v>
      </c>
      <c r="E592" s="379"/>
      <c r="F592" s="3"/>
      <c r="G592" s="59"/>
      <c r="H592" s="62"/>
      <c r="I592" s="59"/>
      <c r="J592" s="5"/>
    </row>
    <row r="593" spans="2:10" x14ac:dyDescent="0.25">
      <c r="B593" s="2" t="s">
        <v>618</v>
      </c>
      <c r="C593" s="45">
        <v>40558</v>
      </c>
      <c r="D593" s="71" t="s">
        <v>757</v>
      </c>
      <c r="E593" s="49">
        <f>J554</f>
        <v>0</v>
      </c>
      <c r="F593" s="47">
        <f>'LONG-TERM DEBT'!AA$61+'LONG-TERM DEBT'!AA$101</f>
        <v>44680</v>
      </c>
      <c r="G593" s="49">
        <f>'LONG-TERM DEBT'!AE$61+'LONG-TERM DEBT'!AE$101</f>
        <v>0</v>
      </c>
      <c r="H593" s="48" t="s">
        <v>620</v>
      </c>
      <c r="I593" s="47">
        <f>572.74-1.46</f>
        <v>571.28</v>
      </c>
      <c r="J593" s="595">
        <f>SUM(G593-I593)*0</f>
        <v>0</v>
      </c>
    </row>
    <row r="594" spans="2:10" x14ac:dyDescent="0.25">
      <c r="B594" s="50" t="s">
        <v>914</v>
      </c>
      <c r="C594" s="51"/>
      <c r="D594" s="52"/>
      <c r="E594" s="56"/>
      <c r="F594" s="59"/>
      <c r="G594" s="59"/>
      <c r="H594" s="62"/>
      <c r="I594" s="40"/>
      <c r="J594" s="554"/>
    </row>
    <row r="595" spans="2:10" x14ac:dyDescent="0.25">
      <c r="B595" s="3" t="s">
        <v>1015</v>
      </c>
      <c r="C595" s="51">
        <v>43019</v>
      </c>
      <c r="D595" s="52" t="s">
        <v>757</v>
      </c>
      <c r="E595" s="379"/>
      <c r="F595" s="5"/>
      <c r="G595" s="59">
        <f>SUM('LONG-TERM DEBT'!AF$78) + SUM('LONG-TERM DEBT'!AF$117)</f>
        <v>86918.760000000009</v>
      </c>
      <c r="H595" s="62"/>
      <c r="I595" s="59">
        <v>0</v>
      </c>
      <c r="J595" s="601">
        <f>SUM(G595-I595)</f>
        <v>86918.760000000009</v>
      </c>
    </row>
    <row r="596" spans="2:10" x14ac:dyDescent="0.25">
      <c r="B596" s="2"/>
      <c r="C596" s="45"/>
      <c r="D596" s="46"/>
      <c r="E596" s="699"/>
      <c r="F596" s="592"/>
      <c r="G596" s="47"/>
      <c r="H596" s="48"/>
      <c r="I596" s="47"/>
      <c r="J596" s="595"/>
    </row>
    <row r="597" spans="2:10" x14ac:dyDescent="0.25">
      <c r="B597" s="3" t="s">
        <v>993</v>
      </c>
      <c r="C597" s="51"/>
      <c r="D597" s="52"/>
      <c r="E597" s="379"/>
      <c r="F597" s="5"/>
      <c r="G597" s="59"/>
      <c r="H597" s="62"/>
      <c r="I597" s="59"/>
      <c r="J597" s="601"/>
    </row>
    <row r="598" spans="2:10" x14ac:dyDescent="0.25">
      <c r="B598" s="1507" t="s">
        <v>908</v>
      </c>
      <c r="C598" s="51"/>
      <c r="D598" s="52" t="s">
        <v>666</v>
      </c>
      <c r="E598" s="379"/>
      <c r="F598" s="5"/>
      <c r="G598" s="59">
        <f>'LONG-TERM DEBT'!AF$80+'LONG-TERM DEBT'!AF$120</f>
        <v>354437.5</v>
      </c>
      <c r="H598" s="62"/>
      <c r="I598" s="59"/>
      <c r="J598" s="601">
        <f>SUM(G598-I598)</f>
        <v>354437.5</v>
      </c>
    </row>
    <row r="599" spans="2:10" x14ac:dyDescent="0.25">
      <c r="B599" s="1507" t="s">
        <v>909</v>
      </c>
      <c r="C599" s="51"/>
      <c r="D599" s="52" t="s">
        <v>666</v>
      </c>
      <c r="E599" s="379"/>
      <c r="F599" s="5"/>
      <c r="G599" s="59">
        <f>'LONG-TERM DEBT'!AF$81+'LONG-TERM DEBT'!AF$121</f>
        <v>268275</v>
      </c>
      <c r="H599" s="62"/>
      <c r="I599" s="59"/>
      <c r="J599" s="601">
        <f>SUM(G599-I599)</f>
        <v>268275</v>
      </c>
    </row>
    <row r="600" spans="2:10" x14ac:dyDescent="0.25">
      <c r="B600" s="1507"/>
      <c r="C600" s="51"/>
      <c r="D600" s="52"/>
      <c r="E600" s="379"/>
      <c r="F600" s="5"/>
      <c r="G600" s="59"/>
      <c r="H600" s="62"/>
      <c r="I600" s="59"/>
      <c r="J600" s="601"/>
    </row>
    <row r="601" spans="2:10" x14ac:dyDescent="0.25">
      <c r="B601" s="1508" t="s">
        <v>1014</v>
      </c>
      <c r="C601" s="38"/>
      <c r="D601" s="39"/>
      <c r="E601" s="1509"/>
      <c r="F601" s="53"/>
      <c r="G601" s="40"/>
      <c r="H601" s="41"/>
      <c r="I601" s="40"/>
      <c r="J601" s="1510"/>
    </row>
    <row r="602" spans="2:10" x14ac:dyDescent="0.25">
      <c r="B602" s="1507" t="s">
        <v>908</v>
      </c>
      <c r="C602" s="51"/>
      <c r="D602" s="52"/>
      <c r="E602" s="379"/>
      <c r="F602" s="5"/>
      <c r="G602" s="59">
        <f>'LONG-TERM DEBT'!AF$84+'LONG-TERM DEBT'!AF$124</f>
        <v>121769</v>
      </c>
      <c r="H602" s="62"/>
      <c r="I602" s="59"/>
      <c r="J602" s="2070">
        <v>122769</v>
      </c>
    </row>
    <row r="603" spans="2:10" x14ac:dyDescent="0.25">
      <c r="B603" s="1507" t="s">
        <v>909</v>
      </c>
      <c r="C603" s="51"/>
      <c r="D603" s="52"/>
      <c r="E603" s="379"/>
      <c r="F603" s="5"/>
      <c r="G603" s="59">
        <f>'LONG-TERM DEBT'!AF$85+'LONG-TERM DEBT'!AF$125</f>
        <v>116737.5</v>
      </c>
      <c r="H603" s="62"/>
      <c r="I603" s="59"/>
      <c r="J603" s="601">
        <f>SUM(G603-I603)</f>
        <v>116737.5</v>
      </c>
    </row>
    <row r="604" spans="2:10" x14ac:dyDescent="0.25">
      <c r="B604" s="1507"/>
      <c r="C604" s="51"/>
      <c r="D604" s="52"/>
      <c r="E604" s="379"/>
      <c r="F604" s="5"/>
      <c r="G604" s="59"/>
      <c r="H604" s="62"/>
      <c r="I604" s="59"/>
      <c r="J604" s="601"/>
    </row>
    <row r="605" spans="2:10" x14ac:dyDescent="0.25">
      <c r="B605" s="1508" t="s">
        <v>963</v>
      </c>
      <c r="C605" s="38"/>
      <c r="D605" s="39"/>
      <c r="E605" s="1509"/>
      <c r="F605" s="53"/>
      <c r="G605" s="40"/>
      <c r="H605" s="41"/>
      <c r="I605" s="40"/>
      <c r="J605" s="1510"/>
    </row>
    <row r="606" spans="2:10" x14ac:dyDescent="0.25">
      <c r="B606" s="1507"/>
      <c r="C606" s="51"/>
      <c r="D606" s="52"/>
      <c r="E606" s="379"/>
      <c r="F606" s="5"/>
      <c r="G606" s="59">
        <f>'LONG-TERM DEBT'!AD294</f>
        <v>0</v>
      </c>
      <c r="H606" s="62"/>
      <c r="I606" s="59"/>
      <c r="J606" s="601"/>
    </row>
    <row r="607" spans="2:10" x14ac:dyDescent="0.25">
      <c r="B607" s="1507"/>
      <c r="C607" s="51"/>
      <c r="D607" s="52"/>
      <c r="E607" s="379"/>
      <c r="F607" s="5"/>
      <c r="G607" s="59"/>
      <c r="H607" s="62"/>
      <c r="I607" s="59"/>
      <c r="J607" s="601"/>
    </row>
    <row r="608" spans="2:10" x14ac:dyDescent="0.25">
      <c r="B608" s="1507"/>
      <c r="C608" s="51"/>
      <c r="D608" s="52"/>
      <c r="E608" s="379"/>
      <c r="F608" s="5"/>
      <c r="G608" s="59"/>
      <c r="H608" s="62"/>
      <c r="I608" s="59"/>
      <c r="J608" s="601"/>
    </row>
    <row r="609" spans="2:14" x14ac:dyDescent="0.25">
      <c r="B609" s="2"/>
      <c r="C609" s="45"/>
      <c r="D609" s="46"/>
      <c r="E609" s="49"/>
      <c r="F609" s="49"/>
      <c r="G609" s="49"/>
      <c r="H609" s="48"/>
      <c r="I609" s="47"/>
      <c r="J609" s="595"/>
    </row>
    <row r="610" spans="2:14" x14ac:dyDescent="0.25">
      <c r="B610" s="470" t="s">
        <v>596</v>
      </c>
      <c r="C610" s="471"/>
      <c r="D610" s="471"/>
      <c r="E610" s="473">
        <f>SUM(E573:E593)</f>
        <v>0</v>
      </c>
      <c r="F610" s="473">
        <f>SUM(F573:F593)</f>
        <v>1093687.72</v>
      </c>
      <c r="G610" s="473">
        <f>SUM(G573:G609)</f>
        <v>1176846.135</v>
      </c>
      <c r="H610" s="474"/>
      <c r="I610" s="474">
        <f>SUM(I573:I593)</f>
        <v>751</v>
      </c>
      <c r="J610" s="472">
        <f>SUM(J574:J608)</f>
        <v>805250.76</v>
      </c>
      <c r="K610" s="6">
        <f>J610-J574</f>
        <v>949137.76</v>
      </c>
      <c r="M610" s="1">
        <v>802138</v>
      </c>
      <c r="N610" s="6">
        <f>M610-J610</f>
        <v>-3112.7600000000093</v>
      </c>
    </row>
    <row r="611" spans="2:14" x14ac:dyDescent="0.25">
      <c r="C611" s="1"/>
    </row>
    <row r="612" spans="2:14" x14ac:dyDescent="0.25">
      <c r="C612" s="1"/>
    </row>
    <row r="613" spans="2:14" x14ac:dyDescent="0.25">
      <c r="B613" s="31"/>
      <c r="C613" s="31"/>
      <c r="D613" s="610"/>
      <c r="E613" s="31" t="s">
        <v>1080</v>
      </c>
      <c r="F613" s="31" t="s">
        <v>1081</v>
      </c>
      <c r="G613" s="31" t="s">
        <v>1082</v>
      </c>
      <c r="H613" s="31"/>
      <c r="I613" s="31" t="s">
        <v>616</v>
      </c>
      <c r="J613" s="31" t="s">
        <v>1083</v>
      </c>
    </row>
    <row r="614" spans="2:14" x14ac:dyDescent="0.25">
      <c r="B614" s="33" t="s">
        <v>691</v>
      </c>
      <c r="C614" s="33" t="s">
        <v>692</v>
      </c>
      <c r="D614" s="33" t="s">
        <v>693</v>
      </c>
      <c r="E614" s="33" t="s">
        <v>694</v>
      </c>
      <c r="F614" s="33" t="s">
        <v>695</v>
      </c>
      <c r="G614" s="33" t="s">
        <v>696</v>
      </c>
      <c r="H614" s="33" t="s">
        <v>160</v>
      </c>
      <c r="I614" s="33" t="s">
        <v>697</v>
      </c>
      <c r="J614" s="33" t="s">
        <v>698</v>
      </c>
    </row>
    <row r="615" spans="2:14" x14ac:dyDescent="0.25">
      <c r="B615" s="33"/>
      <c r="C615" s="33" t="s">
        <v>567</v>
      </c>
      <c r="D615" s="33"/>
      <c r="E615" s="33"/>
      <c r="F615" s="33"/>
      <c r="G615" s="33"/>
      <c r="H615" s="33"/>
      <c r="I615" s="33"/>
      <c r="J615" s="33"/>
    </row>
    <row r="616" spans="2:14" x14ac:dyDescent="0.25">
      <c r="B616" s="33" t="s">
        <v>850</v>
      </c>
      <c r="C616" s="33" t="s">
        <v>851</v>
      </c>
      <c r="D616" s="33" t="s">
        <v>720</v>
      </c>
      <c r="E616" s="33" t="s">
        <v>1008</v>
      </c>
      <c r="F616" s="33" t="s">
        <v>1046</v>
      </c>
      <c r="G616" s="33" t="s">
        <v>1045</v>
      </c>
      <c r="H616" s="33"/>
      <c r="I616" s="33"/>
      <c r="J616" s="33" t="s">
        <v>1087</v>
      </c>
    </row>
    <row r="617" spans="2:14" x14ac:dyDescent="0.25">
      <c r="B617" s="33" t="s">
        <v>821</v>
      </c>
      <c r="C617" s="33" t="s">
        <v>822</v>
      </c>
      <c r="D617" s="33" t="s">
        <v>823</v>
      </c>
      <c r="E617" s="33" t="s">
        <v>841</v>
      </c>
      <c r="F617" s="33" t="s">
        <v>842</v>
      </c>
      <c r="G617" s="33" t="s">
        <v>842</v>
      </c>
      <c r="H617" s="33" t="s">
        <v>843</v>
      </c>
      <c r="I617" s="33" t="s">
        <v>844</v>
      </c>
      <c r="J617" s="33" t="s">
        <v>784</v>
      </c>
    </row>
    <row r="618" spans="2:14" x14ac:dyDescent="0.25">
      <c r="B618" s="611" t="s">
        <v>785</v>
      </c>
      <c r="C618" s="1506" t="s">
        <v>786</v>
      </c>
      <c r="D618" s="611" t="s">
        <v>846</v>
      </c>
      <c r="E618" s="611" t="s">
        <v>842</v>
      </c>
      <c r="F618" s="611" t="s">
        <v>847</v>
      </c>
      <c r="G618" s="611" t="s">
        <v>847</v>
      </c>
      <c r="H618" s="611" t="s">
        <v>848</v>
      </c>
      <c r="I618" s="611" t="s">
        <v>816</v>
      </c>
      <c r="J618" s="611" t="s">
        <v>842</v>
      </c>
    </row>
    <row r="619" spans="2:14" x14ac:dyDescent="0.25">
      <c r="B619" s="424"/>
      <c r="C619" s="425"/>
      <c r="D619" s="425"/>
      <c r="E619" s="425"/>
      <c r="F619" s="425"/>
      <c r="G619" s="426" t="s">
        <v>1012</v>
      </c>
      <c r="H619" s="425"/>
      <c r="I619" s="425"/>
      <c r="J619" s="427"/>
    </row>
    <row r="620" spans="2:14" x14ac:dyDescent="0.25">
      <c r="B620" s="37">
        <v>35558</v>
      </c>
      <c r="C620" s="51">
        <v>35993</v>
      </c>
      <c r="D620" s="697" t="s">
        <v>666</v>
      </c>
      <c r="E620" s="56"/>
      <c r="F620" s="59"/>
      <c r="G620" s="57"/>
      <c r="H620" s="60" t="s">
        <v>667</v>
      </c>
      <c r="I620" s="59"/>
      <c r="J620" s="56"/>
    </row>
    <row r="621" spans="2:14" x14ac:dyDescent="0.25">
      <c r="B621" s="37" t="s">
        <v>739</v>
      </c>
      <c r="C621" s="51"/>
      <c r="D621" s="22" t="s">
        <v>757</v>
      </c>
      <c r="E621" s="56">
        <f>J582</f>
        <v>0</v>
      </c>
      <c r="F621" s="62">
        <v>635466.47</v>
      </c>
      <c r="G621" s="60">
        <f>'LONG-TERM DEBT'!AG$172+BUDGET!AN524*0</f>
        <v>0</v>
      </c>
      <c r="H621" s="60"/>
      <c r="I621" s="593">
        <v>0</v>
      </c>
      <c r="J621" s="56"/>
    </row>
    <row r="622" spans="2:14" x14ac:dyDescent="0.25">
      <c r="B622" s="44"/>
      <c r="C622" s="45"/>
      <c r="D622" s="71" t="s">
        <v>666</v>
      </c>
      <c r="E622" s="49"/>
      <c r="F622" s="2"/>
      <c r="G622" s="59"/>
      <c r="H622" s="60"/>
      <c r="I622" s="59"/>
      <c r="J622" s="56"/>
    </row>
    <row r="623" spans="2:14" x14ac:dyDescent="0.25">
      <c r="B623" s="37">
        <v>35558</v>
      </c>
      <c r="C623" s="51">
        <v>35972</v>
      </c>
      <c r="D623" s="22"/>
      <c r="E623" s="56"/>
      <c r="F623" s="40"/>
      <c r="G623" s="42"/>
      <c r="H623" s="58"/>
      <c r="I623" s="40"/>
      <c r="J623" s="40"/>
    </row>
    <row r="624" spans="2:14" x14ac:dyDescent="0.25">
      <c r="B624" s="44" t="s">
        <v>611</v>
      </c>
      <c r="C624" s="45">
        <v>37330</v>
      </c>
      <c r="D624" s="22" t="s">
        <v>757</v>
      </c>
      <c r="E624" s="56">
        <f>J585</f>
        <v>0</v>
      </c>
      <c r="F624" s="47">
        <f>'LONG-TERM DEBT'!AB$63+'LONG-TERM DEBT'!AB$103</f>
        <v>32900</v>
      </c>
      <c r="G624" s="49">
        <f>'LONG-TERM DEBT'!AF$63+'LONG-TERM DEBT'!AF$103</f>
        <v>0</v>
      </c>
      <c r="H624" s="63" t="s">
        <v>758</v>
      </c>
      <c r="I624" s="47">
        <v>0</v>
      </c>
      <c r="J624" s="597">
        <f>G624-I624</f>
        <v>0</v>
      </c>
    </row>
    <row r="625" spans="2:10" x14ac:dyDescent="0.25">
      <c r="B625" s="37" t="s">
        <v>438</v>
      </c>
      <c r="C625" s="64"/>
      <c r="D625" s="698"/>
      <c r="E625" s="53"/>
      <c r="F625" s="3"/>
      <c r="G625" s="3"/>
      <c r="I625" s="3"/>
      <c r="J625" s="3"/>
    </row>
    <row r="626" spans="2:10" x14ac:dyDescent="0.25">
      <c r="B626" s="44" t="s">
        <v>370</v>
      </c>
      <c r="C626" s="66">
        <v>37330</v>
      </c>
      <c r="D626" s="477" t="s">
        <v>757</v>
      </c>
      <c r="E626" s="56">
        <f>J587</f>
        <v>0</v>
      </c>
      <c r="F626" s="47">
        <f>'LONG-TERM DEBT'!AB$65+'LONG-TERM DEBT'!AB$105</f>
        <v>176400</v>
      </c>
      <c r="G626" s="47">
        <f>'LONG-TERM DEBT'!AF$65+'LONG-TERM DEBT'!AF$105</f>
        <v>0</v>
      </c>
      <c r="H626" s="48" t="s">
        <v>758</v>
      </c>
      <c r="I626" s="47">
        <v>0</v>
      </c>
      <c r="J626" s="597">
        <f>G626-I626</f>
        <v>0</v>
      </c>
    </row>
    <row r="627" spans="2:10" x14ac:dyDescent="0.25">
      <c r="B627" s="398">
        <v>37012</v>
      </c>
      <c r="C627" s="399"/>
      <c r="D627" s="698"/>
      <c r="E627" s="42"/>
      <c r="F627" s="40"/>
      <c r="G627" s="40"/>
      <c r="H627" s="41"/>
      <c r="I627" s="40"/>
      <c r="J627" s="42"/>
    </row>
    <row r="628" spans="2:10" x14ac:dyDescent="0.25">
      <c r="B628" s="44" t="s">
        <v>557</v>
      </c>
      <c r="C628" s="400">
        <v>37330</v>
      </c>
      <c r="D628" s="477" t="s">
        <v>757</v>
      </c>
      <c r="E628" s="49">
        <f>J586</f>
        <v>0</v>
      </c>
      <c r="F628" s="47">
        <f>'LONG-TERM DEBT'!AB$66+'LONG-TERM DEBT'!AB$106</f>
        <v>10400</v>
      </c>
      <c r="G628" s="47">
        <f>'LONG-TERM DEBT'!AE$66+'LONG-TERM DEBT'!AE$106</f>
        <v>0</v>
      </c>
      <c r="H628" s="48"/>
      <c r="I628" s="47"/>
      <c r="J628" s="597">
        <f>G628-I628</f>
        <v>0</v>
      </c>
    </row>
    <row r="629" spans="2:10" x14ac:dyDescent="0.25">
      <c r="B629" s="37">
        <v>35922</v>
      </c>
      <c r="C629" s="51"/>
      <c r="D629" s="22"/>
      <c r="E629" s="56"/>
      <c r="F629" s="59"/>
      <c r="G629" s="59"/>
      <c r="H629" s="62"/>
      <c r="I629" s="59"/>
      <c r="J629" s="56"/>
    </row>
    <row r="630" spans="2:10" x14ac:dyDescent="0.25">
      <c r="B630" s="37" t="s">
        <v>591</v>
      </c>
      <c r="C630" s="51">
        <v>36951</v>
      </c>
      <c r="D630" s="22" t="s">
        <v>757</v>
      </c>
      <c r="E630" s="56">
        <f>J588</f>
        <v>0</v>
      </c>
      <c r="F630" s="59">
        <f>'LONG-TERM DEBT'!AB$58+'LONG-TERM DEBT'!AB$98</f>
        <v>87510</v>
      </c>
      <c r="G630" s="59">
        <f>'LONG-TERM DEBT'!AE$58+'LONG-TERM DEBT'!AE$98</f>
        <v>0</v>
      </c>
      <c r="H630" s="62" t="s">
        <v>607</v>
      </c>
      <c r="I630" s="59"/>
      <c r="J630" s="379"/>
    </row>
    <row r="631" spans="2:10" x14ac:dyDescent="0.25">
      <c r="B631" s="44" t="s">
        <v>618</v>
      </c>
      <c r="C631" s="45">
        <v>40558</v>
      </c>
      <c r="D631" s="71" t="s">
        <v>757</v>
      </c>
      <c r="E631" s="56"/>
      <c r="F631" s="59"/>
      <c r="G631" s="59"/>
      <c r="H631" s="62" t="s">
        <v>620</v>
      </c>
      <c r="I631" s="59"/>
      <c r="J631" s="554"/>
    </row>
    <row r="632" spans="2:10" x14ac:dyDescent="0.25">
      <c r="B632" s="69">
        <v>36426</v>
      </c>
      <c r="C632" s="38">
        <v>36651</v>
      </c>
      <c r="D632" s="70"/>
      <c r="E632" s="42"/>
      <c r="F632" s="40"/>
      <c r="G632" s="40"/>
      <c r="H632" s="41"/>
      <c r="I632" s="40"/>
      <c r="J632" s="40"/>
    </row>
    <row r="633" spans="2:10" x14ac:dyDescent="0.25">
      <c r="B633" s="52" t="s">
        <v>593</v>
      </c>
      <c r="C633" s="51">
        <v>36951</v>
      </c>
      <c r="D633" s="22" t="s">
        <v>757</v>
      </c>
      <c r="E633" s="56">
        <f>J591</f>
        <v>0</v>
      </c>
      <c r="F633" s="59">
        <f>'LONG-TERM DEBT'!AB$56+'LONG-TERM DEBT'!AB$96+9000+1931.25</f>
        <v>106331.25</v>
      </c>
      <c r="G633" s="59">
        <f>'LONG-TERM DEBT'!AE$56+'LONG-TERM DEBT'!AE$96</f>
        <v>0</v>
      </c>
      <c r="H633" s="62" t="s">
        <v>201</v>
      </c>
      <c r="I633" s="59"/>
      <c r="J633" s="379">
        <f>G633-(I633+I634)</f>
        <v>0</v>
      </c>
    </row>
    <row r="634" spans="2:10" x14ac:dyDescent="0.25">
      <c r="B634" s="46" t="s">
        <v>618</v>
      </c>
      <c r="C634" s="45">
        <v>40558</v>
      </c>
      <c r="D634" s="71" t="s">
        <v>757</v>
      </c>
      <c r="E634" s="49"/>
      <c r="F634" s="47"/>
      <c r="G634" s="47"/>
      <c r="H634" s="48" t="s">
        <v>620</v>
      </c>
      <c r="I634" s="47"/>
      <c r="J634" s="545"/>
    </row>
    <row r="635" spans="2:10" x14ac:dyDescent="0.25">
      <c r="B635" s="50">
        <v>36650</v>
      </c>
      <c r="C635" s="51">
        <v>36791</v>
      </c>
      <c r="D635" s="22"/>
      <c r="E635" s="56"/>
      <c r="F635" s="59"/>
      <c r="G635" s="59"/>
      <c r="H635" s="62"/>
      <c r="I635" s="59"/>
      <c r="J635" s="59"/>
    </row>
    <row r="636" spans="2:10" x14ac:dyDescent="0.25">
      <c r="B636" s="3" t="s">
        <v>464</v>
      </c>
      <c r="C636" s="51">
        <v>36951</v>
      </c>
      <c r="D636" s="22" t="s">
        <v>757</v>
      </c>
      <c r="E636" s="56">
        <f>J594</f>
        <v>0</v>
      </c>
      <c r="F636" s="3"/>
      <c r="G636" s="5"/>
      <c r="H636" s="36"/>
      <c r="I636" s="3"/>
      <c r="J636" s="5"/>
    </row>
    <row r="637" spans="2:10" x14ac:dyDescent="0.25">
      <c r="B637" s="2" t="s">
        <v>618</v>
      </c>
      <c r="C637" s="45">
        <v>40558</v>
      </c>
      <c r="D637" s="71" t="s">
        <v>757</v>
      </c>
      <c r="E637" s="56"/>
      <c r="F637" s="47"/>
      <c r="G637" s="47"/>
      <c r="H637" s="48" t="s">
        <v>620</v>
      </c>
      <c r="I637" s="47"/>
      <c r="J637" s="545"/>
    </row>
    <row r="638" spans="2:10" x14ac:dyDescent="0.25">
      <c r="B638" s="50">
        <v>39205</v>
      </c>
      <c r="C638" s="51">
        <v>39835</v>
      </c>
      <c r="D638" s="22" t="s">
        <v>666</v>
      </c>
      <c r="E638" s="56"/>
      <c r="F638" s="59"/>
      <c r="G638" s="59"/>
      <c r="H638" s="62"/>
      <c r="I638" s="59"/>
      <c r="J638" s="554"/>
    </row>
    <row r="639" spans="2:10" x14ac:dyDescent="0.25">
      <c r="B639" s="3" t="s">
        <v>60</v>
      </c>
      <c r="C639" s="51">
        <v>40564</v>
      </c>
      <c r="D639" s="22" t="s">
        <v>757</v>
      </c>
      <c r="E639" s="379"/>
      <c r="F639" s="3"/>
      <c r="G639" s="59"/>
      <c r="H639" s="62"/>
      <c r="I639" s="59"/>
      <c r="J639" s="5"/>
    </row>
    <row r="640" spans="2:10" x14ac:dyDescent="0.25">
      <c r="B640" s="2" t="s">
        <v>618</v>
      </c>
      <c r="C640" s="45">
        <v>40558</v>
      </c>
      <c r="D640" s="71" t="s">
        <v>757</v>
      </c>
      <c r="E640" s="49">
        <f>J601</f>
        <v>0</v>
      </c>
      <c r="F640" s="47">
        <f>'LONG-TERM DEBT'!AA$61+'LONG-TERM DEBT'!AA$101</f>
        <v>44680</v>
      </c>
      <c r="G640" s="49">
        <f>'LONG-TERM DEBT'!AE$61+'LONG-TERM DEBT'!AE$101</f>
        <v>0</v>
      </c>
      <c r="H640" s="48" t="s">
        <v>620</v>
      </c>
      <c r="I640" s="47"/>
      <c r="J640" s="595">
        <f>SUM(G640-I640)*0</f>
        <v>0</v>
      </c>
    </row>
    <row r="641" spans="2:10" x14ac:dyDescent="0.25">
      <c r="B641" s="50" t="s">
        <v>914</v>
      </c>
      <c r="C641" s="51"/>
      <c r="D641" s="52"/>
      <c r="E641" s="56"/>
      <c r="F641" s="59"/>
      <c r="G641" s="59"/>
      <c r="H641" s="62"/>
      <c r="I641" s="40"/>
      <c r="J641" s="554"/>
    </row>
    <row r="642" spans="2:10" x14ac:dyDescent="0.25">
      <c r="B642" s="3" t="s">
        <v>1015</v>
      </c>
      <c r="C642" s="51">
        <v>43019</v>
      </c>
      <c r="D642" s="52" t="s">
        <v>757</v>
      </c>
      <c r="E642" s="379"/>
      <c r="F642" s="5"/>
      <c r="G642" s="59">
        <f>SUM('LONG-TERM DEBT'!AG$78) + SUM('LONG-TERM DEBT'!AG$117)</f>
        <v>85118.760000000009</v>
      </c>
      <c r="H642" s="62"/>
      <c r="I642" s="59">
        <v>0</v>
      </c>
      <c r="J642" s="601">
        <f>SUM(G642-I642)</f>
        <v>85118.760000000009</v>
      </c>
    </row>
    <row r="643" spans="2:10" x14ac:dyDescent="0.25">
      <c r="B643" s="2"/>
      <c r="C643" s="45"/>
      <c r="D643" s="46"/>
      <c r="E643" s="699"/>
      <c r="F643" s="592"/>
      <c r="G643" s="47"/>
      <c r="H643" s="48"/>
      <c r="I643" s="47"/>
      <c r="J643" s="595"/>
    </row>
    <row r="644" spans="2:10" x14ac:dyDescent="0.25">
      <c r="B644" s="3" t="s">
        <v>993</v>
      </c>
      <c r="C644" s="51"/>
      <c r="D644" s="52"/>
      <c r="E644" s="379"/>
      <c r="F644" s="5"/>
      <c r="G644" s="59"/>
      <c r="H644" s="62"/>
      <c r="I644" s="59"/>
      <c r="J644" s="601"/>
    </row>
    <row r="645" spans="2:10" x14ac:dyDescent="0.25">
      <c r="B645" s="1507" t="s">
        <v>908</v>
      </c>
      <c r="C645" s="51"/>
      <c r="D645" s="52" t="s">
        <v>757</v>
      </c>
      <c r="E645" s="379"/>
      <c r="F645" s="5"/>
      <c r="G645" s="59">
        <f>'LONG-TERM DEBT'!AG$80+'LONG-TERM DEBT'!AG$120</f>
        <v>351687.5</v>
      </c>
      <c r="H645" s="62"/>
      <c r="I645" s="59"/>
      <c r="J645" s="601">
        <f>SUM(G645-I645)</f>
        <v>351687.5</v>
      </c>
    </row>
    <row r="646" spans="2:10" x14ac:dyDescent="0.25">
      <c r="B646" s="1507" t="s">
        <v>909</v>
      </c>
      <c r="C646" s="51"/>
      <c r="D646" s="52" t="s">
        <v>757</v>
      </c>
      <c r="E646" s="379"/>
      <c r="F646" s="5"/>
      <c r="G646" s="59">
        <f>'LONG-TERM DEBT'!AG$81+'LONG-TERM DEBT'!AG$121</f>
        <v>270775</v>
      </c>
      <c r="H646" s="62"/>
      <c r="I646" s="59"/>
      <c r="J646" s="601">
        <f>SUM(G646-I646)</f>
        <v>270775</v>
      </c>
    </row>
    <row r="647" spans="2:10" x14ac:dyDescent="0.25">
      <c r="B647" s="1507"/>
      <c r="C647" s="51"/>
      <c r="D647" s="52"/>
      <c r="E647" s="379"/>
      <c r="F647" s="5"/>
      <c r="G647" s="59"/>
      <c r="H647" s="62"/>
      <c r="I647" s="59"/>
      <c r="J647" s="601"/>
    </row>
    <row r="648" spans="2:10" x14ac:dyDescent="0.25">
      <c r="B648" s="1508" t="s">
        <v>1014</v>
      </c>
      <c r="C648" s="38"/>
      <c r="D648" s="39"/>
      <c r="E648" s="1509"/>
      <c r="F648" s="53"/>
      <c r="G648" s="40"/>
      <c r="H648" s="41"/>
      <c r="I648" s="40"/>
      <c r="J648" s="1510"/>
    </row>
    <row r="649" spans="2:10" x14ac:dyDescent="0.25">
      <c r="B649" s="1507" t="s">
        <v>908</v>
      </c>
      <c r="C649" s="51"/>
      <c r="D649" s="52"/>
      <c r="E649" s="379"/>
      <c r="F649" s="5"/>
      <c r="G649" s="59">
        <f>'LONG-TERM DEBT'!AG$84+'LONG-TERM DEBT'!AG$124</f>
        <v>123644</v>
      </c>
      <c r="H649" s="62"/>
      <c r="I649" s="59"/>
      <c r="J649" s="601">
        <f>SUM(G649-I649)</f>
        <v>123644</v>
      </c>
    </row>
    <row r="650" spans="2:10" x14ac:dyDescent="0.25">
      <c r="B650" s="1507" t="s">
        <v>909</v>
      </c>
      <c r="C650" s="51"/>
      <c r="D650" s="52"/>
      <c r="E650" s="379"/>
      <c r="F650" s="5"/>
      <c r="G650" s="59">
        <f>'LONG-TERM DEBT'!AG$85+'LONG-TERM DEBT'!AG$125</f>
        <v>118112.5</v>
      </c>
      <c r="H650" s="62"/>
      <c r="I650" s="59"/>
      <c r="J650" s="601">
        <f>SUM(G650-I650)</f>
        <v>118112.5</v>
      </c>
    </row>
    <row r="651" spans="2:10" x14ac:dyDescent="0.25">
      <c r="B651" s="1507"/>
      <c r="C651" s="51"/>
      <c r="D651" s="52"/>
      <c r="E651" s="379"/>
      <c r="F651" s="5"/>
      <c r="G651" s="59"/>
      <c r="H651" s="62"/>
      <c r="I651" s="59"/>
      <c r="J651" s="601"/>
    </row>
    <row r="652" spans="2:10" x14ac:dyDescent="0.25">
      <c r="B652" s="1508" t="s">
        <v>963</v>
      </c>
      <c r="C652" s="38"/>
      <c r="D652" s="39"/>
      <c r="E652" s="1509"/>
      <c r="F652" s="53"/>
      <c r="G652" s="40"/>
      <c r="H652" s="41"/>
      <c r="I652" s="40"/>
      <c r="J652" s="1510"/>
    </row>
    <row r="653" spans="2:10" x14ac:dyDescent="0.25">
      <c r="B653" s="1507"/>
      <c r="C653" s="51"/>
      <c r="D653" s="52"/>
      <c r="E653" s="379"/>
      <c r="F653" s="5"/>
      <c r="G653" s="59">
        <f>'LONG-TERM DEBT'!AD341</f>
        <v>0</v>
      </c>
      <c r="H653" s="62"/>
      <c r="I653" s="59"/>
      <c r="J653" s="601"/>
    </row>
    <row r="654" spans="2:10" x14ac:dyDescent="0.25">
      <c r="B654" s="1507"/>
      <c r="C654" s="51"/>
      <c r="D654" s="52"/>
      <c r="E654" s="379"/>
      <c r="F654" s="5"/>
      <c r="G654" s="59"/>
      <c r="H654" s="62"/>
      <c r="I654" s="59"/>
      <c r="J654" s="601"/>
    </row>
    <row r="655" spans="2:10" x14ac:dyDescent="0.25">
      <c r="B655" s="1507"/>
      <c r="C655" s="51"/>
      <c r="D655" s="52"/>
      <c r="E655" s="379"/>
      <c r="F655" s="5"/>
      <c r="G655" s="59"/>
      <c r="H655" s="62"/>
      <c r="I655" s="59"/>
      <c r="J655" s="601"/>
    </row>
    <row r="656" spans="2:10" x14ac:dyDescent="0.25">
      <c r="B656" s="2"/>
      <c r="C656" s="45"/>
      <c r="D656" s="46"/>
      <c r="E656" s="49"/>
      <c r="F656" s="49"/>
      <c r="G656" s="49"/>
      <c r="H656" s="48"/>
      <c r="I656" s="47"/>
      <c r="J656" s="595"/>
    </row>
    <row r="657" spans="2:10" x14ac:dyDescent="0.25">
      <c r="B657" s="470" t="s">
        <v>596</v>
      </c>
      <c r="C657" s="471"/>
      <c r="D657" s="471"/>
      <c r="E657" s="473">
        <f>SUM(E620:E640)</f>
        <v>0</v>
      </c>
      <c r="F657" s="473">
        <f>SUM(F620:F640)</f>
        <v>1093687.72</v>
      </c>
      <c r="G657" s="473">
        <f>SUM(G620:G656)</f>
        <v>949337.76</v>
      </c>
      <c r="H657" s="474"/>
      <c r="I657" s="474">
        <f>SUM(I620:I640)</f>
        <v>0</v>
      </c>
      <c r="J657" s="472">
        <f>SUM(J621:J655)</f>
        <v>949337.76</v>
      </c>
    </row>
    <row r="659" spans="2:10" x14ac:dyDescent="0.25">
      <c r="B659" s="31"/>
      <c r="C659" s="31"/>
      <c r="D659" s="610"/>
      <c r="E659" s="31" t="s">
        <v>1080</v>
      </c>
      <c r="F659" s="31" t="s">
        <v>1081</v>
      </c>
      <c r="G659" s="31" t="s">
        <v>1169</v>
      </c>
      <c r="H659" s="31"/>
      <c r="I659" s="31" t="s">
        <v>616</v>
      </c>
      <c r="J659" s="31" t="s">
        <v>1170</v>
      </c>
    </row>
    <row r="660" spans="2:10" x14ac:dyDescent="0.25">
      <c r="B660" s="33" t="s">
        <v>691</v>
      </c>
      <c r="C660" s="33" t="s">
        <v>692</v>
      </c>
      <c r="D660" s="33" t="s">
        <v>693</v>
      </c>
      <c r="E660" s="33" t="s">
        <v>694</v>
      </c>
      <c r="F660" s="33" t="s">
        <v>695</v>
      </c>
      <c r="G660" s="33" t="s">
        <v>696</v>
      </c>
      <c r="H660" s="33" t="s">
        <v>160</v>
      </c>
      <c r="I660" s="33" t="s">
        <v>697</v>
      </c>
      <c r="J660" s="33" t="s">
        <v>698</v>
      </c>
    </row>
    <row r="661" spans="2:10" x14ac:dyDescent="0.25">
      <c r="B661" s="33"/>
      <c r="C661" s="33" t="s">
        <v>567</v>
      </c>
      <c r="D661" s="33"/>
      <c r="E661" s="33"/>
      <c r="F661" s="33"/>
      <c r="G661" s="33"/>
      <c r="H661" s="33"/>
      <c r="I661" s="33"/>
      <c r="J661" s="33"/>
    </row>
    <row r="662" spans="2:10" x14ac:dyDescent="0.25">
      <c r="B662" s="33" t="s">
        <v>850</v>
      </c>
      <c r="C662" s="33" t="s">
        <v>851</v>
      </c>
      <c r="D662" s="33" t="s">
        <v>720</v>
      </c>
      <c r="E662" s="33" t="s">
        <v>1008</v>
      </c>
      <c r="F662" s="33" t="s">
        <v>1046</v>
      </c>
      <c r="G662" s="33" t="s">
        <v>1045</v>
      </c>
      <c r="H662" s="33"/>
      <c r="I662" s="33"/>
      <c r="J662" s="33" t="s">
        <v>1087</v>
      </c>
    </row>
    <row r="663" spans="2:10" x14ac:dyDescent="0.25">
      <c r="B663" s="33" t="s">
        <v>821</v>
      </c>
      <c r="C663" s="33" t="s">
        <v>822</v>
      </c>
      <c r="D663" s="33" t="s">
        <v>823</v>
      </c>
      <c r="E663" s="33" t="s">
        <v>841</v>
      </c>
      <c r="F663" s="33" t="s">
        <v>842</v>
      </c>
      <c r="G663" s="33" t="s">
        <v>842</v>
      </c>
      <c r="H663" s="33" t="s">
        <v>843</v>
      </c>
      <c r="I663" s="33" t="s">
        <v>844</v>
      </c>
      <c r="J663" s="33" t="s">
        <v>784</v>
      </c>
    </row>
    <row r="664" spans="2:10" x14ac:dyDescent="0.25">
      <c r="B664" s="611" t="s">
        <v>785</v>
      </c>
      <c r="C664" s="1506" t="s">
        <v>786</v>
      </c>
      <c r="D664" s="611" t="s">
        <v>846</v>
      </c>
      <c r="E664" s="611" t="s">
        <v>842</v>
      </c>
      <c r="F664" s="611" t="s">
        <v>847</v>
      </c>
      <c r="G664" s="611" t="s">
        <v>847</v>
      </c>
      <c r="H664" s="611" t="s">
        <v>848</v>
      </c>
      <c r="I664" s="611" t="s">
        <v>816</v>
      </c>
      <c r="J664" s="611" t="s">
        <v>842</v>
      </c>
    </row>
    <row r="665" spans="2:10" x14ac:dyDescent="0.25">
      <c r="B665" s="50" t="s">
        <v>914</v>
      </c>
      <c r="C665" s="51"/>
      <c r="D665" s="52"/>
      <c r="E665" s="56"/>
      <c r="F665" s="59"/>
      <c r="G665" s="59"/>
      <c r="H665" s="62"/>
      <c r="I665" s="40"/>
      <c r="J665" s="554"/>
    </row>
    <row r="666" spans="2:10" x14ac:dyDescent="0.25">
      <c r="B666" s="3" t="s">
        <v>1015</v>
      </c>
      <c r="C666" s="51">
        <v>43019</v>
      </c>
      <c r="D666" s="52" t="s">
        <v>757</v>
      </c>
      <c r="E666" s="379"/>
      <c r="F666" s="5"/>
      <c r="G666" s="59">
        <f>SUM('LONG-TERM DEBT'!AH$78) + SUM('LONG-TERM DEBT'!AH$117)</f>
        <v>88218.760000000009</v>
      </c>
      <c r="H666" s="62"/>
      <c r="I666" s="59">
        <v>0</v>
      </c>
      <c r="J666" s="601">
        <f>SUM(G666-I666)</f>
        <v>88218.760000000009</v>
      </c>
    </row>
    <row r="667" spans="2:10" x14ac:dyDescent="0.25">
      <c r="B667" s="2"/>
      <c r="C667" s="45"/>
      <c r="D667" s="46"/>
      <c r="E667" s="699"/>
      <c r="F667" s="592"/>
      <c r="G667" s="47"/>
      <c r="H667" s="48"/>
      <c r="I667" s="47"/>
      <c r="J667" s="595"/>
    </row>
    <row r="668" spans="2:10" x14ac:dyDescent="0.25">
      <c r="B668" s="3" t="s">
        <v>993</v>
      </c>
      <c r="C668" s="51"/>
      <c r="D668" s="52"/>
      <c r="E668" s="379"/>
      <c r="F668" s="5"/>
      <c r="G668" s="59"/>
      <c r="H668" s="62"/>
      <c r="I668" s="59"/>
      <c r="J668" s="601"/>
    </row>
    <row r="669" spans="2:10" x14ac:dyDescent="0.25">
      <c r="B669" s="1507" t="s">
        <v>908</v>
      </c>
      <c r="C669" s="51"/>
      <c r="D669" s="52" t="s">
        <v>757</v>
      </c>
      <c r="E669" s="379"/>
      <c r="F669" s="5"/>
      <c r="G669" s="59">
        <f>'LONG-TERM DEBT'!AH$80+'LONG-TERM DEBT'!AH$120</f>
        <v>353687.5</v>
      </c>
      <c r="H669" s="62"/>
      <c r="I669" s="59"/>
      <c r="J669" s="601">
        <f>SUM(G669-I669)</f>
        <v>353687.5</v>
      </c>
    </row>
    <row r="670" spans="2:10" x14ac:dyDescent="0.25">
      <c r="B670" s="1507" t="s">
        <v>909</v>
      </c>
      <c r="C670" s="51"/>
      <c r="D670" s="52" t="s">
        <v>757</v>
      </c>
      <c r="E670" s="379"/>
      <c r="F670" s="5"/>
      <c r="G670" s="59">
        <f>'LONG-TERM DEBT'!AH$81+'LONG-TERM DEBT'!AH$121</f>
        <v>267775</v>
      </c>
      <c r="H670" s="62"/>
      <c r="I670" s="59"/>
      <c r="J670" s="601">
        <f>SUM(G670-I670)</f>
        <v>267775</v>
      </c>
    </row>
    <row r="671" spans="2:10" x14ac:dyDescent="0.25">
      <c r="B671" s="1507"/>
      <c r="C671" s="51"/>
      <c r="D671" s="52"/>
      <c r="E671" s="379"/>
      <c r="F671" s="5"/>
      <c r="G671" s="59"/>
      <c r="H671" s="62"/>
      <c r="I671" s="59"/>
      <c r="J671" s="601"/>
    </row>
    <row r="672" spans="2:10" x14ac:dyDescent="0.25">
      <c r="B672" s="1508" t="s">
        <v>1014</v>
      </c>
      <c r="C672" s="38"/>
      <c r="D672" s="39"/>
      <c r="E672" s="1509"/>
      <c r="F672" s="53"/>
      <c r="G672" s="40"/>
      <c r="H672" s="41"/>
      <c r="I672" s="40"/>
      <c r="J672" s="1510"/>
    </row>
    <row r="673" spans="1:10" x14ac:dyDescent="0.25">
      <c r="B673" s="1507" t="s">
        <v>908</v>
      </c>
      <c r="C673" s="51"/>
      <c r="D673" s="52"/>
      <c r="E673" s="379"/>
      <c r="F673" s="5"/>
      <c r="G673" s="59">
        <f>'LONG-TERM DEBT'!AH$84+'LONG-TERM DEBT'!AH$124</f>
        <v>120394</v>
      </c>
      <c r="H673" s="62"/>
      <c r="I673" s="59"/>
      <c r="J673" s="601">
        <f>SUM(G673-I673)</f>
        <v>120394</v>
      </c>
    </row>
    <row r="674" spans="1:10" x14ac:dyDescent="0.25">
      <c r="B674" s="1507" t="s">
        <v>909</v>
      </c>
      <c r="C674" s="51"/>
      <c r="D674" s="52"/>
      <c r="E674" s="379"/>
      <c r="F674" s="5"/>
      <c r="G674" s="59">
        <f>'LONG-TERM DEBT'!AH$85+'LONG-TERM DEBT'!AH$125</f>
        <v>119237.5</v>
      </c>
      <c r="H674" s="62"/>
      <c r="I674" s="59"/>
      <c r="J674" s="601">
        <f>SUM(G674-I674)</f>
        <v>119237.5</v>
      </c>
    </row>
    <row r="675" spans="1:10" x14ac:dyDescent="0.25">
      <c r="B675" s="1507"/>
      <c r="C675" s="51"/>
      <c r="D675" s="52"/>
      <c r="E675" s="379"/>
      <c r="F675" s="5"/>
      <c r="G675" s="59"/>
      <c r="H675" s="62"/>
      <c r="I675" s="59"/>
      <c r="J675" s="601"/>
    </row>
    <row r="676" spans="1:10" x14ac:dyDescent="0.25">
      <c r="B676" s="1508" t="s">
        <v>963</v>
      </c>
      <c r="C676" s="38"/>
      <c r="D676" s="39"/>
      <c r="E676" s="1509"/>
      <c r="F676" s="53"/>
      <c r="G676" s="40"/>
      <c r="H676" s="41"/>
      <c r="I676" s="40"/>
      <c r="J676" s="1510"/>
    </row>
    <row r="677" spans="1:10" x14ac:dyDescent="0.25">
      <c r="B677" s="1507"/>
      <c r="C677" s="51"/>
      <c r="D677" s="52"/>
      <c r="E677" s="379"/>
      <c r="F677" s="5"/>
      <c r="G677" s="59">
        <f>'LONG-TERM DEBT'!AD362</f>
        <v>0</v>
      </c>
      <c r="H677" s="62"/>
      <c r="I677" s="59"/>
      <c r="J677" s="601"/>
    </row>
    <row r="678" spans="1:10" x14ac:dyDescent="0.25">
      <c r="B678" s="1507"/>
      <c r="C678" s="51"/>
      <c r="D678" s="52"/>
      <c r="E678" s="379"/>
      <c r="F678" s="5"/>
      <c r="G678" s="59"/>
      <c r="H678" s="62"/>
      <c r="I678" s="59"/>
      <c r="J678" s="601"/>
    </row>
    <row r="679" spans="1:10" x14ac:dyDescent="0.25">
      <c r="B679" s="1507"/>
      <c r="C679" s="51"/>
      <c r="D679" s="52"/>
      <c r="E679" s="379"/>
      <c r="F679" s="5"/>
      <c r="G679" s="59"/>
      <c r="H679" s="62"/>
      <c r="I679" s="59"/>
      <c r="J679" s="601"/>
    </row>
    <row r="680" spans="1:10" x14ac:dyDescent="0.25">
      <c r="B680" s="2"/>
      <c r="C680" s="45"/>
      <c r="D680" s="46"/>
      <c r="E680" s="49"/>
      <c r="F680" s="49"/>
      <c r="G680" s="49"/>
      <c r="H680" s="48"/>
      <c r="I680" s="47"/>
      <c r="J680" s="595"/>
    </row>
    <row r="681" spans="1:10" x14ac:dyDescent="0.25">
      <c r="B681" s="470" t="s">
        <v>596</v>
      </c>
      <c r="C681" s="471"/>
      <c r="D681" s="471"/>
      <c r="E681" s="473">
        <f>SUM(E641:E664)</f>
        <v>0</v>
      </c>
      <c r="F681" s="473">
        <f>SUM(F641:F664)</f>
        <v>1093687.72</v>
      </c>
      <c r="G681" s="473">
        <f>SUM(G641:G680)</f>
        <v>2847988.2800000003</v>
      </c>
      <c r="H681" s="474"/>
      <c r="I681" s="474">
        <f>SUM(I641:I664)</f>
        <v>0</v>
      </c>
      <c r="J681" s="472">
        <f>SUM(J666:J679)</f>
        <v>949312.76</v>
      </c>
    </row>
    <row r="684" spans="1:10" x14ac:dyDescent="0.25">
      <c r="A684" s="1">
        <f>1</f>
        <v>1</v>
      </c>
    </row>
    <row r="685" spans="1:10" x14ac:dyDescent="0.25">
      <c r="A685" s="1">
        <f>A684+1</f>
        <v>2</v>
      </c>
      <c r="B685" s="4" t="s">
        <v>478</v>
      </c>
    </row>
    <row r="686" spans="1:10" x14ac:dyDescent="0.25">
      <c r="A686" s="1">
        <f t="shared" ref="A686:A728" si="9">A685+1</f>
        <v>3</v>
      </c>
      <c r="B686" s="1" t="s">
        <v>612</v>
      </c>
    </row>
    <row r="687" spans="1:10" x14ac:dyDescent="0.25">
      <c r="A687" s="1">
        <f t="shared" si="9"/>
        <v>4</v>
      </c>
      <c r="B687" s="1" t="s">
        <v>613</v>
      </c>
    </row>
    <row r="688" spans="1:10" x14ac:dyDescent="0.25">
      <c r="A688" s="1">
        <f t="shared" si="9"/>
        <v>5</v>
      </c>
      <c r="B688" s="1" t="s">
        <v>771</v>
      </c>
    </row>
    <row r="689" spans="1:2" x14ac:dyDescent="0.25">
      <c r="A689" s="1">
        <f t="shared" si="9"/>
        <v>6</v>
      </c>
      <c r="B689" s="1" t="s">
        <v>772</v>
      </c>
    </row>
    <row r="690" spans="1:2" x14ac:dyDescent="0.25">
      <c r="A690" s="1">
        <f t="shared" si="9"/>
        <v>7</v>
      </c>
      <c r="B690" s="1" t="s">
        <v>773</v>
      </c>
    </row>
    <row r="691" spans="1:2" x14ac:dyDescent="0.25">
      <c r="A691" s="1">
        <f t="shared" si="9"/>
        <v>8</v>
      </c>
      <c r="B691" s="1" t="s">
        <v>840</v>
      </c>
    </row>
    <row r="692" spans="1:2" x14ac:dyDescent="0.25">
      <c r="A692" s="1">
        <f t="shared" si="9"/>
        <v>9</v>
      </c>
      <c r="B692" s="4" t="s">
        <v>774</v>
      </c>
    </row>
    <row r="693" spans="1:2" x14ac:dyDescent="0.25">
      <c r="A693" s="1">
        <f t="shared" si="9"/>
        <v>10</v>
      </c>
      <c r="B693" s="1" t="s">
        <v>849</v>
      </c>
    </row>
    <row r="694" spans="1:2" x14ac:dyDescent="0.25">
      <c r="A694" s="1">
        <f t="shared" si="9"/>
        <v>11</v>
      </c>
      <c r="B694" s="1" t="s">
        <v>614</v>
      </c>
    </row>
    <row r="695" spans="1:2" x14ac:dyDescent="0.25">
      <c r="A695" s="1">
        <f t="shared" si="9"/>
        <v>12</v>
      </c>
    </row>
    <row r="696" spans="1:2" x14ac:dyDescent="0.25">
      <c r="A696" s="1">
        <f t="shared" si="9"/>
        <v>13</v>
      </c>
    </row>
    <row r="697" spans="1:2" x14ac:dyDescent="0.25">
      <c r="A697" s="1">
        <f t="shared" si="9"/>
        <v>14</v>
      </c>
    </row>
    <row r="698" spans="1:2" x14ac:dyDescent="0.25">
      <c r="A698" s="1">
        <f t="shared" si="9"/>
        <v>15</v>
      </c>
    </row>
    <row r="699" spans="1:2" x14ac:dyDescent="0.25">
      <c r="A699" s="1">
        <f t="shared" si="9"/>
        <v>16</v>
      </c>
    </row>
    <row r="700" spans="1:2" x14ac:dyDescent="0.25">
      <c r="A700" s="1">
        <f t="shared" si="9"/>
        <v>17</v>
      </c>
    </row>
    <row r="701" spans="1:2" x14ac:dyDescent="0.25">
      <c r="A701" s="1">
        <f t="shared" si="9"/>
        <v>18</v>
      </c>
    </row>
    <row r="702" spans="1:2" x14ac:dyDescent="0.25">
      <c r="A702" s="1">
        <f t="shared" si="9"/>
        <v>19</v>
      </c>
    </row>
    <row r="703" spans="1:2" x14ac:dyDescent="0.25">
      <c r="A703" s="1">
        <f t="shared" si="9"/>
        <v>20</v>
      </c>
    </row>
    <row r="704" spans="1:2" x14ac:dyDescent="0.25">
      <c r="A704" s="1">
        <f t="shared" si="9"/>
        <v>21</v>
      </c>
    </row>
    <row r="705" spans="1:1" x14ac:dyDescent="0.25">
      <c r="A705" s="1">
        <f t="shared" si="9"/>
        <v>22</v>
      </c>
    </row>
    <row r="706" spans="1:1" x14ac:dyDescent="0.25">
      <c r="A706" s="1">
        <f t="shared" si="9"/>
        <v>23</v>
      </c>
    </row>
    <row r="707" spans="1:1" x14ac:dyDescent="0.25">
      <c r="A707" s="1">
        <f t="shared" si="9"/>
        <v>24</v>
      </c>
    </row>
    <row r="708" spans="1:1" x14ac:dyDescent="0.25">
      <c r="A708" s="1">
        <f t="shared" si="9"/>
        <v>25</v>
      </c>
    </row>
    <row r="709" spans="1:1" x14ac:dyDescent="0.25">
      <c r="A709" s="1">
        <f t="shared" si="9"/>
        <v>26</v>
      </c>
    </row>
    <row r="710" spans="1:1" x14ac:dyDescent="0.25">
      <c r="A710" s="1">
        <f t="shared" si="9"/>
        <v>27</v>
      </c>
    </row>
    <row r="711" spans="1:1" x14ac:dyDescent="0.25">
      <c r="A711" s="1">
        <f t="shared" si="9"/>
        <v>28</v>
      </c>
    </row>
    <row r="712" spans="1:1" x14ac:dyDescent="0.25">
      <c r="A712" s="1">
        <f t="shared" si="9"/>
        <v>29</v>
      </c>
    </row>
    <row r="713" spans="1:1" x14ac:dyDescent="0.25">
      <c r="A713" s="1">
        <f t="shared" si="9"/>
        <v>30</v>
      </c>
    </row>
    <row r="714" spans="1:1" x14ac:dyDescent="0.25">
      <c r="A714" s="1">
        <f t="shared" si="9"/>
        <v>31</v>
      </c>
    </row>
    <row r="715" spans="1:1" x14ac:dyDescent="0.25">
      <c r="A715" s="1">
        <f t="shared" si="9"/>
        <v>32</v>
      </c>
    </row>
    <row r="716" spans="1:1" x14ac:dyDescent="0.25">
      <c r="A716" s="1">
        <f t="shared" si="9"/>
        <v>33</v>
      </c>
    </row>
    <row r="717" spans="1:1" x14ac:dyDescent="0.25">
      <c r="A717" s="1">
        <f t="shared" si="9"/>
        <v>34</v>
      </c>
    </row>
    <row r="718" spans="1:1" x14ac:dyDescent="0.25">
      <c r="A718" s="1">
        <f t="shared" si="9"/>
        <v>35</v>
      </c>
    </row>
    <row r="719" spans="1:1" x14ac:dyDescent="0.25">
      <c r="A719" s="1">
        <f t="shared" si="9"/>
        <v>36</v>
      </c>
    </row>
    <row r="720" spans="1:1" x14ac:dyDescent="0.25">
      <c r="A720" s="1">
        <f t="shared" si="9"/>
        <v>37</v>
      </c>
    </row>
    <row r="721" spans="1:1" x14ac:dyDescent="0.25">
      <c r="A721" s="1">
        <f t="shared" si="9"/>
        <v>38</v>
      </c>
    </row>
    <row r="722" spans="1:1" x14ac:dyDescent="0.25">
      <c r="A722" s="1">
        <f t="shared" si="9"/>
        <v>39</v>
      </c>
    </row>
    <row r="723" spans="1:1" x14ac:dyDescent="0.25">
      <c r="A723" s="1">
        <f t="shared" si="9"/>
        <v>40</v>
      </c>
    </row>
    <row r="724" spans="1:1" x14ac:dyDescent="0.25">
      <c r="A724" s="1">
        <f t="shared" si="9"/>
        <v>41</v>
      </c>
    </row>
    <row r="725" spans="1:1" x14ac:dyDescent="0.25">
      <c r="A725" s="1">
        <f t="shared" si="9"/>
        <v>42</v>
      </c>
    </row>
    <row r="726" spans="1:1" x14ac:dyDescent="0.25">
      <c r="A726" s="1">
        <f t="shared" si="9"/>
        <v>43</v>
      </c>
    </row>
    <row r="727" spans="1:1" x14ac:dyDescent="0.25">
      <c r="A727" s="1">
        <f t="shared" si="9"/>
        <v>44</v>
      </c>
    </row>
    <row r="728" spans="1:1" x14ac:dyDescent="0.25">
      <c r="A728" s="1">
        <f t="shared" si="9"/>
        <v>45</v>
      </c>
    </row>
  </sheetData>
  <phoneticPr fontId="39" type="noConversion"/>
  <printOptions gridLines="1"/>
  <pageMargins left="0.23622047244094491" right="0.23622047244094491" top="0.70866141732283472" bottom="0" header="0.19685039370078741" footer="0"/>
  <pageSetup fitToWidth="0" orientation="landscape" horizontalDpi="300" verticalDpi="300" r:id="rId1"/>
  <headerFooter alignWithMargins="0">
    <oddHeader xml:space="preserve">&amp;L30-Mar-2023
&amp;A&amp;CTOWN OF TOPSFIELD FINANCE COMMITTEE
BUDGET WORKSHEETS
&amp;R&amp;"Arial,Bold"&amp;12VERSION 2.0
FY 2024
</oddHeader>
    <oddFooter xml:space="preserve">&amp;R
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BE481"/>
  <sheetViews>
    <sheetView zoomScaleNormal="100" workbookViewId="0">
      <pane xSplit="1" ySplit="11" topLeftCell="AP431" activePane="bottomRight" state="frozen"/>
      <selection activeCell="AB37" sqref="AB37"/>
      <selection pane="topRight" activeCell="AB37" sqref="AB37"/>
      <selection pane="bottomLeft" activeCell="AB37" sqref="AB37"/>
      <selection pane="bottomRight" activeCell="AY442" sqref="AY442"/>
    </sheetView>
  </sheetViews>
  <sheetFormatPr defaultColWidth="8.86328125" defaultRowHeight="14.25" customHeight="1" outlineLevelRow="1" outlineLevelCol="1" x14ac:dyDescent="0.25"/>
  <cols>
    <col min="1" max="1" width="28.86328125" style="711" customWidth="1" collapsed="1"/>
    <col min="2" max="9" width="10" style="712" hidden="1" customWidth="1" outlineLevel="1"/>
    <col min="10" max="14" width="10" style="727" hidden="1" customWidth="1" outlineLevel="1"/>
    <col min="15" max="26" width="11.1328125" style="727" hidden="1" customWidth="1" outlineLevel="1"/>
    <col min="27" max="31" width="11.1328125" style="727" customWidth="1"/>
    <col min="32" max="32" width="10.33203125" style="727" customWidth="1"/>
    <col min="33" max="33" width="10.53125" style="727" customWidth="1"/>
    <col min="34" max="34" width="10.33203125" style="727" customWidth="1"/>
    <col min="35" max="35" width="11.86328125" style="727" customWidth="1"/>
    <col min="36" max="38" width="10.1328125" style="727" customWidth="1"/>
    <col min="39" max="39" width="13" style="727" customWidth="1"/>
    <col min="40" max="45" width="10.1328125" style="727" customWidth="1"/>
    <col min="46" max="46" width="10.1328125" style="2267" customWidth="1"/>
    <col min="47" max="47" width="10.1328125" style="727" customWidth="1"/>
    <col min="48" max="48" width="10.33203125" style="2303" customWidth="1"/>
    <col min="49" max="49" width="10.33203125" style="989" customWidth="1"/>
    <col min="50" max="50" width="11.6640625" style="2018" customWidth="1"/>
    <col min="51" max="51" width="7.86328125" style="2018" customWidth="1"/>
    <col min="52" max="54" width="10.6640625" style="2018" customWidth="1"/>
    <col min="55" max="55" width="9.33203125" style="2022" customWidth="1"/>
    <col min="56" max="16384" width="8.86328125" style="719"/>
  </cols>
  <sheetData>
    <row r="1" spans="1:55" ht="15" customHeight="1" x14ac:dyDescent="0.4">
      <c r="A1" s="1580" t="s">
        <v>160</v>
      </c>
      <c r="B1" s="712" t="s">
        <v>160</v>
      </c>
      <c r="J1" s="713"/>
      <c r="K1" s="714"/>
      <c r="L1" s="714"/>
      <c r="M1" s="714"/>
      <c r="N1" s="714"/>
      <c r="O1" s="714"/>
      <c r="P1" s="715"/>
      <c r="Q1" s="716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717"/>
      <c r="AH1" s="717"/>
      <c r="AI1" s="717"/>
      <c r="AJ1" s="717"/>
      <c r="AK1" s="717"/>
      <c r="AL1" s="717"/>
      <c r="AM1" s="717"/>
      <c r="AN1" s="717"/>
      <c r="AO1" s="717"/>
      <c r="AP1" s="717"/>
      <c r="AQ1" s="717"/>
      <c r="AR1" s="717"/>
      <c r="AS1" s="717"/>
      <c r="AT1" s="717"/>
      <c r="AU1" s="717"/>
      <c r="AV1" s="2311"/>
      <c r="AW1" s="718"/>
      <c r="AX1" s="2013"/>
      <c r="AY1" s="2013"/>
      <c r="AZ1" s="2013"/>
      <c r="BA1" s="2013"/>
      <c r="BB1" s="2013"/>
      <c r="BC1" s="2020"/>
    </row>
    <row r="2" spans="1:55" ht="14" customHeight="1" outlineLevel="1" thickBot="1" x14ac:dyDescent="0.4">
      <c r="J2" s="720"/>
      <c r="K2" s="721"/>
      <c r="L2" s="722"/>
      <c r="M2" s="722"/>
      <c r="N2" s="722"/>
      <c r="O2" s="722"/>
      <c r="P2" s="723"/>
      <c r="Q2" s="724"/>
      <c r="R2" s="725"/>
      <c r="S2" s="725"/>
      <c r="T2" s="725"/>
      <c r="U2" s="725"/>
      <c r="V2" s="725"/>
      <c r="W2" s="725"/>
      <c r="X2" s="725"/>
      <c r="Y2" s="725"/>
      <c r="Z2" s="725"/>
      <c r="AA2" s="725"/>
      <c r="AB2" s="725"/>
      <c r="AC2" s="725"/>
      <c r="AD2" s="725"/>
      <c r="AE2" s="1396" t="s">
        <v>275</v>
      </c>
      <c r="AF2" s="1396"/>
      <c r="AG2" s="725" t="str">
        <f>'Model Assumptions'!B4</f>
        <v>no change</v>
      </c>
      <c r="AH2" s="1586">
        <f>'Model Assumptions'!C4</f>
        <v>1</v>
      </c>
      <c r="AI2" s="726"/>
      <c r="AJ2" s="725" t="str">
        <f>'Model Assumptions'!E4</f>
        <v>Elementary</v>
      </c>
      <c r="AK2" s="1586">
        <f>'Model Assumptions'!F4</f>
        <v>1.0225</v>
      </c>
      <c r="AL2" s="1585">
        <v>1.0225</v>
      </c>
      <c r="AM2" s="725" t="str">
        <f>'Model Assumptions'!H4</f>
        <v>Pol wag</v>
      </c>
      <c r="AN2" s="1586">
        <v>1</v>
      </c>
      <c r="AO2" s="1209">
        <v>1.02</v>
      </c>
      <c r="AP2" s="725"/>
      <c r="AQ2" s="725"/>
      <c r="AR2" s="725"/>
      <c r="AS2" s="725"/>
      <c r="AT2" s="725"/>
      <c r="AU2" s="725"/>
      <c r="AW2" s="2303"/>
      <c r="AX2" s="2303"/>
      <c r="AY2" s="2303"/>
      <c r="AZ2" s="2303"/>
      <c r="BA2" s="2303"/>
      <c r="BB2" s="2303"/>
      <c r="BC2" s="2303"/>
    </row>
    <row r="3" spans="1:55" ht="14" customHeight="1" outlineLevel="1" x14ac:dyDescent="0.35">
      <c r="J3" s="720"/>
      <c r="K3" s="721"/>
      <c r="L3" s="722"/>
      <c r="M3" s="722"/>
      <c r="N3" s="722"/>
      <c r="O3" s="722"/>
      <c r="P3" s="723"/>
      <c r="Q3" s="724"/>
      <c r="S3" s="725"/>
      <c r="T3" s="725"/>
      <c r="U3" s="725"/>
      <c r="V3" s="728" t="s">
        <v>79</v>
      </c>
      <c r="W3" s="725"/>
      <c r="X3" s="725"/>
      <c r="Y3" s="725"/>
      <c r="Z3" s="725"/>
      <c r="AA3" s="729"/>
      <c r="AD3" s="725"/>
      <c r="AE3" s="725"/>
      <c r="AF3" s="725"/>
      <c r="AG3" s="725" t="str">
        <f>'Model Assumptions'!B5</f>
        <v>Non Union</v>
      </c>
      <c r="AH3" s="1586">
        <f>'Model Assumptions'!C5</f>
        <v>1.02</v>
      </c>
      <c r="AI3" s="1586">
        <v>1.02</v>
      </c>
      <c r="AJ3" s="725" t="str">
        <f>'Model Assumptions'!E5</f>
        <v>Masco</v>
      </c>
      <c r="AK3" s="1586">
        <f>'Model Assumptions'!F5</f>
        <v>1.0449999999999999</v>
      </c>
      <c r="AL3" s="1612">
        <v>1.0449999999999999</v>
      </c>
      <c r="AM3" s="725" t="str">
        <f>'Model Assumptions'!H5</f>
        <v>Fire wag</v>
      </c>
      <c r="AN3" s="1586">
        <v>1.02</v>
      </c>
      <c r="AO3" s="1209">
        <v>1.02</v>
      </c>
      <c r="AP3" s="725"/>
      <c r="AQ3" s="2123"/>
      <c r="AR3" s="725"/>
      <c r="AS3" s="725"/>
      <c r="AT3" s="725"/>
      <c r="AU3" s="725"/>
      <c r="AV3" s="2312"/>
      <c r="AW3" s="2312"/>
      <c r="AX3" s="2312"/>
      <c r="AY3" s="2312"/>
      <c r="AZ3" s="2312"/>
      <c r="BA3" s="2312"/>
      <c r="BB3" s="2312"/>
      <c r="BC3" s="2312"/>
    </row>
    <row r="4" spans="1:55" ht="14.1" customHeight="1" outlineLevel="1" x14ac:dyDescent="0.35">
      <c r="J4" s="720"/>
      <c r="K4" s="721"/>
      <c r="L4" s="722"/>
      <c r="M4" s="722"/>
      <c r="N4" s="722"/>
      <c r="O4" s="722"/>
      <c r="P4" s="723"/>
      <c r="Q4" s="724"/>
      <c r="S4" s="725"/>
      <c r="T4" s="725"/>
      <c r="U4" s="725"/>
      <c r="V4" s="730" t="s">
        <v>395</v>
      </c>
      <c r="W4" s="725"/>
      <c r="X4" s="725"/>
      <c r="Y4" s="725"/>
      <c r="Z4" s="725"/>
      <c r="AA4" s="725"/>
      <c r="AB4" s="725"/>
      <c r="AC4" s="725"/>
      <c r="AD4" s="725"/>
      <c r="AE4" s="725"/>
      <c r="AF4" s="725"/>
      <c r="AG4" s="725" t="str">
        <f>'Model Assumptions'!B6</f>
        <v>Other</v>
      </c>
      <c r="AH4" s="1586">
        <f>'Model Assumptions'!C6</f>
        <v>1</v>
      </c>
      <c r="AI4" s="726">
        <v>1.02</v>
      </c>
      <c r="AJ4" s="725" t="str">
        <f>'Model Assumptions'!E6</f>
        <v>voc tech</v>
      </c>
      <c r="AK4" s="1586">
        <f>'Model Assumptions'!F6</f>
        <v>1.03</v>
      </c>
      <c r="AL4" s="1613">
        <v>1.03</v>
      </c>
      <c r="AM4" s="725" t="str">
        <f>'Model Assumptions'!H6</f>
        <v>Local Recpt</v>
      </c>
      <c r="AN4" s="1586">
        <v>1</v>
      </c>
      <c r="AO4" s="1209">
        <v>1</v>
      </c>
      <c r="AP4" s="725"/>
      <c r="AQ4" s="725"/>
      <c r="AR4" s="725"/>
      <c r="AS4" s="725"/>
      <c r="AT4" s="725"/>
      <c r="AU4" s="725"/>
      <c r="AV4" s="2312"/>
      <c r="AW4" s="2312"/>
      <c r="AX4" s="2312"/>
      <c r="AY4" s="2312"/>
      <c r="AZ4" s="2312"/>
      <c r="BA4" s="2312"/>
      <c r="BB4" s="2312"/>
      <c r="BC4" s="2312"/>
    </row>
    <row r="5" spans="1:55" ht="14" customHeight="1" outlineLevel="1" thickBot="1" x14ac:dyDescent="0.4">
      <c r="J5" s="720"/>
      <c r="K5" s="721"/>
      <c r="L5" s="722"/>
      <c r="M5" s="722"/>
      <c r="N5" s="722"/>
      <c r="O5" s="722"/>
      <c r="P5" s="723"/>
      <c r="Q5" s="724"/>
      <c r="S5" s="725"/>
      <c r="T5" s="725"/>
      <c r="U5" s="725"/>
      <c r="V5" s="731" t="s">
        <v>99</v>
      </c>
      <c r="W5" s="725"/>
      <c r="X5" s="725"/>
      <c r="Y5" s="725"/>
      <c r="Z5" s="725"/>
      <c r="AA5" s="725"/>
      <c r="AB5" s="725"/>
      <c r="AC5" s="725"/>
      <c r="AD5" s="725"/>
      <c r="AE5" s="725"/>
      <c r="AF5" s="725"/>
      <c r="AG5" s="725" t="str">
        <f>'Model Assumptions'!B7</f>
        <v>Ins</v>
      </c>
      <c r="AH5" s="1586">
        <f>'Model Assumptions'!C7</f>
        <v>1.1000000000000001</v>
      </c>
      <c r="AI5" s="1586">
        <v>1.1000000000000001</v>
      </c>
      <c r="AJ5" s="725" t="str">
        <f>'Model Assumptions'!E7</f>
        <v xml:space="preserve"> Union</v>
      </c>
      <c r="AK5" s="1586">
        <f>'Model Assumptions'!F7</f>
        <v>1.02</v>
      </c>
      <c r="AL5" s="1209">
        <v>1.02</v>
      </c>
      <c r="AM5" s="725" t="str">
        <f>'Model Assumptions'!H7</f>
        <v>State Recpt</v>
      </c>
      <c r="AN5" s="1586">
        <v>1.1000000000000001</v>
      </c>
      <c r="AO5" s="1209">
        <v>1</v>
      </c>
      <c r="AP5" s="725"/>
      <c r="AQ5" s="725"/>
      <c r="AR5" s="725"/>
      <c r="AS5" s="725"/>
      <c r="AT5" s="725"/>
      <c r="AU5" s="725"/>
      <c r="AV5" s="2312"/>
      <c r="AW5" s="2312"/>
      <c r="AX5" s="2312"/>
      <c r="AY5" s="2312"/>
      <c r="AZ5" s="2312"/>
      <c r="BA5" s="2312"/>
      <c r="BB5" s="2312"/>
      <c r="BC5" s="2312"/>
    </row>
    <row r="6" spans="1:55" ht="14" customHeight="1" outlineLevel="1" thickBot="1" x14ac:dyDescent="0.4">
      <c r="J6" s="720"/>
      <c r="K6" s="721"/>
      <c r="L6" s="722"/>
      <c r="M6" s="722"/>
      <c r="N6" s="732"/>
      <c r="O6" s="732"/>
      <c r="P6" s="733"/>
      <c r="Q6" s="734"/>
      <c r="R6" s="735"/>
      <c r="S6" s="735"/>
      <c r="T6" s="735"/>
      <c r="U6" s="735"/>
      <c r="V6" s="735"/>
      <c r="W6" s="735"/>
      <c r="X6" s="735"/>
      <c r="Y6" s="735"/>
      <c r="Z6" s="735"/>
      <c r="AA6" s="735"/>
      <c r="AB6" s="735"/>
      <c r="AC6" s="735"/>
      <c r="AD6" s="735"/>
      <c r="AE6" s="735"/>
      <c r="AF6" s="735"/>
      <c r="AG6" s="725" t="str">
        <f>'Model Assumptions'!B8</f>
        <v>Pension</v>
      </c>
      <c r="AH6" s="1586">
        <f>'Model Assumptions'!C8</f>
        <v>1.1100000000000001</v>
      </c>
      <c r="AI6" s="1586">
        <v>1.1100000000000001</v>
      </c>
      <c r="AJ6" s="725" t="str">
        <f>'Model Assumptions'!E8</f>
        <v>NO RAISE</v>
      </c>
      <c r="AK6" s="1586" t="str">
        <f>'Model Assumptions'!F8</f>
        <v>off</v>
      </c>
      <c r="AL6" s="1397"/>
      <c r="AM6" s="725" t="str">
        <f>'Model Assumptions'!H8</f>
        <v>TRASH</v>
      </c>
      <c r="AN6" s="1586">
        <f>'Model Assumptions'!I8</f>
        <v>1</v>
      </c>
      <c r="AO6" s="2076">
        <v>1</v>
      </c>
      <c r="AP6" s="735"/>
      <c r="AQ6" s="735"/>
      <c r="AR6" s="735"/>
      <c r="AS6" s="735"/>
      <c r="AT6" s="735"/>
      <c r="AU6" s="735"/>
      <c r="AV6" s="2312"/>
      <c r="AW6" s="2312"/>
      <c r="AX6" s="2312"/>
      <c r="AY6" s="2312"/>
      <c r="AZ6" s="2312"/>
      <c r="BA6" s="2312"/>
      <c r="BB6" s="2312"/>
      <c r="BC6" s="2312"/>
    </row>
    <row r="7" spans="1:55" ht="15.75" customHeight="1" collapsed="1" x14ac:dyDescent="0.25">
      <c r="A7" s="736"/>
      <c r="B7" s="737"/>
      <c r="C7" s="738"/>
      <c r="D7" s="737"/>
      <c r="E7" s="737"/>
      <c r="F7" s="737"/>
      <c r="G7" s="737"/>
      <c r="H7" s="737"/>
      <c r="I7" s="739">
        <v>3.2000000000000001E-2</v>
      </c>
      <c r="J7" s="740" t="s">
        <v>380</v>
      </c>
      <c r="K7" s="741"/>
      <c r="L7" s="742"/>
      <c r="M7" s="743"/>
      <c r="N7" s="743"/>
      <c r="O7" s="741"/>
      <c r="P7" s="741"/>
      <c r="Q7" s="741"/>
      <c r="R7" s="741"/>
      <c r="S7" s="741"/>
      <c r="T7" s="741"/>
      <c r="U7" s="741"/>
      <c r="V7" s="741"/>
      <c r="W7" s="741"/>
      <c r="X7" s="741"/>
      <c r="Y7" s="741"/>
      <c r="Z7" s="741"/>
      <c r="AA7" s="741"/>
      <c r="AB7" s="741"/>
      <c r="AC7" s="741"/>
      <c r="AD7" s="741"/>
      <c r="AE7" s="741"/>
      <c r="AF7" s="741"/>
      <c r="AG7" s="741"/>
      <c r="AH7" s="741"/>
      <c r="AI7" s="741"/>
      <c r="AJ7" s="741"/>
      <c r="AK7" s="741"/>
      <c r="AL7" s="741"/>
      <c r="AM7" s="741"/>
      <c r="AN7" s="741"/>
      <c r="AO7" s="741"/>
      <c r="AP7" s="741"/>
      <c r="AQ7" s="741"/>
      <c r="AR7" s="741"/>
      <c r="AS7" s="741"/>
      <c r="AT7" s="2343"/>
      <c r="AU7" s="741"/>
      <c r="AV7" s="2313"/>
      <c r="AW7" s="2313"/>
      <c r="AX7" s="2313"/>
      <c r="AY7" s="2313"/>
      <c r="AZ7" s="2313"/>
      <c r="BA7" s="2313"/>
      <c r="BB7" s="2313"/>
      <c r="BC7" s="2313"/>
    </row>
    <row r="8" spans="1:55" ht="19.5" customHeight="1" thickBot="1" x14ac:dyDescent="0.3">
      <c r="A8" s="744"/>
      <c r="B8" s="745"/>
      <c r="C8" s="745"/>
      <c r="D8" s="745"/>
      <c r="E8" s="745"/>
      <c r="F8" s="745"/>
      <c r="G8" s="745"/>
      <c r="H8" s="745"/>
      <c r="I8" s="746">
        <v>3.2000000000000001E-2</v>
      </c>
      <c r="J8" s="747" t="s">
        <v>250</v>
      </c>
      <c r="K8" s="748"/>
      <c r="L8" s="749"/>
      <c r="M8" s="750"/>
      <c r="N8" s="750"/>
      <c r="O8" s="748"/>
      <c r="P8" s="748"/>
      <c r="Q8" s="748"/>
      <c r="R8" s="748"/>
      <c r="S8" s="748"/>
      <c r="T8" s="748"/>
      <c r="U8" s="748"/>
      <c r="V8" s="748"/>
      <c r="W8" s="748"/>
      <c r="X8" s="748"/>
      <c r="Y8" s="748"/>
      <c r="Z8" s="748"/>
      <c r="AA8" s="2515">
        <v>0</v>
      </c>
      <c r="AB8" s="2515"/>
      <c r="AC8" s="2515">
        <v>1</v>
      </c>
      <c r="AD8" s="2515"/>
      <c r="AE8" s="2515">
        <v>2</v>
      </c>
      <c r="AF8" s="2515"/>
      <c r="AG8" s="2515"/>
      <c r="AH8" s="2515">
        <v>3</v>
      </c>
      <c r="AI8" s="2515"/>
      <c r="AJ8" s="2515">
        <v>4</v>
      </c>
      <c r="AK8" s="2515"/>
      <c r="AL8" s="2515">
        <v>5</v>
      </c>
      <c r="AM8" s="2515"/>
      <c r="AN8" s="2515">
        <v>6</v>
      </c>
      <c r="AO8" s="2515"/>
      <c r="AP8" s="2515">
        <v>7</v>
      </c>
      <c r="AQ8" s="2515"/>
      <c r="AR8" s="2515">
        <v>8</v>
      </c>
      <c r="AS8" s="2515"/>
      <c r="AT8" s="2516">
        <v>9</v>
      </c>
      <c r="AU8" s="2515"/>
      <c r="AV8" s="2517"/>
      <c r="AW8" s="2517"/>
      <c r="AX8" s="2517"/>
      <c r="AY8" s="2517"/>
      <c r="AZ8" s="2517"/>
      <c r="BA8" s="2517"/>
      <c r="BB8" s="2517"/>
      <c r="BC8" s="2517"/>
    </row>
    <row r="9" spans="1:55" ht="14.25" customHeight="1" x14ac:dyDescent="0.25">
      <c r="A9" s="752"/>
      <c r="B9" s="753"/>
      <c r="C9" s="754"/>
      <c r="D9" s="754"/>
      <c r="E9" s="754"/>
      <c r="F9" s="754"/>
      <c r="G9" s="755"/>
      <c r="H9" s="756">
        <v>38524</v>
      </c>
      <c r="I9" s="755"/>
      <c r="J9" s="757"/>
      <c r="K9" s="758" t="s">
        <v>290</v>
      </c>
      <c r="L9" s="759" t="s">
        <v>447</v>
      </c>
      <c r="M9" s="757" t="s">
        <v>511</v>
      </c>
      <c r="N9" s="758" t="s">
        <v>511</v>
      </c>
      <c r="O9" s="758" t="s">
        <v>56</v>
      </c>
      <c r="P9" s="758" t="s">
        <v>511</v>
      </c>
      <c r="Q9" s="758" t="s">
        <v>290</v>
      </c>
      <c r="R9" s="758" t="s">
        <v>511</v>
      </c>
      <c r="S9" s="758" t="s">
        <v>290</v>
      </c>
      <c r="T9" s="758" t="s">
        <v>511</v>
      </c>
      <c r="U9" s="758" t="s">
        <v>290</v>
      </c>
      <c r="V9" s="758" t="s">
        <v>511</v>
      </c>
      <c r="W9" s="758" t="s">
        <v>358</v>
      </c>
      <c r="X9" s="758" t="s">
        <v>511</v>
      </c>
      <c r="Y9" s="758" t="s">
        <v>358</v>
      </c>
      <c r="Z9" s="758" t="s">
        <v>511</v>
      </c>
      <c r="AA9" s="758" t="s">
        <v>358</v>
      </c>
      <c r="AB9" s="758" t="s">
        <v>511</v>
      </c>
      <c r="AC9" s="758" t="s">
        <v>358</v>
      </c>
      <c r="AD9" s="758" t="s">
        <v>511</v>
      </c>
      <c r="AE9" s="758" t="s">
        <v>290</v>
      </c>
      <c r="AF9" s="758" t="s">
        <v>511</v>
      </c>
      <c r="AG9" s="758" t="s">
        <v>290</v>
      </c>
      <c r="AH9" s="1408" t="s">
        <v>176</v>
      </c>
      <c r="AI9" s="1408" t="s">
        <v>290</v>
      </c>
      <c r="AJ9" s="1408" t="s">
        <v>290</v>
      </c>
      <c r="AK9" s="1408" t="s">
        <v>290</v>
      </c>
      <c r="AL9" s="1408" t="s">
        <v>290</v>
      </c>
      <c r="AM9" s="1408" t="s">
        <v>290</v>
      </c>
      <c r="AN9" s="1408" t="s">
        <v>290</v>
      </c>
      <c r="AO9" s="1408" t="s">
        <v>290</v>
      </c>
      <c r="AP9" s="1408" t="s">
        <v>290</v>
      </c>
      <c r="AQ9" s="1408" t="s">
        <v>290</v>
      </c>
      <c r="AR9" s="1408" t="s">
        <v>290</v>
      </c>
      <c r="AS9" s="2261" t="s">
        <v>290</v>
      </c>
      <c r="AT9" s="2344" t="s">
        <v>290</v>
      </c>
      <c r="AU9" s="1408" t="s">
        <v>159</v>
      </c>
      <c r="AV9" s="2269"/>
      <c r="AW9" s="760"/>
      <c r="AX9" s="2014"/>
      <c r="AY9" s="2014"/>
      <c r="AZ9" s="2014"/>
      <c r="BA9" s="2014"/>
      <c r="BB9" s="2014"/>
      <c r="BC9" s="2021"/>
    </row>
    <row r="10" spans="1:55" ht="14.25" customHeight="1" x14ac:dyDescent="0.25">
      <c r="A10" s="761"/>
      <c r="B10" s="762" t="s">
        <v>291</v>
      </c>
      <c r="C10" s="762" t="s">
        <v>289</v>
      </c>
      <c r="D10" s="762" t="s">
        <v>290</v>
      </c>
      <c r="E10" s="762" t="s">
        <v>289</v>
      </c>
      <c r="F10" s="762" t="s">
        <v>290</v>
      </c>
      <c r="G10" s="763" t="s">
        <v>289</v>
      </c>
      <c r="H10" s="763" t="s">
        <v>290</v>
      </c>
      <c r="I10" s="763" t="s">
        <v>289</v>
      </c>
      <c r="J10" s="757" t="s">
        <v>289</v>
      </c>
      <c r="K10" s="758" t="s">
        <v>572</v>
      </c>
      <c r="L10" s="757" t="s">
        <v>289</v>
      </c>
      <c r="M10" s="758" t="s">
        <v>176</v>
      </c>
      <c r="N10" s="758" t="s">
        <v>175</v>
      </c>
      <c r="O10" s="758" t="s">
        <v>54</v>
      </c>
      <c r="P10" s="758" t="s">
        <v>175</v>
      </c>
      <c r="Q10" s="758" t="s">
        <v>54</v>
      </c>
      <c r="R10" s="758" t="s">
        <v>175</v>
      </c>
      <c r="S10" s="758" t="s">
        <v>54</v>
      </c>
      <c r="T10" s="758" t="s">
        <v>175</v>
      </c>
      <c r="U10" s="758" t="s">
        <v>54</v>
      </c>
      <c r="V10" s="758" t="s">
        <v>175</v>
      </c>
      <c r="W10" s="758" t="s">
        <v>359</v>
      </c>
      <c r="X10" s="758" t="s">
        <v>175</v>
      </c>
      <c r="Y10" s="758" t="s">
        <v>359</v>
      </c>
      <c r="Z10" s="758" t="s">
        <v>175</v>
      </c>
      <c r="AA10" s="758" t="s">
        <v>359</v>
      </c>
      <c r="AB10" s="758" t="s">
        <v>175</v>
      </c>
      <c r="AC10" s="758" t="s">
        <v>359</v>
      </c>
      <c r="AD10" s="758" t="s">
        <v>175</v>
      </c>
      <c r="AE10" s="758" t="s">
        <v>872</v>
      </c>
      <c r="AF10" s="758" t="s">
        <v>175</v>
      </c>
      <c r="AG10" s="758" t="s">
        <v>924</v>
      </c>
      <c r="AH10" s="1408" t="s">
        <v>872</v>
      </c>
      <c r="AI10" s="1408" t="s">
        <v>924</v>
      </c>
      <c r="AJ10" s="1408" t="s">
        <v>872</v>
      </c>
      <c r="AK10" s="1408" t="s">
        <v>924</v>
      </c>
      <c r="AL10" s="1408" t="s">
        <v>872</v>
      </c>
      <c r="AM10" s="1408" t="s">
        <v>924</v>
      </c>
      <c r="AN10" s="1408" t="s">
        <v>872</v>
      </c>
      <c r="AO10" s="1408" t="s">
        <v>924</v>
      </c>
      <c r="AP10" s="1408" t="s">
        <v>872</v>
      </c>
      <c r="AQ10" s="1408" t="s">
        <v>924</v>
      </c>
      <c r="AR10" s="1408" t="s">
        <v>872</v>
      </c>
      <c r="AS10" s="2261" t="s">
        <v>924</v>
      </c>
      <c r="AT10" s="2344" t="s">
        <v>872</v>
      </c>
      <c r="AU10" s="1408" t="s">
        <v>1091</v>
      </c>
      <c r="AV10" s="2269"/>
      <c r="AW10" s="760"/>
      <c r="AX10" s="2014"/>
      <c r="AY10" s="2014"/>
      <c r="AZ10" s="2014"/>
      <c r="BA10" s="2014"/>
      <c r="BB10" s="2014"/>
      <c r="BC10" s="2021"/>
    </row>
    <row r="11" spans="1:55" ht="14" customHeight="1" collapsed="1" x14ac:dyDescent="0.25">
      <c r="A11" s="1451" t="s">
        <v>941</v>
      </c>
      <c r="B11" s="764">
        <v>2003</v>
      </c>
      <c r="C11" s="764">
        <v>2003</v>
      </c>
      <c r="D11" s="764">
        <v>2004</v>
      </c>
      <c r="E11" s="764">
        <v>2004</v>
      </c>
      <c r="F11" s="764">
        <v>2005</v>
      </c>
      <c r="G11" s="765">
        <v>2005</v>
      </c>
      <c r="H11" s="765">
        <v>2006</v>
      </c>
      <c r="I11" s="765">
        <v>2006</v>
      </c>
      <c r="J11" s="766">
        <v>2007</v>
      </c>
      <c r="K11" s="767" t="s">
        <v>573</v>
      </c>
      <c r="L11" s="766">
        <v>2008</v>
      </c>
      <c r="M11" s="768">
        <v>2009</v>
      </c>
      <c r="N11" s="768">
        <v>2010</v>
      </c>
      <c r="O11" s="769">
        <v>39897</v>
      </c>
      <c r="P11" s="769">
        <v>40187</v>
      </c>
      <c r="Q11" s="769">
        <v>40251</v>
      </c>
      <c r="R11" s="769">
        <v>40550</v>
      </c>
      <c r="S11" s="769" t="s">
        <v>55</v>
      </c>
      <c r="T11" s="769">
        <v>40915</v>
      </c>
      <c r="U11" s="769">
        <v>40973</v>
      </c>
      <c r="V11" s="769">
        <v>41281</v>
      </c>
      <c r="W11" s="769">
        <v>41344</v>
      </c>
      <c r="X11" s="769">
        <v>41665</v>
      </c>
      <c r="Y11" s="769">
        <v>41715</v>
      </c>
      <c r="Z11" s="769">
        <v>42011</v>
      </c>
      <c r="AA11" s="769">
        <v>42080</v>
      </c>
      <c r="AB11" s="769" t="s">
        <v>852</v>
      </c>
      <c r="AC11" s="769">
        <v>42446</v>
      </c>
      <c r="AD11" s="769" t="s">
        <v>853</v>
      </c>
      <c r="AE11" s="1409" t="s">
        <v>1043</v>
      </c>
      <c r="AF11" s="1409" t="s">
        <v>1043</v>
      </c>
      <c r="AG11" s="769" t="s">
        <v>917</v>
      </c>
      <c r="AH11" s="1409" t="s">
        <v>917</v>
      </c>
      <c r="AI11" s="1409" t="s">
        <v>942</v>
      </c>
      <c r="AJ11" s="1409" t="s">
        <v>942</v>
      </c>
      <c r="AK11" s="1409" t="s">
        <v>995</v>
      </c>
      <c r="AL11" s="1409" t="s">
        <v>995</v>
      </c>
      <c r="AM11" s="1409" t="s">
        <v>1032</v>
      </c>
      <c r="AN11" s="1409" t="s">
        <v>1032</v>
      </c>
      <c r="AO11" s="1409" t="s">
        <v>1053</v>
      </c>
      <c r="AP11" s="1409" t="s">
        <v>1053</v>
      </c>
      <c r="AQ11" s="1409" t="s">
        <v>1084</v>
      </c>
      <c r="AR11" s="1409" t="s">
        <v>1084</v>
      </c>
      <c r="AS11" s="2262" t="s">
        <v>1167</v>
      </c>
      <c r="AT11" s="2345" t="s">
        <v>1167</v>
      </c>
      <c r="AU11" s="1409" t="s">
        <v>967</v>
      </c>
      <c r="AV11" s="2270" t="s">
        <v>158</v>
      </c>
      <c r="AW11" s="770" t="s">
        <v>433</v>
      </c>
      <c r="AX11" s="2015" t="s">
        <v>1092</v>
      </c>
      <c r="AY11" s="2015" t="s">
        <v>1133</v>
      </c>
      <c r="AZ11" s="2015"/>
      <c r="BA11" s="2015" t="s">
        <v>1280</v>
      </c>
      <c r="BB11" s="2015" t="s">
        <v>1279</v>
      </c>
      <c r="BC11" s="2012" t="s">
        <v>1071</v>
      </c>
    </row>
    <row r="12" spans="1:55" ht="14" hidden="1" customHeight="1" outlineLevel="1" x14ac:dyDescent="0.25">
      <c r="A12" s="771" t="s">
        <v>434</v>
      </c>
      <c r="B12" s="772"/>
      <c r="C12" s="773"/>
      <c r="D12" s="773"/>
      <c r="E12" s="773"/>
      <c r="F12" s="773"/>
      <c r="G12" s="774"/>
      <c r="H12" s="774"/>
      <c r="J12" s="775"/>
      <c r="K12" s="776"/>
      <c r="L12" s="776"/>
      <c r="M12" s="776"/>
      <c r="N12" s="776"/>
      <c r="O12" s="776"/>
      <c r="P12" s="776"/>
      <c r="Q12" s="776"/>
      <c r="R12" s="776"/>
      <c r="S12" s="776"/>
      <c r="T12" s="776"/>
      <c r="U12" s="776"/>
      <c r="V12" s="776"/>
      <c r="W12" s="776"/>
      <c r="X12" s="776"/>
      <c r="Y12" s="776"/>
      <c r="Z12" s="776"/>
      <c r="AA12" s="776"/>
      <c r="AB12" s="776"/>
      <c r="AC12" s="776"/>
      <c r="AD12" s="776"/>
      <c r="AE12" s="776"/>
      <c r="AF12" s="776"/>
      <c r="AG12" s="776"/>
      <c r="AH12" s="776"/>
      <c r="AI12" s="776"/>
      <c r="AJ12" s="776"/>
      <c r="AK12" s="776"/>
      <c r="AL12" s="776"/>
      <c r="AM12" s="776"/>
      <c r="AN12" s="776"/>
      <c r="AO12" s="776"/>
      <c r="AP12" s="776"/>
      <c r="AQ12" s="776"/>
      <c r="AR12" s="776"/>
      <c r="AS12" s="979"/>
      <c r="AT12" s="2346"/>
      <c r="AU12" s="776"/>
      <c r="AV12" s="2271"/>
      <c r="AW12" s="778"/>
      <c r="AX12" s="2016"/>
      <c r="AY12" s="2016"/>
      <c r="AZ12" s="2016"/>
      <c r="BA12" s="2016"/>
      <c r="BB12" s="2016"/>
    </row>
    <row r="13" spans="1:55" ht="14" hidden="1" customHeight="1" outlineLevel="1" x14ac:dyDescent="0.25">
      <c r="A13" s="779" t="s">
        <v>295</v>
      </c>
      <c r="B13" s="772"/>
      <c r="C13" s="773"/>
      <c r="D13" s="773"/>
      <c r="E13" s="773"/>
      <c r="F13" s="773"/>
      <c r="G13" s="774"/>
      <c r="H13" s="774"/>
      <c r="J13" s="775"/>
      <c r="K13" s="776"/>
      <c r="L13" s="776"/>
      <c r="M13" s="776"/>
      <c r="N13" s="776"/>
      <c r="O13" s="776"/>
      <c r="P13" s="776"/>
      <c r="Q13" s="776"/>
      <c r="R13" s="776"/>
      <c r="S13" s="776"/>
      <c r="T13" s="776"/>
      <c r="U13" s="776"/>
      <c r="V13" s="776"/>
      <c r="W13" s="776"/>
      <c r="X13" s="776"/>
      <c r="Y13" s="776"/>
      <c r="Z13" s="776"/>
      <c r="AA13" s="776"/>
      <c r="AB13" s="776"/>
      <c r="AC13" s="776"/>
      <c r="AD13" s="776"/>
      <c r="AE13" s="776"/>
      <c r="AF13" s="776" t="s">
        <v>160</v>
      </c>
      <c r="AG13" s="776"/>
      <c r="AH13" s="776"/>
      <c r="AI13" s="776"/>
      <c r="AJ13" s="776"/>
      <c r="AK13" s="776"/>
      <c r="AL13" s="776"/>
      <c r="AM13" s="776"/>
      <c r="AN13" s="776"/>
      <c r="AO13" s="776"/>
      <c r="AP13" s="776"/>
      <c r="AQ13" s="776"/>
      <c r="AR13" s="776"/>
      <c r="AS13" s="979"/>
      <c r="AT13" s="2346"/>
      <c r="AU13" s="776"/>
      <c r="AV13" s="2271"/>
      <c r="AW13" s="778"/>
      <c r="AX13" s="2016"/>
      <c r="AY13" s="2016"/>
      <c r="AZ13" s="2016"/>
      <c r="BA13" s="2016"/>
      <c r="BB13" s="2016"/>
    </row>
    <row r="14" spans="1:55" ht="14" hidden="1" customHeight="1" outlineLevel="1" x14ac:dyDescent="0.25">
      <c r="A14" s="771" t="s">
        <v>293</v>
      </c>
      <c r="B14" s="780">
        <v>50</v>
      </c>
      <c r="C14" s="781">
        <v>50</v>
      </c>
      <c r="D14" s="781">
        <v>50</v>
      </c>
      <c r="E14" s="781">
        <v>50</v>
      </c>
      <c r="F14" s="781">
        <v>50</v>
      </c>
      <c r="G14" s="782">
        <v>50</v>
      </c>
      <c r="H14" s="782">
        <v>50</v>
      </c>
      <c r="I14" s="783">
        <v>50</v>
      </c>
      <c r="J14" s="784">
        <v>50</v>
      </c>
      <c r="K14" s="785" t="s">
        <v>455</v>
      </c>
      <c r="L14" s="786">
        <f>J14</f>
        <v>50</v>
      </c>
      <c r="M14" s="786">
        <v>50</v>
      </c>
      <c r="N14" s="787">
        <v>45</v>
      </c>
      <c r="O14" s="788">
        <v>1</v>
      </c>
      <c r="P14" s="788">
        <v>1</v>
      </c>
      <c r="Q14" s="788">
        <v>1</v>
      </c>
      <c r="R14" s="788">
        <v>1</v>
      </c>
      <c r="S14" s="788">
        <v>1</v>
      </c>
      <c r="T14" s="788">
        <v>50</v>
      </c>
      <c r="U14" s="788">
        <v>50</v>
      </c>
      <c r="V14" s="788">
        <v>50</v>
      </c>
      <c r="W14" s="788">
        <v>50</v>
      </c>
      <c r="X14" s="788">
        <v>50</v>
      </c>
      <c r="Y14" s="788">
        <v>50</v>
      </c>
      <c r="Z14" s="788">
        <v>50</v>
      </c>
      <c r="AA14" s="788">
        <f>Z14</f>
        <v>50</v>
      </c>
      <c r="AB14" s="788">
        <v>50</v>
      </c>
      <c r="AC14" s="788">
        <f>AB14</f>
        <v>50</v>
      </c>
      <c r="AD14" s="788"/>
      <c r="AE14" s="788">
        <v>50</v>
      </c>
      <c r="AF14" s="788"/>
      <c r="AG14" s="788">
        <v>50</v>
      </c>
      <c r="AH14" s="788">
        <v>50</v>
      </c>
      <c r="AI14" s="788">
        <v>50</v>
      </c>
      <c r="AJ14" s="788">
        <v>50</v>
      </c>
      <c r="AK14" s="788">
        <v>50</v>
      </c>
      <c r="AL14" s="788">
        <v>50</v>
      </c>
      <c r="AM14" s="788">
        <v>50</v>
      </c>
      <c r="AN14" s="788">
        <v>50</v>
      </c>
      <c r="AO14" s="788">
        <v>50</v>
      </c>
      <c r="AP14" s="788">
        <v>50</v>
      </c>
      <c r="AQ14" s="788">
        <v>50</v>
      </c>
      <c r="AR14" s="788">
        <v>50</v>
      </c>
      <c r="AS14" s="841">
        <v>50</v>
      </c>
      <c r="AT14" s="891">
        <f>'[1]BUDGET DETAIL'!$CX$7</f>
        <v>50</v>
      </c>
      <c r="AU14" s="788">
        <f>IF(AR14&gt;0,AT14-AR14,"")</f>
        <v>0</v>
      </c>
      <c r="AV14" s="2272">
        <f>IF(AR14&gt;0,AU14/AR14,"")</f>
        <v>0</v>
      </c>
      <c r="AW14" s="789"/>
      <c r="AX14" s="2016" t="str">
        <f>IF(AS14=AR14,"","xx")</f>
        <v/>
      </c>
      <c r="AY14" s="2016"/>
      <c r="AZ14" s="2016"/>
      <c r="BA14" s="2016"/>
      <c r="BB14" s="2016"/>
      <c r="BC14" s="2023"/>
    </row>
    <row r="15" spans="1:55" ht="14" hidden="1" customHeight="1" outlineLevel="1" x14ac:dyDescent="0.25">
      <c r="A15" s="2331" t="s">
        <v>558</v>
      </c>
      <c r="B15" s="791"/>
      <c r="C15" s="792"/>
      <c r="D15" s="792"/>
      <c r="E15" s="793"/>
      <c r="F15" s="792"/>
      <c r="G15" s="794"/>
      <c r="H15" s="794"/>
      <c r="I15" s="795"/>
      <c r="J15" s="796"/>
      <c r="K15" s="797"/>
      <c r="L15" s="797"/>
      <c r="M15" s="798">
        <f>SUM(M12:M14)</f>
        <v>50</v>
      </c>
      <c r="N15" s="799">
        <f>SUM(N12:N14)</f>
        <v>45</v>
      </c>
      <c r="O15" s="800">
        <f>O14</f>
        <v>1</v>
      </c>
      <c r="P15" s="800">
        <f>P14</f>
        <v>1</v>
      </c>
      <c r="Q15" s="800">
        <f>IF(SUM(Q14)=0,P15,Q14)</f>
        <v>1</v>
      </c>
      <c r="R15" s="800">
        <f>R14</f>
        <v>1</v>
      </c>
      <c r="S15" s="800">
        <f>IF(SUM(S14)=0,R15,S14)</f>
        <v>1</v>
      </c>
      <c r="T15" s="800">
        <v>50</v>
      </c>
      <c r="U15" s="800">
        <v>50</v>
      </c>
      <c r="V15" s="800">
        <f>V14</f>
        <v>50</v>
      </c>
      <c r="W15" s="800">
        <f>IF(SUM(W14)=0,V15,W14)</f>
        <v>50</v>
      </c>
      <c r="X15" s="800">
        <f>X14</f>
        <v>50</v>
      </c>
      <c r="Y15" s="800">
        <f>IF(SUM(Y14)=0,X15,Y14)</f>
        <v>50</v>
      </c>
      <c r="Z15" s="800">
        <f>Z14</f>
        <v>50</v>
      </c>
      <c r="AA15" s="800">
        <f>IF(SUM(AA14)=0,Z15,AA14)</f>
        <v>50</v>
      </c>
      <c r="AB15" s="800">
        <f>AB14</f>
        <v>50</v>
      </c>
      <c r="AC15" s="800">
        <f>IF(SUM(AC14)=0,AB15,AC14)</f>
        <v>50</v>
      </c>
      <c r="AD15" s="800"/>
      <c r="AE15" s="800">
        <v>50</v>
      </c>
      <c r="AF15" s="800">
        <v>50</v>
      </c>
      <c r="AG15" s="800">
        <v>50</v>
      </c>
      <c r="AH15" s="800">
        <v>50</v>
      </c>
      <c r="AI15" s="800">
        <v>50</v>
      </c>
      <c r="AJ15" s="800">
        <v>50</v>
      </c>
      <c r="AK15" s="800">
        <v>50</v>
      </c>
      <c r="AL15" s="800">
        <v>50</v>
      </c>
      <c r="AM15" s="800">
        <v>50</v>
      </c>
      <c r="AN15" s="800">
        <v>50</v>
      </c>
      <c r="AO15" s="800">
        <v>50</v>
      </c>
      <c r="AP15" s="800">
        <f>SUM(AP14)</f>
        <v>50</v>
      </c>
      <c r="AQ15" s="800">
        <v>50</v>
      </c>
      <c r="AR15" s="800">
        <v>50</v>
      </c>
      <c r="AS15" s="1621">
        <v>50</v>
      </c>
      <c r="AT15" s="921">
        <f>SUM(AT14)</f>
        <v>50</v>
      </c>
      <c r="AU15" s="800">
        <f t="shared" ref="AU15:AU17" si="0">IF(AR15&gt;0,AT15-AR15,"")</f>
        <v>0</v>
      </c>
      <c r="AV15" s="2273">
        <f t="shared" ref="AV15:AV78" si="1">IF(AR15&gt;0,AU15/AR15,"")</f>
        <v>0</v>
      </c>
      <c r="AW15" s="803"/>
      <c r="AX15" s="2016" t="str">
        <f t="shared" ref="AX15:AX78" si="2">IF(AS15=AR15,"","xx")</f>
        <v/>
      </c>
      <c r="AY15" s="2016"/>
      <c r="AZ15" s="2016"/>
      <c r="BA15" s="2518">
        <f>POWER(AT15/AJ15,1/5)-1</f>
        <v>0</v>
      </c>
      <c r="BB15" s="2518">
        <f>POWER(AT15/AA15,1/9)-1</f>
        <v>0</v>
      </c>
      <c r="BC15" s="2332"/>
    </row>
    <row r="16" spans="1:55" ht="14" hidden="1" customHeight="1" outlineLevel="1" x14ac:dyDescent="0.25">
      <c r="A16" s="779" t="s">
        <v>294</v>
      </c>
      <c r="B16" s="772"/>
      <c r="C16" s="773"/>
      <c r="D16" s="773"/>
      <c r="E16" s="804"/>
      <c r="F16" s="773"/>
      <c r="G16" s="774"/>
      <c r="H16" s="774"/>
      <c r="J16" s="775"/>
      <c r="K16" s="776"/>
      <c r="L16" s="776"/>
      <c r="M16" s="776"/>
      <c r="N16" s="805"/>
      <c r="O16" s="776"/>
      <c r="P16" s="776"/>
      <c r="Q16" s="776"/>
      <c r="R16" s="776"/>
      <c r="S16" s="776"/>
      <c r="T16" s="776"/>
      <c r="U16" s="776"/>
      <c r="V16" s="776"/>
      <c r="W16" s="776"/>
      <c r="X16" s="776"/>
      <c r="Y16" s="776"/>
      <c r="Z16" s="776"/>
      <c r="AA16" s="776"/>
      <c r="AB16" s="776"/>
      <c r="AC16" s="776"/>
      <c r="AD16" s="776"/>
      <c r="AE16" s="776"/>
      <c r="AF16" s="776"/>
      <c r="AG16" s="776"/>
      <c r="AH16" s="776"/>
      <c r="AI16" s="776"/>
      <c r="AJ16" s="776"/>
      <c r="AK16" s="776"/>
      <c r="AL16" s="776"/>
      <c r="AM16" s="776"/>
      <c r="AN16" s="776"/>
      <c r="AO16" s="776"/>
      <c r="AP16" s="776"/>
      <c r="AQ16" s="776"/>
      <c r="AR16" s="776"/>
      <c r="AS16" s="979"/>
      <c r="AT16" s="2346"/>
      <c r="AU16" s="776" t="str">
        <f t="shared" si="0"/>
        <v/>
      </c>
      <c r="AV16" s="2271" t="str">
        <f t="shared" si="1"/>
        <v/>
      </c>
      <c r="AW16" s="778"/>
      <c r="AX16" s="2016" t="str">
        <f t="shared" si="2"/>
        <v/>
      </c>
      <c r="AY16" s="2016"/>
      <c r="AZ16" s="2016"/>
      <c r="BA16" s="2016"/>
      <c r="BB16" s="2016"/>
      <c r="BC16" s="2011" t="s">
        <v>1220</v>
      </c>
    </row>
    <row r="17" spans="1:55" ht="14" hidden="1" customHeight="1" outlineLevel="1" x14ac:dyDescent="0.25">
      <c r="A17" s="779" t="s">
        <v>809</v>
      </c>
      <c r="B17" s="772">
        <v>67217</v>
      </c>
      <c r="C17" s="773">
        <v>67217</v>
      </c>
      <c r="D17" s="773">
        <v>70054</v>
      </c>
      <c r="E17" s="773">
        <v>70054</v>
      </c>
      <c r="F17" s="773">
        <v>70054</v>
      </c>
      <c r="G17" s="774">
        <v>70054</v>
      </c>
      <c r="H17" s="774">
        <v>72292</v>
      </c>
      <c r="I17" s="774">
        <f>4182+67042+750</f>
        <v>71974</v>
      </c>
      <c r="J17" s="806">
        <v>119723</v>
      </c>
      <c r="L17" s="807">
        <v>159103</v>
      </c>
      <c r="M17" s="807">
        <v>163075</v>
      </c>
      <c r="N17" s="808">
        <v>161410</v>
      </c>
      <c r="O17" s="809">
        <v>162653</v>
      </c>
      <c r="P17" s="810">
        <v>164406</v>
      </c>
      <c r="Q17" s="810">
        <v>164406</v>
      </c>
      <c r="R17" s="810">
        <v>165905</v>
      </c>
      <c r="S17" s="810"/>
      <c r="T17" s="810">
        <v>176323</v>
      </c>
      <c r="U17" s="810">
        <v>176323</v>
      </c>
      <c r="V17" s="810">
        <v>177634</v>
      </c>
      <c r="W17" s="788">
        <f>V17</f>
        <v>177634</v>
      </c>
      <c r="X17" s="810">
        <v>182160</v>
      </c>
      <c r="Y17" s="810">
        <v>182160</v>
      </c>
      <c r="Z17" s="810">
        <v>188428</v>
      </c>
      <c r="AA17" s="810">
        <f>Z17</f>
        <v>188428</v>
      </c>
      <c r="AB17" s="810">
        <v>175898</v>
      </c>
      <c r="AC17" s="810">
        <f>AB17</f>
        <v>175898</v>
      </c>
      <c r="AD17" s="810"/>
      <c r="AE17" s="810">
        <v>127505</v>
      </c>
      <c r="AF17" s="810">
        <v>0</v>
      </c>
      <c r="AG17" s="810">
        <v>131330.15</v>
      </c>
      <c r="AH17" s="810">
        <v>197199</v>
      </c>
      <c r="AI17" s="810">
        <v>203114.97</v>
      </c>
      <c r="AJ17" s="810">
        <v>200938</v>
      </c>
      <c r="AK17" s="810">
        <v>206966.14</v>
      </c>
      <c r="AL17" s="810">
        <v>209563</v>
      </c>
      <c r="AM17" s="810">
        <f>AL17*$AH$3</f>
        <v>213754.26</v>
      </c>
      <c r="AN17" s="810">
        <v>213683</v>
      </c>
      <c r="AO17" s="810">
        <v>219025.07499999998</v>
      </c>
      <c r="AP17" s="810">
        <v>227735</v>
      </c>
      <c r="AQ17" s="810">
        <f>AP17*$AH$3</f>
        <v>232289.7</v>
      </c>
      <c r="AR17" s="810">
        <v>232346</v>
      </c>
      <c r="AS17" s="1410">
        <f>AR17*$AH$3</f>
        <v>236992.92</v>
      </c>
      <c r="AT17" s="809">
        <f>'[1]BUDGET DETAIL'!$CX$18</f>
        <v>238778</v>
      </c>
      <c r="AU17" s="810">
        <f t="shared" si="0"/>
        <v>6432</v>
      </c>
      <c r="AV17" s="2274">
        <f t="shared" si="1"/>
        <v>2.7682852297866115E-2</v>
      </c>
      <c r="AW17" s="1423"/>
      <c r="AX17" s="2016"/>
      <c r="AY17" s="2016"/>
      <c r="AZ17" s="2016"/>
      <c r="BA17" s="2016"/>
      <c r="BB17" s="2016"/>
      <c r="BC17" s="2011"/>
    </row>
    <row r="18" spans="1:55" ht="14" hidden="1" customHeight="1" outlineLevel="1" x14ac:dyDescent="0.25">
      <c r="A18" s="779" t="s">
        <v>810</v>
      </c>
      <c r="B18" s="772">
        <v>45050</v>
      </c>
      <c r="C18" s="773">
        <v>43845.72</v>
      </c>
      <c r="D18" s="773">
        <v>67546</v>
      </c>
      <c r="E18" s="773">
        <v>67546</v>
      </c>
      <c r="F18" s="773">
        <v>67290</v>
      </c>
      <c r="G18" s="774">
        <v>67301.75</v>
      </c>
      <c r="H18" s="774">
        <v>70127</v>
      </c>
      <c r="I18" s="774">
        <f>60084.11+1271.88</f>
        <v>61355.99</v>
      </c>
      <c r="J18" s="806">
        <v>54507</v>
      </c>
      <c r="K18" s="788"/>
      <c r="L18" s="807">
        <v>35768</v>
      </c>
      <c r="M18" s="807">
        <v>38963</v>
      </c>
      <c r="N18" s="808">
        <v>41197</v>
      </c>
      <c r="O18" s="788">
        <v>41197</v>
      </c>
      <c r="P18" s="788">
        <v>41197</v>
      </c>
      <c r="Q18" s="788">
        <v>41197</v>
      </c>
      <c r="R18" s="788">
        <v>41197</v>
      </c>
      <c r="S18" s="788"/>
      <c r="T18" s="788">
        <v>43160</v>
      </c>
      <c r="U18" s="788">
        <v>43160</v>
      </c>
      <c r="V18" s="810">
        <v>44203</v>
      </c>
      <c r="W18" s="788">
        <f>V18</f>
        <v>44203</v>
      </c>
      <c r="X18" s="810">
        <v>45080</v>
      </c>
      <c r="Y18" s="810">
        <v>45080</v>
      </c>
      <c r="Z18" s="810">
        <v>53150</v>
      </c>
      <c r="AA18" s="810">
        <f>Z18</f>
        <v>53150</v>
      </c>
      <c r="AB18" s="810">
        <v>54706</v>
      </c>
      <c r="AC18" s="810">
        <f>AB18</f>
        <v>54706</v>
      </c>
      <c r="AD18" s="810"/>
      <c r="AE18" s="810">
        <v>118229</v>
      </c>
      <c r="AF18" s="810"/>
      <c r="AG18" s="810">
        <v>121775.87000000001</v>
      </c>
      <c r="AH18" s="810">
        <v>63212</v>
      </c>
      <c r="AI18" s="810">
        <v>65108.36</v>
      </c>
      <c r="AJ18" s="810">
        <v>69010</v>
      </c>
      <c r="AK18" s="810">
        <v>71080.3</v>
      </c>
      <c r="AL18" s="810">
        <v>70452</v>
      </c>
      <c r="AM18" s="810">
        <f>AL18*$AH$3</f>
        <v>71861.040000000008</v>
      </c>
      <c r="AN18" s="810">
        <v>71868</v>
      </c>
      <c r="AO18" s="810">
        <v>73664.7</v>
      </c>
      <c r="AP18" s="810">
        <v>81402</v>
      </c>
      <c r="AQ18" s="810">
        <f>AP18*$AH$3</f>
        <v>83030.040000000008</v>
      </c>
      <c r="AR18" s="810">
        <v>75569</v>
      </c>
      <c r="AS18" s="1410">
        <f>AR18*$AH$3</f>
        <v>77080.38</v>
      </c>
      <c r="AT18" s="809">
        <f>'[1]BUDGET DETAIL'!$CX$27+AX18*AY18</f>
        <v>78572</v>
      </c>
      <c r="AU18" s="810">
        <f t="shared" ref="AU18:AU26" si="3">IF(AR18&gt;0,AT18-AR18,"")</f>
        <v>3003</v>
      </c>
      <c r="AV18" s="2274">
        <f t="shared" si="1"/>
        <v>3.9738517116807155E-2</v>
      </c>
      <c r="AW18" s="778"/>
      <c r="AX18" s="2016">
        <f>'Vote track budget'!F18</f>
        <v>1250</v>
      </c>
      <c r="AY18" s="2016">
        <v>1</v>
      </c>
      <c r="AZ18" s="2016">
        <f>AX18*AY18</f>
        <v>1250</v>
      </c>
      <c r="BA18" s="2016"/>
      <c r="BB18" s="2016"/>
      <c r="BC18" s="2011" t="s">
        <v>1220</v>
      </c>
    </row>
    <row r="19" spans="1:55" ht="14" hidden="1" customHeight="1" outlineLevel="1" x14ac:dyDescent="0.25">
      <c r="A19" s="779" t="s">
        <v>812</v>
      </c>
      <c r="B19" s="772">
        <v>38729</v>
      </c>
      <c r="C19" s="773">
        <f>SUM(29950.72)</f>
        <v>29950.720000000001</v>
      </c>
      <c r="D19" s="773">
        <f>9223+24050</f>
        <v>33273</v>
      </c>
      <c r="E19" s="773">
        <v>30439.03</v>
      </c>
      <c r="F19" s="773">
        <v>33273</v>
      </c>
      <c r="G19" s="774">
        <v>34636.71</v>
      </c>
      <c r="H19" s="774">
        <v>34414</v>
      </c>
      <c r="I19" s="774">
        <v>29484</v>
      </c>
      <c r="J19" s="806">
        <v>31508</v>
      </c>
      <c r="K19" s="785" t="s">
        <v>455</v>
      </c>
      <c r="L19" s="812">
        <v>42927.4</v>
      </c>
      <c r="M19" s="812">
        <v>37920</v>
      </c>
      <c r="N19" s="813">
        <v>28240</v>
      </c>
      <c r="O19" s="788">
        <v>26740</v>
      </c>
      <c r="P19" s="788">
        <v>25890</v>
      </c>
      <c r="Q19" s="788">
        <v>25890</v>
      </c>
      <c r="R19" s="788">
        <v>28890</v>
      </c>
      <c r="S19" s="788"/>
      <c r="T19" s="788">
        <v>32315</v>
      </c>
      <c r="U19" s="788">
        <v>33315</v>
      </c>
      <c r="V19" s="810">
        <v>34067</v>
      </c>
      <c r="W19" s="788">
        <f>V19</f>
        <v>34067</v>
      </c>
      <c r="X19" s="810">
        <v>37867</v>
      </c>
      <c r="Y19" s="810">
        <v>37867</v>
      </c>
      <c r="Z19" s="810">
        <v>39696</v>
      </c>
      <c r="AA19" s="810">
        <f>Z19</f>
        <v>39696</v>
      </c>
      <c r="AB19" s="810">
        <v>40887</v>
      </c>
      <c r="AC19" s="810">
        <f>AB19</f>
        <v>40887</v>
      </c>
      <c r="AD19" s="810"/>
      <c r="AE19" s="810">
        <v>18311</v>
      </c>
      <c r="AF19" s="810"/>
      <c r="AG19" s="810">
        <v>18311</v>
      </c>
      <c r="AH19" s="810">
        <v>18311</v>
      </c>
      <c r="AI19" s="810">
        <v>18311</v>
      </c>
      <c r="AJ19" s="810">
        <v>18311</v>
      </c>
      <c r="AK19" s="810">
        <v>18311</v>
      </c>
      <c r="AL19" s="810">
        <v>14111</v>
      </c>
      <c r="AM19" s="810">
        <f>AL19*$AH$4</f>
        <v>14111</v>
      </c>
      <c r="AN19" s="810">
        <v>14111</v>
      </c>
      <c r="AO19" s="810">
        <v>14111</v>
      </c>
      <c r="AP19" s="810">
        <v>14111</v>
      </c>
      <c r="AQ19" s="810">
        <f>AP19*$AH$4</f>
        <v>14111</v>
      </c>
      <c r="AR19" s="810">
        <v>13890</v>
      </c>
      <c r="AS19" s="1410">
        <f>AR19*$AH$4</f>
        <v>13890</v>
      </c>
      <c r="AT19" s="809">
        <f>'[1]BUDGET DETAIL'!$CX$39</f>
        <v>13890</v>
      </c>
      <c r="AU19" s="810">
        <f t="shared" si="3"/>
        <v>0</v>
      </c>
      <c r="AV19" s="2274">
        <f t="shared" si="1"/>
        <v>0</v>
      </c>
      <c r="AW19" s="1542"/>
      <c r="AX19" s="2016" t="str">
        <f t="shared" si="2"/>
        <v/>
      </c>
      <c r="AY19" s="2016"/>
      <c r="AZ19" s="2016"/>
      <c r="BA19" s="2016"/>
      <c r="BB19" s="2016"/>
      <c r="BC19" s="2332"/>
    </row>
    <row r="20" spans="1:55" ht="14" hidden="1" customHeight="1" outlineLevel="1" x14ac:dyDescent="0.25">
      <c r="A20" s="771" t="s">
        <v>813</v>
      </c>
      <c r="B20" s="814">
        <f>SUM(B17:B19)</f>
        <v>150996</v>
      </c>
      <c r="C20" s="814">
        <f>SUM(C17:C19)</f>
        <v>141013.44</v>
      </c>
      <c r="D20" s="814">
        <f>SUM(D16:D19)</f>
        <v>170873</v>
      </c>
      <c r="E20" s="814">
        <f t="shared" ref="E20:N20" si="4">SUM(E17:E19)</f>
        <v>168039.03</v>
      </c>
      <c r="F20" s="814">
        <f t="shared" si="4"/>
        <v>170617</v>
      </c>
      <c r="G20" s="814">
        <f t="shared" si="4"/>
        <v>171992.46</v>
      </c>
      <c r="H20" s="814">
        <f t="shared" si="4"/>
        <v>176833</v>
      </c>
      <c r="I20" s="814">
        <f t="shared" si="4"/>
        <v>162813.99</v>
      </c>
      <c r="J20" s="815">
        <f t="shared" si="4"/>
        <v>205738</v>
      </c>
      <c r="K20" s="816">
        <v>38796</v>
      </c>
      <c r="L20" s="817">
        <f t="shared" si="4"/>
        <v>237798.39999999999</v>
      </c>
      <c r="M20" s="817">
        <f t="shared" si="4"/>
        <v>239958</v>
      </c>
      <c r="N20" s="818">
        <f t="shared" si="4"/>
        <v>230847</v>
      </c>
      <c r="O20" s="785">
        <f>SUM(O17:O19)</f>
        <v>230590</v>
      </c>
      <c r="P20" s="785">
        <f>SUM(P17:P19)</f>
        <v>231493</v>
      </c>
      <c r="Q20" s="819">
        <f>IF(SUM(Q17:Q19)=0,P20,SUM(Q17:Q19))</f>
        <v>231493</v>
      </c>
      <c r="R20" s="785">
        <f>SUM(R17:R19)</f>
        <v>235992</v>
      </c>
      <c r="S20" s="820">
        <f>IF(SUM(S17:S19)=0,R20,SUM(S17:S19))</f>
        <v>235992</v>
      </c>
      <c r="T20" s="820">
        <v>251798</v>
      </c>
      <c r="U20" s="820">
        <v>252798</v>
      </c>
      <c r="V20" s="785">
        <f>SUM(V17:V19)</f>
        <v>255904</v>
      </c>
      <c r="W20" s="820">
        <f>IF(SUM(W17:W19)=0,V20,SUM(W17:W19))</f>
        <v>255904</v>
      </c>
      <c r="X20" s="785">
        <f>SUM(X17:X19)</f>
        <v>265107</v>
      </c>
      <c r="Y20" s="820">
        <f>IF(SUM(Y17:Y19)=0,X20,SUM(Y17:Y19))</f>
        <v>265107</v>
      </c>
      <c r="Z20" s="819">
        <f>SUM(Z17:Z19)</f>
        <v>281274</v>
      </c>
      <c r="AA20" s="819">
        <f>IF(SUM(AA17:AA19)=0,Z20,SUM(AA17:AA19))</f>
        <v>281274</v>
      </c>
      <c r="AB20" s="819">
        <f>SUM(AB17:AB19)</f>
        <v>271491</v>
      </c>
      <c r="AC20" s="819">
        <f>IF(SUM(AC17:AC19)=0,AB20,SUM(AC17:AC19))</f>
        <v>271491</v>
      </c>
      <c r="AD20" s="819"/>
      <c r="AE20" s="819">
        <v>264045</v>
      </c>
      <c r="AF20" s="819">
        <v>264045</v>
      </c>
      <c r="AG20" s="819">
        <v>271417.02</v>
      </c>
      <c r="AH20" s="819">
        <v>278722</v>
      </c>
      <c r="AI20" s="785">
        <v>286534.33</v>
      </c>
      <c r="AJ20" s="785">
        <v>288259</v>
      </c>
      <c r="AK20" s="785">
        <v>296357.44</v>
      </c>
      <c r="AL20" s="785">
        <v>294126</v>
      </c>
      <c r="AM20" s="785">
        <f>IF(SUM(AM17:AM19)=0,AL10,SUM(AM17:AM19))</f>
        <v>299726.30000000005</v>
      </c>
      <c r="AN20" s="785">
        <f>IF(SUM(AN17:AN19)=0,AM10,SUM(AN17:AN19))</f>
        <v>299662</v>
      </c>
      <c r="AO20" s="785">
        <v>306800.77499999997</v>
      </c>
      <c r="AP20" s="785">
        <f>IF(SUM(AP17:AP19)=0,AO10,SUM(AP17:AP19))</f>
        <v>323248</v>
      </c>
      <c r="AQ20" s="785">
        <f>IF(SUM(AQ17:AQ19)=0,AP10,SUM(AQ17:AQ19))</f>
        <v>329430.74</v>
      </c>
      <c r="AR20" s="785">
        <f>IF(SUM(AR17:AR19)=0,AQ10,SUM(AR17:AR19))</f>
        <v>321805</v>
      </c>
      <c r="AS20" s="820">
        <f>IF(SUM(AS17:AS19)=0,AR10,SUM(AS17:AS19))</f>
        <v>327963.30000000005</v>
      </c>
      <c r="AT20" s="819">
        <f>IF(SUM(AT17:AT19)=0,AS10,SUM(AT17:AT19))</f>
        <v>331240</v>
      </c>
      <c r="AU20" s="785">
        <f t="shared" si="3"/>
        <v>9435</v>
      </c>
      <c r="AV20" s="2275">
        <f t="shared" si="1"/>
        <v>2.9318997529559826E-2</v>
      </c>
      <c r="AW20" s="778"/>
      <c r="AX20" s="2016"/>
      <c r="AY20" s="2016"/>
      <c r="AZ20" s="2016"/>
      <c r="BA20" s="2518">
        <f>POWER(AT20/AJ20,1/5)-1</f>
        <v>2.8186695879435009E-2</v>
      </c>
      <c r="BB20" s="2518">
        <f>POWER(AT20/AA20,1/9)-1</f>
        <v>1.8334257681162702E-2</v>
      </c>
      <c r="BC20" s="2332"/>
    </row>
    <row r="21" spans="1:55" ht="14" hidden="1" customHeight="1" outlineLevel="1" x14ac:dyDescent="0.25">
      <c r="A21" s="821"/>
      <c r="B21" s="791"/>
      <c r="C21" s="792"/>
      <c r="D21" s="792"/>
      <c r="E21" s="793"/>
      <c r="F21" s="792"/>
      <c r="G21" s="794"/>
      <c r="H21" s="794"/>
      <c r="I21" s="795"/>
      <c r="J21" s="796"/>
      <c r="K21" s="822"/>
      <c r="L21" s="822"/>
      <c r="M21" s="823"/>
      <c r="N21" s="824"/>
      <c r="O21" s="822"/>
      <c r="P21" s="822"/>
      <c r="Q21" s="822"/>
      <c r="R21" s="822"/>
      <c r="S21" s="822"/>
      <c r="T21" s="822"/>
      <c r="U21" s="822"/>
      <c r="V21" s="822"/>
      <c r="W21" s="822"/>
      <c r="X21" s="822"/>
      <c r="Y21" s="822"/>
      <c r="Z21" s="822"/>
      <c r="AA21" s="822"/>
      <c r="AB21" s="822"/>
      <c r="AC21" s="822"/>
      <c r="AD21" s="822"/>
      <c r="AE21" s="822"/>
      <c r="AF21" s="822"/>
      <c r="AG21" s="822"/>
      <c r="AH21" s="822"/>
      <c r="AI21" s="822"/>
      <c r="AJ21" s="822"/>
      <c r="AK21" s="822"/>
      <c r="AL21" s="822"/>
      <c r="AM21" s="822"/>
      <c r="AN21" s="822"/>
      <c r="AO21" s="822"/>
      <c r="AP21" s="822"/>
      <c r="AQ21" s="822"/>
      <c r="AR21" s="822"/>
      <c r="AS21" s="1160"/>
      <c r="AT21" s="823"/>
      <c r="AU21" s="822" t="str">
        <f t="shared" si="3"/>
        <v/>
      </c>
      <c r="AV21" s="2276" t="str">
        <f t="shared" si="1"/>
        <v/>
      </c>
      <c r="AW21" s="803"/>
      <c r="AX21" s="2016" t="str">
        <f t="shared" si="2"/>
        <v/>
      </c>
      <c r="AY21" s="2016"/>
      <c r="AZ21" s="2016"/>
      <c r="BA21" s="2016"/>
      <c r="BB21" s="2016"/>
    </row>
    <row r="22" spans="1:55" ht="14" hidden="1" customHeight="1" outlineLevel="1" x14ac:dyDescent="0.25">
      <c r="A22" s="779" t="s">
        <v>298</v>
      </c>
      <c r="B22" s="772"/>
      <c r="C22" s="773"/>
      <c r="D22" s="773"/>
      <c r="E22" s="804"/>
      <c r="F22" s="773"/>
      <c r="G22" s="774"/>
      <c r="H22" s="774"/>
      <c r="J22" s="775"/>
      <c r="K22" s="825"/>
      <c r="L22" s="825"/>
      <c r="M22" s="825"/>
      <c r="N22" s="80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825"/>
      <c r="AK22" s="825"/>
      <c r="AL22" s="825"/>
      <c r="AM22" s="825"/>
      <c r="AN22" s="825"/>
      <c r="AO22" s="825"/>
      <c r="AP22" s="825"/>
      <c r="AQ22" s="825"/>
      <c r="AR22" s="825"/>
      <c r="AS22" s="1110"/>
      <c r="AT22" s="1040"/>
      <c r="AU22" s="825" t="str">
        <f t="shared" si="3"/>
        <v/>
      </c>
      <c r="AV22" s="2274" t="str">
        <f t="shared" si="1"/>
        <v/>
      </c>
      <c r="AW22" s="778"/>
      <c r="AX22" s="2016" t="str">
        <f t="shared" si="2"/>
        <v/>
      </c>
      <c r="AY22" s="2016"/>
      <c r="AZ22" s="2016"/>
      <c r="BA22" s="2016"/>
      <c r="BB22" s="2016"/>
    </row>
    <row r="23" spans="1:55" ht="14" hidden="1" customHeight="1" outlineLevel="1" x14ac:dyDescent="0.25">
      <c r="A23" s="779" t="s">
        <v>811</v>
      </c>
      <c r="B23" s="772">
        <v>0</v>
      </c>
      <c r="C23" s="773"/>
      <c r="D23" s="773"/>
      <c r="E23" s="826">
        <v>0</v>
      </c>
      <c r="F23" s="773"/>
      <c r="G23" s="774"/>
      <c r="H23" s="774"/>
      <c r="I23" s="712">
        <v>128139</v>
      </c>
      <c r="J23" s="773"/>
      <c r="K23" s="788"/>
      <c r="L23" s="812">
        <v>0</v>
      </c>
      <c r="M23" s="812"/>
      <c r="N23" s="813"/>
      <c r="O23" s="788"/>
      <c r="P23" s="788">
        <v>0</v>
      </c>
      <c r="Q23" s="788">
        <v>0</v>
      </c>
      <c r="R23" s="788">
        <v>0</v>
      </c>
      <c r="S23" s="788"/>
      <c r="T23" s="788">
        <v>0</v>
      </c>
      <c r="U23" s="788"/>
      <c r="V23" s="788">
        <v>0</v>
      </c>
      <c r="W23" s="788"/>
      <c r="X23" s="788">
        <v>0</v>
      </c>
      <c r="Y23" s="788"/>
      <c r="Z23" s="810">
        <f>Y23*(1+$A$4/100)</f>
        <v>0</v>
      </c>
      <c r="AA23" s="788"/>
      <c r="AB23" s="810">
        <f>AA23*(1+$A$4/100)</f>
        <v>0</v>
      </c>
      <c r="AC23" s="788"/>
      <c r="AD23" s="788"/>
      <c r="AE23" s="788"/>
      <c r="AF23" s="788"/>
      <c r="AG23" s="788"/>
      <c r="AH23" s="788"/>
      <c r="AI23" s="788"/>
      <c r="AJ23" s="788"/>
      <c r="AK23" s="788"/>
      <c r="AL23" s="788"/>
      <c r="AM23" s="788"/>
      <c r="AN23" s="788"/>
      <c r="AO23" s="788"/>
      <c r="AP23" s="788"/>
      <c r="AQ23" s="788"/>
      <c r="AR23" s="788"/>
      <c r="AS23" s="841"/>
      <c r="AT23" s="891"/>
      <c r="AU23" s="788" t="str">
        <f t="shared" si="3"/>
        <v/>
      </c>
      <c r="AV23" s="2272" t="str">
        <f t="shared" si="1"/>
        <v/>
      </c>
      <c r="AW23" s="778"/>
      <c r="AX23" s="2016" t="str">
        <f t="shared" si="2"/>
        <v/>
      </c>
      <c r="AY23" s="2016"/>
      <c r="AZ23" s="2016"/>
      <c r="BA23" s="2016"/>
      <c r="BB23" s="2016"/>
      <c r="BC23" s="2011" t="s">
        <v>1220</v>
      </c>
    </row>
    <row r="24" spans="1:55" ht="14" hidden="1" customHeight="1" outlineLevel="1" x14ac:dyDescent="0.25">
      <c r="A24" s="779" t="s">
        <v>812</v>
      </c>
      <c r="B24" s="772">
        <v>61700</v>
      </c>
      <c r="C24" s="773">
        <f>SUM(49328.57+4162.5)</f>
        <v>53491.07</v>
      </c>
      <c r="D24" s="773">
        <v>65200</v>
      </c>
      <c r="E24" s="773">
        <v>136973.65</v>
      </c>
      <c r="F24" s="773">
        <v>69200</v>
      </c>
      <c r="G24" s="774">
        <f>93724.17+12957.39</f>
        <v>106681.56</v>
      </c>
      <c r="H24" s="774">
        <v>73200</v>
      </c>
      <c r="I24" s="712">
        <v>95.72</v>
      </c>
      <c r="J24" s="806">
        <v>75700</v>
      </c>
      <c r="K24" s="788"/>
      <c r="L24" s="812">
        <v>81524.710000000006</v>
      </c>
      <c r="M24" s="812">
        <v>75900</v>
      </c>
      <c r="N24" s="813">
        <v>68000</v>
      </c>
      <c r="O24" s="788">
        <v>68000</v>
      </c>
      <c r="P24" s="788">
        <v>68050</v>
      </c>
      <c r="Q24" s="788">
        <v>68050</v>
      </c>
      <c r="R24" s="788">
        <v>68050</v>
      </c>
      <c r="S24" s="788"/>
      <c r="T24" s="788">
        <v>68200</v>
      </c>
      <c r="U24" s="788">
        <v>68200</v>
      </c>
      <c r="V24" s="810">
        <v>68200</v>
      </c>
      <c r="W24" s="788">
        <f>V24</f>
        <v>68200</v>
      </c>
      <c r="X24" s="810">
        <v>68200</v>
      </c>
      <c r="Y24" s="810">
        <v>68200</v>
      </c>
      <c r="Z24" s="810">
        <v>70200</v>
      </c>
      <c r="AA24" s="810">
        <f>Z24</f>
        <v>70200</v>
      </c>
      <c r="AB24" s="810">
        <v>72300</v>
      </c>
      <c r="AC24" s="810">
        <f>AB24</f>
        <v>72300</v>
      </c>
      <c r="AD24" s="810"/>
      <c r="AE24" s="810">
        <v>72300</v>
      </c>
      <c r="AF24" s="810"/>
      <c r="AG24" s="810">
        <v>72300</v>
      </c>
      <c r="AH24" s="810">
        <v>77300</v>
      </c>
      <c r="AI24" s="810">
        <v>77300</v>
      </c>
      <c r="AJ24" s="810">
        <v>77300</v>
      </c>
      <c r="AK24" s="810">
        <v>77300</v>
      </c>
      <c r="AL24" s="810">
        <v>77300</v>
      </c>
      <c r="AM24" s="810">
        <f>AL24*$AH$4</f>
        <v>77300</v>
      </c>
      <c r="AN24" s="810">
        <v>77300</v>
      </c>
      <c r="AO24" s="810">
        <v>77300</v>
      </c>
      <c r="AP24" s="810">
        <v>77300</v>
      </c>
      <c r="AQ24" s="810">
        <f>AP24*$AH$4</f>
        <v>77300</v>
      </c>
      <c r="AR24" s="810">
        <v>77300</v>
      </c>
      <c r="AS24" s="1410">
        <f>AR24*$AH$4</f>
        <v>77300</v>
      </c>
      <c r="AT24" s="809">
        <f>'[1]BUDGET DETAIL'!$CX$50 +AX24*AY24</f>
        <v>82300</v>
      </c>
      <c r="AU24" s="810">
        <f t="shared" si="3"/>
        <v>5000</v>
      </c>
      <c r="AV24" s="2274">
        <f t="shared" si="1"/>
        <v>6.4683053040103494E-2</v>
      </c>
      <c r="AW24" s="778"/>
      <c r="AX24" s="2016">
        <f>'Vote track budget'!F24</f>
        <v>5000</v>
      </c>
      <c r="AY24" s="2016">
        <v>1</v>
      </c>
      <c r="AZ24" s="2016">
        <f>AX24*AY24</f>
        <v>5000</v>
      </c>
      <c r="BA24" s="2016"/>
      <c r="BB24" s="2016"/>
      <c r="BC24" s="2011" t="s">
        <v>1220</v>
      </c>
    </row>
    <row r="25" spans="1:55" ht="14" hidden="1" customHeight="1" outlineLevel="1" x14ac:dyDescent="0.25">
      <c r="A25" s="771" t="s">
        <v>299</v>
      </c>
      <c r="B25" s="814">
        <f>SUM(B23:B24)</f>
        <v>61700</v>
      </c>
      <c r="C25" s="814">
        <f>SUM(C23:C24)</f>
        <v>53491.07</v>
      </c>
      <c r="D25" s="814">
        <f>SUM(D22:D24)</f>
        <v>65200</v>
      </c>
      <c r="E25" s="814">
        <f t="shared" ref="E25:J25" si="5">SUM(E23:E24)</f>
        <v>136973.65</v>
      </c>
      <c r="F25" s="814">
        <f t="shared" si="5"/>
        <v>69200</v>
      </c>
      <c r="G25" s="814">
        <f t="shared" si="5"/>
        <v>106681.56</v>
      </c>
      <c r="H25" s="814">
        <f t="shared" si="5"/>
        <v>73200</v>
      </c>
      <c r="I25" s="814">
        <f t="shared" si="5"/>
        <v>128234.72</v>
      </c>
      <c r="J25" s="815">
        <f t="shared" si="5"/>
        <v>75700</v>
      </c>
      <c r="K25" s="827" t="s">
        <v>455</v>
      </c>
      <c r="L25" s="817">
        <f>SUM(L23:L24)</f>
        <v>81524.710000000006</v>
      </c>
      <c r="M25" s="817">
        <f>SUM(M23:M24)</f>
        <v>75900</v>
      </c>
      <c r="N25" s="818">
        <f>SUM(N23:N24)</f>
        <v>68000</v>
      </c>
      <c r="O25" s="827">
        <f>O24</f>
        <v>68000</v>
      </c>
      <c r="P25" s="827">
        <f>P24</f>
        <v>68050</v>
      </c>
      <c r="Q25" s="819">
        <f>IF(SUM(Q22:Q24)=0,P25,SUM(Q22:Q24))</f>
        <v>68050</v>
      </c>
      <c r="R25" s="827">
        <f>R24</f>
        <v>68050</v>
      </c>
      <c r="S25" s="820">
        <f>IF(SUM(S22:S24)=0,R25,SUM(S22:S24))</f>
        <v>68050</v>
      </c>
      <c r="T25" s="820">
        <v>68200</v>
      </c>
      <c r="U25" s="820">
        <v>68200</v>
      </c>
      <c r="V25" s="827">
        <f>V24</f>
        <v>68200</v>
      </c>
      <c r="W25" s="820">
        <f>IF(SUM(W22:W24)=0,V25,SUM(W22:W24))</f>
        <v>68200</v>
      </c>
      <c r="X25" s="827">
        <f>X24</f>
        <v>68200</v>
      </c>
      <c r="Y25" s="820">
        <f>IF(SUM(Y22:Y24)=0,X25,SUM(Y22:Y24))</f>
        <v>68200</v>
      </c>
      <c r="Z25" s="828">
        <f>Z24</f>
        <v>70200</v>
      </c>
      <c r="AA25" s="819">
        <f>IF(SUM(AA22:AA24)=0,Z25,SUM(AA22:AA24))</f>
        <v>70200</v>
      </c>
      <c r="AB25" s="828">
        <f>AB24</f>
        <v>72300</v>
      </c>
      <c r="AC25" s="819">
        <f>IF(SUM(AC22:AC24)=0,AB25,SUM(AC22:AC24))</f>
        <v>72300</v>
      </c>
      <c r="AD25" s="819"/>
      <c r="AE25" s="819">
        <v>72300</v>
      </c>
      <c r="AF25" s="819">
        <v>72300</v>
      </c>
      <c r="AG25" s="819">
        <v>72300</v>
      </c>
      <c r="AH25" s="819">
        <v>77300</v>
      </c>
      <c r="AI25" s="785">
        <v>77300</v>
      </c>
      <c r="AJ25" s="785">
        <v>77300</v>
      </c>
      <c r="AK25" s="785">
        <v>77300</v>
      </c>
      <c r="AL25" s="785">
        <v>77300</v>
      </c>
      <c r="AM25" s="785">
        <f>IF(SUM(AM22:AM24)=0,AL25,SUM(AM22:AM24))</f>
        <v>77300</v>
      </c>
      <c r="AN25" s="785">
        <f>IF(SUM(AN22:AN24)=0,AM25,SUM(AN22:AN24))</f>
        <v>77300</v>
      </c>
      <c r="AO25" s="785">
        <v>77300</v>
      </c>
      <c r="AP25" s="785">
        <f>SUM(AP24)</f>
        <v>77300</v>
      </c>
      <c r="AQ25" s="785">
        <f>IF(SUM(AQ22:AQ24)=0,AP25,SUM(AQ22:AQ24))</f>
        <v>77300</v>
      </c>
      <c r="AR25" s="785">
        <f>IF(SUM(AR22:AR24)=0,AQ25,SUM(AR22:AR24))</f>
        <v>77300</v>
      </c>
      <c r="AS25" s="820">
        <f>IF(SUM(AS22:AS24)=0,AR25,SUM(AS22:AS24))</f>
        <v>77300</v>
      </c>
      <c r="AT25" s="819">
        <f>IF(SUM(AT22:AT24)=0,AS25,SUM(AT22:AT24))</f>
        <v>82300</v>
      </c>
      <c r="AU25" s="785">
        <f t="shared" si="3"/>
        <v>5000</v>
      </c>
      <c r="AV25" s="2275">
        <f t="shared" si="1"/>
        <v>6.4683053040103494E-2</v>
      </c>
      <c r="AW25" s="778"/>
      <c r="AX25" s="2016" t="str">
        <f t="shared" si="2"/>
        <v/>
      </c>
      <c r="AY25" s="2016"/>
      <c r="AZ25" s="2016"/>
      <c r="BA25" s="2518">
        <f>POWER(AT25/AJ25,1/5)-1</f>
        <v>1.2614328253918616E-2</v>
      </c>
      <c r="BB25" s="2518">
        <f>POWER(AT25/AA25,1/9)-1</f>
        <v>1.7826223400441599E-2</v>
      </c>
      <c r="BC25" s="2332"/>
    </row>
    <row r="26" spans="1:55" ht="14" hidden="1" customHeight="1" outlineLevel="1" x14ac:dyDescent="0.25">
      <c r="A26" s="821"/>
      <c r="B26" s="791"/>
      <c r="C26" s="792"/>
      <c r="D26" s="792"/>
      <c r="E26" s="793"/>
      <c r="F26" s="792"/>
      <c r="G26" s="794"/>
      <c r="H26" s="794"/>
      <c r="I26" s="795"/>
      <c r="J26" s="796"/>
      <c r="K26" s="822"/>
      <c r="L26" s="829"/>
      <c r="M26" s="830"/>
      <c r="N26" s="824"/>
      <c r="O26" s="822"/>
      <c r="P26" s="822"/>
      <c r="Q26" s="822"/>
      <c r="R26" s="822"/>
      <c r="S26" s="822"/>
      <c r="T26" s="822"/>
      <c r="U26" s="822"/>
      <c r="V26" s="822"/>
      <c r="W26" s="822"/>
      <c r="X26" s="822"/>
      <c r="Y26" s="822"/>
      <c r="Z26" s="822"/>
      <c r="AA26" s="822"/>
      <c r="AB26" s="822"/>
      <c r="AC26" s="822"/>
      <c r="AD26" s="822"/>
      <c r="AE26" s="822"/>
      <c r="AF26" s="822"/>
      <c r="AG26" s="822"/>
      <c r="AH26" s="822"/>
      <c r="AI26" s="822"/>
      <c r="AJ26" s="822"/>
      <c r="AK26" s="822"/>
      <c r="AL26" s="822"/>
      <c r="AM26" s="822"/>
      <c r="AN26" s="822"/>
      <c r="AO26" s="822"/>
      <c r="AP26" s="822"/>
      <c r="AQ26" s="822"/>
      <c r="AR26" s="822"/>
      <c r="AS26" s="1160"/>
      <c r="AT26" s="823"/>
      <c r="AU26" s="822" t="str">
        <f t="shared" si="3"/>
        <v/>
      </c>
      <c r="AV26" s="2276" t="str">
        <f t="shared" si="1"/>
        <v/>
      </c>
      <c r="AW26" s="803"/>
      <c r="AX26" s="2016" t="str">
        <f t="shared" si="2"/>
        <v/>
      </c>
      <c r="AY26" s="2016"/>
      <c r="AZ26" s="2016"/>
      <c r="BA26" s="2016"/>
      <c r="BB26" s="2016"/>
    </row>
    <row r="27" spans="1:55" ht="14" hidden="1" customHeight="1" outlineLevel="1" x14ac:dyDescent="0.25">
      <c r="A27" s="779" t="s">
        <v>549</v>
      </c>
      <c r="B27" s="772"/>
      <c r="C27" s="773"/>
      <c r="D27" s="773"/>
      <c r="E27" s="804"/>
      <c r="F27" s="773"/>
      <c r="G27" s="774"/>
      <c r="H27" s="774"/>
      <c r="J27" s="775"/>
      <c r="K27" s="825"/>
      <c r="L27" s="831"/>
      <c r="M27" s="831"/>
      <c r="N27" s="805"/>
      <c r="O27" s="825"/>
      <c r="P27" s="825"/>
      <c r="Q27" s="825"/>
      <c r="R27" s="825"/>
      <c r="S27" s="825"/>
      <c r="T27" s="825"/>
      <c r="U27" s="825"/>
      <c r="V27" s="825"/>
      <c r="W27" s="825"/>
      <c r="X27" s="825"/>
      <c r="Y27" s="825"/>
      <c r="Z27" s="825"/>
      <c r="AA27" s="825"/>
      <c r="AB27" s="825"/>
      <c r="AC27" s="825"/>
      <c r="AD27" s="825"/>
      <c r="AE27" s="1427"/>
      <c r="AF27" s="1427"/>
      <c r="AG27" s="1427"/>
      <c r="AH27" s="1427"/>
      <c r="AI27" s="1427"/>
      <c r="AJ27" s="1427"/>
      <c r="AK27" s="1427"/>
      <c r="AL27" s="1427"/>
      <c r="AM27" s="1427"/>
      <c r="AN27" s="1427"/>
      <c r="AO27" s="1427"/>
      <c r="AP27" s="1427"/>
      <c r="AQ27" s="1427"/>
      <c r="AR27" s="1427"/>
      <c r="AS27" s="1427"/>
      <c r="AT27" s="1427"/>
      <c r="AU27" s="1427" t="str">
        <f t="shared" ref="AU27:AU46" si="6">IF(AL27&gt;0,AN27-AL27,"")</f>
        <v/>
      </c>
      <c r="AV27" s="2319" t="str">
        <f t="shared" si="1"/>
        <v/>
      </c>
      <c r="AW27" s="778"/>
      <c r="AX27" s="2016" t="str">
        <f t="shared" si="2"/>
        <v/>
      </c>
      <c r="AY27" s="2016"/>
      <c r="AZ27" s="2016"/>
      <c r="BA27" s="2016"/>
      <c r="BB27" s="2016"/>
      <c r="BC27" s="2011" t="s">
        <v>1072</v>
      </c>
    </row>
    <row r="28" spans="1:55" ht="14" hidden="1" customHeight="1" outlineLevel="1" x14ac:dyDescent="0.25">
      <c r="A28" s="779" t="s">
        <v>812</v>
      </c>
      <c r="B28" s="772">
        <v>125</v>
      </c>
      <c r="C28" s="773">
        <v>106</v>
      </c>
      <c r="D28" s="773">
        <v>125</v>
      </c>
      <c r="E28" s="773">
        <v>125</v>
      </c>
      <c r="F28" s="773">
        <v>175</v>
      </c>
      <c r="G28" s="774">
        <v>56</v>
      </c>
      <c r="H28" s="774">
        <v>125</v>
      </c>
      <c r="I28" s="712">
        <v>20</v>
      </c>
      <c r="J28" s="806">
        <v>125</v>
      </c>
      <c r="K28" s="788"/>
      <c r="L28" s="812">
        <v>34</v>
      </c>
      <c r="M28" s="812">
        <v>125</v>
      </c>
      <c r="N28" s="813">
        <v>50</v>
      </c>
      <c r="O28" s="788">
        <v>50</v>
      </c>
      <c r="P28" s="788">
        <v>0</v>
      </c>
      <c r="Q28" s="788">
        <v>0</v>
      </c>
      <c r="R28" s="788">
        <v>0</v>
      </c>
      <c r="S28" s="788"/>
      <c r="T28" s="788">
        <v>0</v>
      </c>
      <c r="U28" s="788"/>
      <c r="V28" s="788">
        <v>0</v>
      </c>
      <c r="W28" s="788"/>
      <c r="X28" s="788">
        <v>0</v>
      </c>
      <c r="Y28" s="788"/>
      <c r="Z28" s="788">
        <v>0</v>
      </c>
      <c r="AA28" s="788"/>
      <c r="AB28" s="788">
        <v>0</v>
      </c>
      <c r="AC28" s="788"/>
      <c r="AD28" s="788"/>
      <c r="AE28" s="1030"/>
      <c r="AF28" s="1030">
        <v>0</v>
      </c>
      <c r="AG28" s="1030"/>
      <c r="AH28" s="1030"/>
      <c r="AI28" s="1030"/>
      <c r="AJ28" s="1030"/>
      <c r="AK28" s="1030"/>
      <c r="AL28" s="1030"/>
      <c r="AM28" s="1030"/>
      <c r="AN28" s="1030"/>
      <c r="AO28" s="1030"/>
      <c r="AP28" s="1030"/>
      <c r="AQ28" s="1030"/>
      <c r="AR28" s="1030"/>
      <c r="AS28" s="1030"/>
      <c r="AT28" s="1030"/>
      <c r="AU28" s="1030" t="str">
        <f t="shared" si="6"/>
        <v/>
      </c>
      <c r="AV28" s="2320" t="str">
        <f t="shared" si="1"/>
        <v/>
      </c>
      <c r="AW28" s="789"/>
      <c r="AX28" s="2016" t="str">
        <f t="shared" si="2"/>
        <v/>
      </c>
      <c r="AY28" s="2016"/>
      <c r="AZ28" s="2016"/>
      <c r="BA28" s="2016"/>
      <c r="BB28" s="2016"/>
      <c r="BC28" s="2019" t="s">
        <v>1072</v>
      </c>
    </row>
    <row r="29" spans="1:55" ht="14" hidden="1" customHeight="1" outlineLevel="1" x14ac:dyDescent="0.25">
      <c r="A29" s="771" t="s">
        <v>813</v>
      </c>
      <c r="B29" s="832">
        <f>SUM(B28)</f>
        <v>125</v>
      </c>
      <c r="C29" s="814">
        <f>SUM(C28)</f>
        <v>106</v>
      </c>
      <c r="D29" s="814">
        <f>SUM(D28)</f>
        <v>125</v>
      </c>
      <c r="E29" s="814">
        <f t="shared" ref="E29:M29" si="7">SUM(E28)</f>
        <v>125</v>
      </c>
      <c r="F29" s="814">
        <f t="shared" si="7"/>
        <v>175</v>
      </c>
      <c r="G29" s="814">
        <f t="shared" si="7"/>
        <v>56</v>
      </c>
      <c r="H29" s="814">
        <f t="shared" si="7"/>
        <v>125</v>
      </c>
      <c r="I29" s="814">
        <f t="shared" si="7"/>
        <v>20</v>
      </c>
      <c r="J29" s="815">
        <f t="shared" si="7"/>
        <v>125</v>
      </c>
      <c r="K29" s="827" t="s">
        <v>455</v>
      </c>
      <c r="L29" s="817">
        <f t="shared" si="7"/>
        <v>34</v>
      </c>
      <c r="M29" s="817">
        <f t="shared" si="7"/>
        <v>125</v>
      </c>
      <c r="N29" s="818">
        <f>SUM(N27:N28)</f>
        <v>50</v>
      </c>
      <c r="O29" s="827">
        <f>O28</f>
        <v>50</v>
      </c>
      <c r="P29" s="833">
        <f t="shared" ref="P29:W29" si="8">SUM(P27:P28)</f>
        <v>0</v>
      </c>
      <c r="Q29" s="833">
        <f t="shared" si="8"/>
        <v>0</v>
      </c>
      <c r="R29" s="833">
        <f t="shared" si="8"/>
        <v>0</v>
      </c>
      <c r="S29" s="833">
        <f t="shared" si="8"/>
        <v>0</v>
      </c>
      <c r="T29" s="833">
        <v>0</v>
      </c>
      <c r="U29" s="833">
        <v>0</v>
      </c>
      <c r="V29" s="833">
        <f t="shared" si="8"/>
        <v>0</v>
      </c>
      <c r="W29" s="833">
        <f t="shared" si="8"/>
        <v>0</v>
      </c>
      <c r="X29" s="833">
        <f t="shared" ref="X29:AC29" si="9">SUM(X27:X28)</f>
        <v>0</v>
      </c>
      <c r="Y29" s="833">
        <f t="shared" si="9"/>
        <v>0</v>
      </c>
      <c r="Z29" s="833">
        <f t="shared" si="9"/>
        <v>0</v>
      </c>
      <c r="AA29" s="833">
        <f t="shared" si="9"/>
        <v>0</v>
      </c>
      <c r="AB29" s="833">
        <f t="shared" si="9"/>
        <v>0</v>
      </c>
      <c r="AC29" s="833">
        <f t="shared" si="9"/>
        <v>0</v>
      </c>
      <c r="AD29" s="833"/>
      <c r="AE29" s="1428">
        <v>0</v>
      </c>
      <c r="AF29" s="1428">
        <v>0</v>
      </c>
      <c r="AG29" s="1428">
        <v>0</v>
      </c>
      <c r="AH29" s="1428"/>
      <c r="AI29" s="1452">
        <v>0</v>
      </c>
      <c r="AJ29" s="1452"/>
      <c r="AK29" s="1452"/>
      <c r="AL29" s="1452"/>
      <c r="AM29" s="1452"/>
      <c r="AN29" s="1452"/>
      <c r="AO29" s="1452"/>
      <c r="AP29" s="1452"/>
      <c r="AQ29" s="1452"/>
      <c r="AR29" s="1452"/>
      <c r="AS29" s="1452"/>
      <c r="AT29" s="1452"/>
      <c r="AU29" s="1452" t="str">
        <f t="shared" si="6"/>
        <v/>
      </c>
      <c r="AV29" s="2321" t="str">
        <f t="shared" si="1"/>
        <v/>
      </c>
      <c r="AW29" s="789"/>
      <c r="AX29" s="2016" t="str">
        <f t="shared" si="2"/>
        <v/>
      </c>
      <c r="AY29" s="2016"/>
      <c r="AZ29" s="2016"/>
      <c r="BA29" s="2016"/>
      <c r="BB29" s="2016"/>
      <c r="BC29" s="2019" t="s">
        <v>1072</v>
      </c>
    </row>
    <row r="30" spans="1:55" ht="14" hidden="1" customHeight="1" outlineLevel="1" x14ac:dyDescent="0.25">
      <c r="A30" s="821"/>
      <c r="B30" s="791"/>
      <c r="C30" s="792"/>
      <c r="D30" s="792"/>
      <c r="E30" s="793"/>
      <c r="F30" s="792"/>
      <c r="G30" s="794"/>
      <c r="H30" s="794"/>
      <c r="I30" s="795"/>
      <c r="J30" s="796"/>
      <c r="K30" s="822"/>
      <c r="L30" s="829"/>
      <c r="M30" s="830"/>
      <c r="N30" s="824"/>
      <c r="O30" s="822"/>
      <c r="P30" s="822"/>
      <c r="Q30" s="822"/>
      <c r="R30" s="822"/>
      <c r="S30" s="822"/>
      <c r="T30" s="822"/>
      <c r="U30" s="822"/>
      <c r="V30" s="822"/>
      <c r="W30" s="822"/>
      <c r="X30" s="822"/>
      <c r="Y30" s="822"/>
      <c r="Z30" s="822"/>
      <c r="AA30" s="822"/>
      <c r="AB30" s="822"/>
      <c r="AC30" s="822"/>
      <c r="AD30" s="822"/>
      <c r="AE30" s="1034"/>
      <c r="AF30" s="1034"/>
      <c r="AG30" s="1034"/>
      <c r="AH30" s="1034"/>
      <c r="AI30" s="1034"/>
      <c r="AJ30" s="1034"/>
      <c r="AK30" s="1034"/>
      <c r="AL30" s="1034"/>
      <c r="AM30" s="1034"/>
      <c r="AN30" s="1034"/>
      <c r="AO30" s="1034"/>
      <c r="AP30" s="1034"/>
      <c r="AQ30" s="1034"/>
      <c r="AR30" s="1034"/>
      <c r="AS30" s="1034"/>
      <c r="AT30" s="1034"/>
      <c r="AU30" s="1034" t="str">
        <f t="shared" si="6"/>
        <v/>
      </c>
      <c r="AV30" s="2322" t="str">
        <f t="shared" si="1"/>
        <v/>
      </c>
      <c r="AW30" s="803"/>
      <c r="AX30" s="2016" t="str">
        <f t="shared" si="2"/>
        <v/>
      </c>
      <c r="AY30" s="2016"/>
      <c r="AZ30" s="2016"/>
      <c r="BA30" s="2016"/>
      <c r="BB30" s="2016"/>
      <c r="BC30" s="2011" t="s">
        <v>1072</v>
      </c>
    </row>
    <row r="31" spans="1:55" ht="14" hidden="1" customHeight="1" outlineLevel="1" x14ac:dyDescent="0.25">
      <c r="A31" s="779" t="s">
        <v>550</v>
      </c>
      <c r="B31" s="772"/>
      <c r="C31" s="773"/>
      <c r="D31" s="773"/>
      <c r="E31" s="804"/>
      <c r="F31" s="834"/>
      <c r="G31" s="835"/>
      <c r="H31" s="835"/>
      <c r="I31" s="835"/>
      <c r="J31" s="775"/>
      <c r="K31" s="825"/>
      <c r="L31" s="831"/>
      <c r="M31" s="831"/>
      <c r="N31" s="805"/>
      <c r="O31" s="825"/>
      <c r="P31" s="825"/>
      <c r="Q31" s="825"/>
      <c r="R31" s="825"/>
      <c r="S31" s="825"/>
      <c r="T31" s="825"/>
      <c r="U31" s="825"/>
      <c r="V31" s="825"/>
      <c r="W31" s="825"/>
      <c r="X31" s="825"/>
      <c r="Y31" s="825"/>
      <c r="Z31" s="825"/>
      <c r="AA31" s="825"/>
      <c r="AB31" s="825"/>
      <c r="AC31" s="825"/>
      <c r="AD31" s="825"/>
      <c r="AE31" s="825"/>
      <c r="AF31" s="825"/>
      <c r="AG31" s="825"/>
      <c r="AH31" s="825"/>
      <c r="AI31" s="825"/>
      <c r="AJ31" s="825"/>
      <c r="AK31" s="825"/>
      <c r="AL31" s="825"/>
      <c r="AM31" s="825"/>
      <c r="AN31" s="825"/>
      <c r="AO31" s="825"/>
      <c r="AP31" s="825"/>
      <c r="AQ31" s="825"/>
      <c r="AR31" s="825"/>
      <c r="AS31" s="1110"/>
      <c r="AT31" s="1040"/>
      <c r="AU31" s="825" t="str">
        <f t="shared" ref="AU31:AU41" si="10">IF(AR31&gt;0,AT31-AR31,"")</f>
        <v/>
      </c>
      <c r="AV31" s="2274" t="str">
        <f t="shared" si="1"/>
        <v/>
      </c>
      <c r="AW31" s="837"/>
      <c r="AX31" s="2016" t="str">
        <f t="shared" si="2"/>
        <v/>
      </c>
      <c r="AY31" s="2016"/>
      <c r="AZ31" s="2016"/>
      <c r="BA31" s="2016"/>
      <c r="BB31" s="2016"/>
    </row>
    <row r="32" spans="1:55" ht="14" hidden="1" customHeight="1" outlineLevel="1" x14ac:dyDescent="0.25">
      <c r="A32" s="779" t="s">
        <v>551</v>
      </c>
      <c r="B32" s="772">
        <v>2000</v>
      </c>
      <c r="C32" s="773">
        <v>1074.69</v>
      </c>
      <c r="D32" s="773">
        <v>2000</v>
      </c>
      <c r="E32" s="773">
        <v>1154.72</v>
      </c>
      <c r="F32" s="773">
        <v>2000</v>
      </c>
      <c r="G32" s="774">
        <v>1626.21</v>
      </c>
      <c r="H32" s="774">
        <v>2000</v>
      </c>
      <c r="I32" s="712">
        <v>906.71</v>
      </c>
      <c r="J32" s="838">
        <v>2195.8000000000002</v>
      </c>
      <c r="K32" s="839"/>
      <c r="L32" s="840">
        <v>949.89</v>
      </c>
      <c r="M32" s="807">
        <v>2255</v>
      </c>
      <c r="N32" s="808">
        <v>1080</v>
      </c>
      <c r="O32" s="788">
        <v>1158</v>
      </c>
      <c r="P32" s="788">
        <v>1158</v>
      </c>
      <c r="Q32" s="788">
        <v>1158</v>
      </c>
      <c r="R32" s="788">
        <v>1158</v>
      </c>
      <c r="S32" s="788"/>
      <c r="T32" s="788">
        <v>1179</v>
      </c>
      <c r="U32" s="788">
        <v>1179</v>
      </c>
      <c r="V32" s="810">
        <v>1239</v>
      </c>
      <c r="W32" s="788">
        <f>V32</f>
        <v>1239</v>
      </c>
      <c r="X32" s="810">
        <v>1264</v>
      </c>
      <c r="Y32" s="810">
        <v>1264</v>
      </c>
      <c r="Z32" s="810">
        <v>1316</v>
      </c>
      <c r="AA32" s="810">
        <f>Z32</f>
        <v>1316</v>
      </c>
      <c r="AB32" s="810">
        <v>1308</v>
      </c>
      <c r="AC32" s="810">
        <f>AB32</f>
        <v>1308</v>
      </c>
      <c r="AD32" s="810"/>
      <c r="AE32" s="825">
        <v>1371</v>
      </c>
      <c r="AF32" s="810"/>
      <c r="AG32" s="810">
        <v>1412.13</v>
      </c>
      <c r="AH32" s="810">
        <v>1437</v>
      </c>
      <c r="AI32" s="810">
        <v>1480.1100000000001</v>
      </c>
      <c r="AJ32" s="810">
        <v>1505</v>
      </c>
      <c r="AK32" s="810">
        <v>1550.15</v>
      </c>
      <c r="AL32" s="810">
        <v>1548</v>
      </c>
      <c r="AM32" s="810">
        <f>AL32*$AH$3</f>
        <v>1578.96</v>
      </c>
      <c r="AN32" s="810">
        <v>1579</v>
      </c>
      <c r="AO32" s="810">
        <v>1618.4749999999999</v>
      </c>
      <c r="AP32" s="810">
        <v>1610</v>
      </c>
      <c r="AQ32" s="810">
        <f>AP32*$AH$3</f>
        <v>1642.2</v>
      </c>
      <c r="AR32" s="810">
        <v>1687</v>
      </c>
      <c r="AS32" s="1410">
        <f>AR32*$AH$3</f>
        <v>1720.74</v>
      </c>
      <c r="AT32" s="809">
        <f>'[1]BUDGET DETAIL'!$CX$55</f>
        <v>1687</v>
      </c>
      <c r="AU32" s="810">
        <f t="shared" si="10"/>
        <v>0</v>
      </c>
      <c r="AV32" s="2274">
        <f t="shared" si="1"/>
        <v>0</v>
      </c>
      <c r="AW32" s="789"/>
      <c r="AX32" s="2016"/>
      <c r="AY32" s="2016"/>
      <c r="AZ32" s="2016"/>
      <c r="BA32" s="2016"/>
      <c r="BB32" s="2016"/>
    </row>
    <row r="33" spans="1:55" ht="14" hidden="1" customHeight="1" outlineLevel="1" x14ac:dyDescent="0.25">
      <c r="A33" s="779" t="s">
        <v>812</v>
      </c>
      <c r="B33" s="772">
        <v>1960</v>
      </c>
      <c r="C33" s="773">
        <v>719.41</v>
      </c>
      <c r="D33" s="773">
        <v>1850</v>
      </c>
      <c r="E33" s="773">
        <v>579.9</v>
      </c>
      <c r="F33" s="773">
        <v>1850</v>
      </c>
      <c r="G33" s="774">
        <v>619.96</v>
      </c>
      <c r="H33" s="774">
        <v>1850</v>
      </c>
      <c r="I33" s="712">
        <f>278.89+160+30.26</f>
        <v>469.15</v>
      </c>
      <c r="J33" s="806">
        <v>1850</v>
      </c>
      <c r="K33" s="788"/>
      <c r="L33" s="812">
        <v>169</v>
      </c>
      <c r="M33" s="812">
        <v>1850</v>
      </c>
      <c r="N33" s="813">
        <v>1666</v>
      </c>
      <c r="O33" s="788">
        <v>360</v>
      </c>
      <c r="P33" s="788">
        <v>360</v>
      </c>
      <c r="Q33" s="788">
        <v>360</v>
      </c>
      <c r="R33" s="788">
        <v>360</v>
      </c>
      <c r="S33" s="788"/>
      <c r="T33" s="788">
        <v>367</v>
      </c>
      <c r="U33" s="788">
        <v>367</v>
      </c>
      <c r="V33" s="810">
        <v>374</v>
      </c>
      <c r="W33" s="788">
        <f>V33</f>
        <v>374</v>
      </c>
      <c r="X33" s="810">
        <f>U33*(1+$A$4/100)</f>
        <v>367</v>
      </c>
      <c r="Y33" s="810">
        <v>385</v>
      </c>
      <c r="Z33" s="810">
        <v>390</v>
      </c>
      <c r="AA33" s="810">
        <f>Z33</f>
        <v>390</v>
      </c>
      <c r="AB33" s="810">
        <v>395</v>
      </c>
      <c r="AC33" s="810">
        <f>AB33</f>
        <v>395</v>
      </c>
      <c r="AD33" s="810"/>
      <c r="AE33" s="825">
        <v>395</v>
      </c>
      <c r="AF33" s="810"/>
      <c r="AG33" s="810">
        <v>395</v>
      </c>
      <c r="AH33" s="810">
        <v>395</v>
      </c>
      <c r="AI33" s="810">
        <v>395</v>
      </c>
      <c r="AJ33" s="810">
        <v>395</v>
      </c>
      <c r="AK33" s="810">
        <v>395</v>
      </c>
      <c r="AL33" s="810">
        <v>350</v>
      </c>
      <c r="AM33" s="810">
        <f>AL33*$AH$4</f>
        <v>350</v>
      </c>
      <c r="AN33" s="810">
        <v>350</v>
      </c>
      <c r="AO33" s="810">
        <v>350</v>
      </c>
      <c r="AP33" s="810">
        <v>350</v>
      </c>
      <c r="AQ33" s="810">
        <f>AP33*$AH$4</f>
        <v>350</v>
      </c>
      <c r="AR33" s="810">
        <v>350</v>
      </c>
      <c r="AS33" s="1410">
        <f>AR33*$AH$4</f>
        <v>350</v>
      </c>
      <c r="AT33" s="809">
        <f>'[1]BUDGET DETAIL'!$CX$62</f>
        <v>350</v>
      </c>
      <c r="AU33" s="810">
        <f t="shared" si="10"/>
        <v>0</v>
      </c>
      <c r="AV33" s="2274">
        <f t="shared" si="1"/>
        <v>0</v>
      </c>
      <c r="AW33" s="1565"/>
      <c r="AX33" s="2016" t="str">
        <f t="shared" si="2"/>
        <v/>
      </c>
      <c r="AY33" s="2016"/>
      <c r="AZ33" s="2016"/>
      <c r="BA33" s="2016"/>
      <c r="BB33" s="2016"/>
    </row>
    <row r="34" spans="1:55" ht="14" hidden="1" customHeight="1" outlineLevel="1" x14ac:dyDescent="0.25">
      <c r="A34" s="779" t="s">
        <v>874</v>
      </c>
      <c r="B34" s="772"/>
      <c r="C34" s="773"/>
      <c r="D34" s="773"/>
      <c r="E34" s="773"/>
      <c r="F34" s="773"/>
      <c r="G34" s="774"/>
      <c r="H34" s="774"/>
      <c r="J34" s="806"/>
      <c r="K34" s="788"/>
      <c r="L34" s="812"/>
      <c r="M34" s="812"/>
      <c r="N34" s="813"/>
      <c r="O34" s="788"/>
      <c r="P34" s="788"/>
      <c r="Q34" s="841"/>
      <c r="R34" s="788"/>
      <c r="S34" s="841"/>
      <c r="T34" s="841"/>
      <c r="U34" s="841"/>
      <c r="V34" s="810"/>
      <c r="W34" s="841"/>
      <c r="X34" s="810"/>
      <c r="Y34" s="810"/>
      <c r="Z34" s="810"/>
      <c r="AA34" s="810"/>
      <c r="AB34" s="810"/>
      <c r="AC34" s="810"/>
      <c r="AD34" s="810"/>
      <c r="AE34" s="825">
        <v>100000</v>
      </c>
      <c r="AF34" s="810"/>
      <c r="AG34" s="810">
        <v>100000</v>
      </c>
      <c r="AH34" s="810">
        <v>100000</v>
      </c>
      <c r="AI34" s="810">
        <v>100000</v>
      </c>
      <c r="AJ34" s="810">
        <v>100000</v>
      </c>
      <c r="AK34" s="810">
        <v>100000</v>
      </c>
      <c r="AL34" s="810">
        <v>100000</v>
      </c>
      <c r="AM34" s="810">
        <v>100000</v>
      </c>
      <c r="AN34" s="810">
        <v>100000</v>
      </c>
      <c r="AO34" s="810">
        <v>100000</v>
      </c>
      <c r="AP34" s="810">
        <v>100000</v>
      </c>
      <c r="AQ34" s="810">
        <v>100000</v>
      </c>
      <c r="AR34" s="810">
        <v>100000</v>
      </c>
      <c r="AS34" s="1410">
        <v>100000</v>
      </c>
      <c r="AT34" s="809">
        <f>'[1]BUDGET DETAIL'!$CX$65</f>
        <v>100000</v>
      </c>
      <c r="AU34" s="810">
        <f t="shared" si="10"/>
        <v>0</v>
      </c>
      <c r="AV34" s="2274">
        <f t="shared" si="1"/>
        <v>0</v>
      </c>
      <c r="AW34" s="789"/>
      <c r="AX34" s="2016" t="str">
        <f t="shared" si="2"/>
        <v/>
      </c>
      <c r="AY34" s="2016"/>
      <c r="AZ34" s="2016"/>
      <c r="BA34" s="2016"/>
      <c r="BB34" s="2016"/>
    </row>
    <row r="35" spans="1:55" ht="14" hidden="1" customHeight="1" outlineLevel="1" x14ac:dyDescent="0.25">
      <c r="A35" s="842" t="s">
        <v>813</v>
      </c>
      <c r="B35" s="780">
        <f>SUM(B32:B33)</f>
        <v>3960</v>
      </c>
      <c r="C35" s="781">
        <f>SUM(C32:C33)</f>
        <v>1794.1</v>
      </c>
      <c r="D35" s="781">
        <f t="shared" ref="D35:L35" si="11">SUM(D32:D33)</f>
        <v>3850</v>
      </c>
      <c r="E35" s="781">
        <f t="shared" si="11"/>
        <v>1734.62</v>
      </c>
      <c r="F35" s="781">
        <f t="shared" si="11"/>
        <v>3850</v>
      </c>
      <c r="G35" s="781">
        <f t="shared" si="11"/>
        <v>2246.17</v>
      </c>
      <c r="H35" s="781">
        <f t="shared" si="11"/>
        <v>3850</v>
      </c>
      <c r="I35" s="781">
        <f t="shared" si="11"/>
        <v>1375.8600000000001</v>
      </c>
      <c r="J35" s="784">
        <v>4045.8</v>
      </c>
      <c r="K35" s="785" t="s">
        <v>455</v>
      </c>
      <c r="L35" s="843">
        <f t="shared" si="11"/>
        <v>1118.8899999999999</v>
      </c>
      <c r="M35" s="843">
        <f>M32+M33</f>
        <v>4105</v>
      </c>
      <c r="N35" s="844">
        <f>N32+N33</f>
        <v>2746</v>
      </c>
      <c r="O35" s="845">
        <f>O32+O33</f>
        <v>1518</v>
      </c>
      <c r="P35" s="845">
        <f>P32+P33</f>
        <v>1518</v>
      </c>
      <c r="Q35" s="820">
        <f>IF(SUM(Q32:Q33)=0,P35,SUM(Q32:Q33))</f>
        <v>1518</v>
      </c>
      <c r="R35" s="845">
        <f>R32+R33</f>
        <v>1518</v>
      </c>
      <c r="S35" s="820">
        <f>IF(SUM(S32:S33)=0,R35,SUM(S32:S33))</f>
        <v>1518</v>
      </c>
      <c r="T35" s="820">
        <v>1546</v>
      </c>
      <c r="U35" s="820">
        <v>1546</v>
      </c>
      <c r="V35" s="845">
        <f>V32+V33</f>
        <v>1613</v>
      </c>
      <c r="W35" s="820">
        <f>IF(SUM(W32:W33)=0,V35,SUM(W32:W33))</f>
        <v>1613</v>
      </c>
      <c r="X35" s="845">
        <f>X32+X33</f>
        <v>1631</v>
      </c>
      <c r="Y35" s="819">
        <f>IF(SUM(Y32:Y33)=0,X35,SUM(Y32:Y33))</f>
        <v>1649</v>
      </c>
      <c r="Z35" s="845">
        <f>Z32+Z33</f>
        <v>1706</v>
      </c>
      <c r="AA35" s="819">
        <f>IF(SUM(AA32:AA33)=0,Z35,SUM(AA32:AA33))</f>
        <v>1706</v>
      </c>
      <c r="AB35" s="845">
        <f>AB32+AB33</f>
        <v>1703</v>
      </c>
      <c r="AC35" s="819">
        <f>IF(SUM(AC32:AC33)=0,AB35,SUM(AC32:AC33))</f>
        <v>1703</v>
      </c>
      <c r="AD35" s="819"/>
      <c r="AE35" s="819">
        <v>101766</v>
      </c>
      <c r="AF35" s="819">
        <v>101766</v>
      </c>
      <c r="AG35" s="819">
        <v>101807.13</v>
      </c>
      <c r="AH35" s="819">
        <v>101832</v>
      </c>
      <c r="AI35" s="785">
        <v>101875.11</v>
      </c>
      <c r="AJ35" s="785">
        <v>101900</v>
      </c>
      <c r="AK35" s="785">
        <v>101945.15</v>
      </c>
      <c r="AL35" s="785">
        <v>101898</v>
      </c>
      <c r="AM35" s="785">
        <f>IF(SUM(AM32:AM34)=0,AL35,SUM(AM32:AM34))</f>
        <v>101928.96000000001</v>
      </c>
      <c r="AN35" s="785">
        <f>IF(SUM(AN32:AN34)=0,AM35,SUM(AN32:AN34))</f>
        <v>101929</v>
      </c>
      <c r="AO35" s="785">
        <f>IF(SUM(AO32:AO34)=0,AN35,SUM(AO32:AO34))</f>
        <v>101968.47500000001</v>
      </c>
      <c r="AP35" s="785">
        <f>SUM(AP32:AP34)</f>
        <v>101960</v>
      </c>
      <c r="AQ35" s="785">
        <f>IF(SUM(AQ32:AQ34)=0,AP35,SUM(AQ32:AQ34))</f>
        <v>101992.2</v>
      </c>
      <c r="AR35" s="785">
        <f>IF(SUM(AR32:AR34)=0,AQ35,SUM(AR32:AR34))</f>
        <v>102037</v>
      </c>
      <c r="AS35" s="820">
        <f>IF(SUM(AS32:AS34)=0,AR35,SUM(AS32:AS34))</f>
        <v>102070.74</v>
      </c>
      <c r="AT35" s="819">
        <f>IF(SUM(AT32:AT34)=0,AS35,SUM(AT32:AT34))</f>
        <v>102037</v>
      </c>
      <c r="AU35" s="785">
        <f t="shared" si="10"/>
        <v>0</v>
      </c>
      <c r="AV35" s="2275">
        <f t="shared" si="1"/>
        <v>0</v>
      </c>
      <c r="AW35" s="789"/>
      <c r="AX35" s="2016"/>
      <c r="AY35" s="2016"/>
      <c r="AZ35" s="2016"/>
      <c r="BA35" s="2518">
        <f>POWER(AT35/AJ35,1/5)-1</f>
        <v>2.6874658140063623E-4</v>
      </c>
      <c r="BB35" s="2518">
        <f>POWER(AT35/AA35,1/9)-1</f>
        <v>0.57550523480000693</v>
      </c>
      <c r="BC35" s="2332"/>
    </row>
    <row r="36" spans="1:55" ht="14" hidden="1" customHeight="1" outlineLevel="1" x14ac:dyDescent="0.25">
      <c r="A36" s="821"/>
      <c r="B36" s="791"/>
      <c r="C36" s="792"/>
      <c r="D36" s="792"/>
      <c r="E36" s="793"/>
      <c r="F36" s="792"/>
      <c r="G36" s="794"/>
      <c r="H36" s="794"/>
      <c r="I36" s="795"/>
      <c r="J36" s="846"/>
      <c r="K36" s="822"/>
      <c r="L36" s="829"/>
      <c r="M36" s="830"/>
      <c r="N36" s="824"/>
      <c r="O36" s="822"/>
      <c r="P36" s="822"/>
      <c r="Q36" s="822"/>
      <c r="R36" s="822"/>
      <c r="S36" s="822"/>
      <c r="T36" s="822"/>
      <c r="U36" s="822"/>
      <c r="V36" s="822"/>
      <c r="W36" s="822"/>
      <c r="X36" s="822"/>
      <c r="Y36" s="822"/>
      <c r="Z36" s="822"/>
      <c r="AA36" s="822"/>
      <c r="AB36" s="822"/>
      <c r="AC36" s="822"/>
      <c r="AD36" s="822"/>
      <c r="AE36" s="822"/>
      <c r="AF36" s="822"/>
      <c r="AG36" s="822"/>
      <c r="AH36" s="822"/>
      <c r="AI36" s="822"/>
      <c r="AJ36" s="822"/>
      <c r="AK36" s="822"/>
      <c r="AL36" s="822"/>
      <c r="AM36" s="822"/>
      <c r="AN36" s="822"/>
      <c r="AO36" s="822"/>
      <c r="AP36" s="822"/>
      <c r="AQ36" s="822"/>
      <c r="AR36" s="822"/>
      <c r="AS36" s="1160"/>
      <c r="AT36" s="823"/>
      <c r="AU36" s="822" t="str">
        <f t="shared" si="10"/>
        <v/>
      </c>
      <c r="AV36" s="2276" t="str">
        <f t="shared" si="1"/>
        <v/>
      </c>
      <c r="AW36" s="803"/>
      <c r="AX36" s="2016" t="str">
        <f t="shared" si="2"/>
        <v/>
      </c>
      <c r="AY36" s="2016"/>
      <c r="AZ36" s="2016"/>
      <c r="BA36" s="2016"/>
      <c r="BB36" s="2016"/>
    </row>
    <row r="37" spans="1:55" ht="14" hidden="1" customHeight="1" outlineLevel="1" x14ac:dyDescent="0.25">
      <c r="A37" s="779" t="s">
        <v>683</v>
      </c>
      <c r="B37" s="772"/>
      <c r="C37" s="773"/>
      <c r="D37" s="773"/>
      <c r="E37" s="804"/>
      <c r="F37" s="773"/>
      <c r="G37" s="774"/>
      <c r="H37" s="774"/>
      <c r="J37" s="847"/>
      <c r="K37" s="825"/>
      <c r="L37" s="831"/>
      <c r="M37" s="831"/>
      <c r="N37" s="805"/>
      <c r="O37" s="825"/>
      <c r="P37" s="825"/>
      <c r="Q37" s="825"/>
      <c r="R37" s="825"/>
      <c r="S37" s="825"/>
      <c r="T37" s="825"/>
      <c r="U37" s="825"/>
      <c r="V37" s="825"/>
      <c r="W37" s="825"/>
      <c r="X37" s="825"/>
      <c r="Y37" s="825"/>
      <c r="Z37" s="825"/>
      <c r="AA37" s="825"/>
      <c r="AB37" s="825"/>
      <c r="AC37" s="825"/>
      <c r="AD37" s="825"/>
      <c r="AE37" s="825"/>
      <c r="AF37" s="825"/>
      <c r="AG37" s="825"/>
      <c r="AH37" s="825"/>
      <c r="AI37" s="825"/>
      <c r="AJ37" s="825"/>
      <c r="AK37" s="825"/>
      <c r="AL37" s="825"/>
      <c r="AM37" s="825"/>
      <c r="AN37" s="825"/>
      <c r="AO37" s="825"/>
      <c r="AP37" s="825"/>
      <c r="AQ37" s="825"/>
      <c r="AR37" s="825"/>
      <c r="AS37" s="1110"/>
      <c r="AT37" s="1040"/>
      <c r="AU37" s="825" t="str">
        <f t="shared" si="10"/>
        <v/>
      </c>
      <c r="AV37" s="2274" t="str">
        <f t="shared" si="1"/>
        <v/>
      </c>
      <c r="AW37" s="778"/>
      <c r="AX37" s="2016" t="str">
        <f t="shared" si="2"/>
        <v/>
      </c>
      <c r="AY37" s="2016"/>
      <c r="AZ37" s="2016"/>
      <c r="BA37" s="2016"/>
      <c r="BB37" s="2016"/>
      <c r="BC37" s="2011" t="s">
        <v>1220</v>
      </c>
    </row>
    <row r="38" spans="1:55" ht="14" hidden="1" customHeight="1" outlineLevel="1" x14ac:dyDescent="0.25">
      <c r="A38" s="779" t="s">
        <v>551</v>
      </c>
      <c r="B38" s="772">
        <v>0</v>
      </c>
      <c r="C38" s="773">
        <v>0</v>
      </c>
      <c r="D38" s="773">
        <v>0</v>
      </c>
      <c r="E38" s="804"/>
      <c r="F38" s="773">
        <v>920</v>
      </c>
      <c r="G38" s="774">
        <v>920</v>
      </c>
      <c r="H38" s="774">
        <v>5400</v>
      </c>
      <c r="I38" s="712">
        <v>5124.8</v>
      </c>
      <c r="J38" s="806">
        <v>5425</v>
      </c>
      <c r="K38" s="788"/>
      <c r="L38" s="840">
        <v>5981</v>
      </c>
      <c r="M38" s="807">
        <v>6329</v>
      </c>
      <c r="N38" s="808">
        <v>5610</v>
      </c>
      <c r="O38" s="788">
        <v>0</v>
      </c>
      <c r="P38" s="788">
        <v>0</v>
      </c>
      <c r="Q38" s="788">
        <v>0</v>
      </c>
      <c r="R38" s="788">
        <v>0</v>
      </c>
      <c r="S38" s="788"/>
      <c r="T38" s="788">
        <v>1630</v>
      </c>
      <c r="U38" s="788">
        <v>1630</v>
      </c>
      <c r="V38" s="788">
        <v>1630</v>
      </c>
      <c r="W38" s="788">
        <f>V38</f>
        <v>1630</v>
      </c>
      <c r="X38" s="810">
        <v>1630</v>
      </c>
      <c r="Y38" s="810">
        <v>1630</v>
      </c>
      <c r="Z38" s="810">
        <v>1858</v>
      </c>
      <c r="AA38" s="810">
        <f>Z38</f>
        <v>1858</v>
      </c>
      <c r="AB38" s="810">
        <v>1858</v>
      </c>
      <c r="AC38" s="810">
        <f>AB38</f>
        <v>1858</v>
      </c>
      <c r="AD38" s="810"/>
      <c r="AE38" s="810">
        <v>0</v>
      </c>
      <c r="AF38" s="810"/>
      <c r="AG38" s="810">
        <v>0</v>
      </c>
      <c r="AH38" s="810"/>
      <c r="AI38" s="810">
        <v>0</v>
      </c>
      <c r="AJ38" s="810"/>
      <c r="AK38" s="810"/>
      <c r="AL38" s="810">
        <v>5000</v>
      </c>
      <c r="AM38" s="810">
        <f>AL38*$AH$3</f>
        <v>5100</v>
      </c>
      <c r="AN38" s="810">
        <v>5000</v>
      </c>
      <c r="AO38" s="810">
        <v>5125</v>
      </c>
      <c r="AP38" s="810">
        <v>5048</v>
      </c>
      <c r="AQ38" s="810">
        <f>AP38*$AH$3</f>
        <v>5148.96</v>
      </c>
      <c r="AR38" s="810">
        <v>5128</v>
      </c>
      <c r="AS38" s="1410">
        <f>AR38*$AH$3</f>
        <v>5230.5600000000004</v>
      </c>
      <c r="AT38" s="809">
        <f>'[1]BUDGET DETAIL'!$CX$198</f>
        <v>5251</v>
      </c>
      <c r="AU38" s="810">
        <f t="shared" si="10"/>
        <v>123</v>
      </c>
      <c r="AV38" s="2274">
        <f t="shared" si="1"/>
        <v>2.3985959438377537E-2</v>
      </c>
      <c r="AW38" s="778"/>
      <c r="AX38" s="2016"/>
      <c r="AY38" s="2016"/>
      <c r="AZ38" s="2016"/>
      <c r="BA38" s="2016"/>
      <c r="BB38" s="2016"/>
    </row>
    <row r="39" spans="1:55" ht="14" hidden="1" customHeight="1" outlineLevel="1" x14ac:dyDescent="0.25">
      <c r="A39" s="779" t="s">
        <v>812</v>
      </c>
      <c r="B39" s="772">
        <v>0</v>
      </c>
      <c r="C39" s="773">
        <v>0</v>
      </c>
      <c r="D39" s="773">
        <v>0</v>
      </c>
      <c r="E39" s="773"/>
      <c r="F39" s="773">
        <v>3500</v>
      </c>
      <c r="G39" s="774">
        <v>3208.56</v>
      </c>
      <c r="H39" s="774">
        <v>3500</v>
      </c>
      <c r="I39" s="712">
        <v>3497.03</v>
      </c>
      <c r="J39" s="848">
        <v>3500</v>
      </c>
      <c r="K39" s="785" t="s">
        <v>321</v>
      </c>
      <c r="L39" s="812">
        <v>3570</v>
      </c>
      <c r="M39" s="812">
        <v>3641</v>
      </c>
      <c r="N39" s="818">
        <v>3363</v>
      </c>
      <c r="O39" s="785">
        <v>0</v>
      </c>
      <c r="P39" s="788">
        <v>0</v>
      </c>
      <c r="Q39" s="785"/>
      <c r="R39" s="788">
        <v>0</v>
      </c>
      <c r="S39" s="785"/>
      <c r="T39" s="785">
        <v>1238</v>
      </c>
      <c r="U39" s="785">
        <v>1238</v>
      </c>
      <c r="V39" s="788">
        <v>1263</v>
      </c>
      <c r="W39" s="788">
        <f>V39</f>
        <v>1263</v>
      </c>
      <c r="X39" s="810">
        <v>1263</v>
      </c>
      <c r="Y39" s="810">
        <v>1263</v>
      </c>
      <c r="Z39" s="810">
        <v>1263</v>
      </c>
      <c r="AA39" s="810">
        <f>Z39</f>
        <v>1263</v>
      </c>
      <c r="AB39" s="810">
        <v>1263</v>
      </c>
      <c r="AC39" s="810">
        <f>AB39</f>
        <v>1263</v>
      </c>
      <c r="AD39" s="810"/>
      <c r="AE39" s="810">
        <v>35000</v>
      </c>
      <c r="AF39" s="810"/>
      <c r="AG39" s="810">
        <v>35000</v>
      </c>
      <c r="AH39" s="810">
        <v>37000</v>
      </c>
      <c r="AI39" s="788">
        <v>37000</v>
      </c>
      <c r="AJ39" s="788">
        <v>49000</v>
      </c>
      <c r="AK39" s="810">
        <v>49000</v>
      </c>
      <c r="AL39" s="788">
        <v>44000</v>
      </c>
      <c r="AM39" s="788">
        <f>AL39*$AH$4</f>
        <v>44000</v>
      </c>
      <c r="AN39" s="788">
        <v>49850</v>
      </c>
      <c r="AO39" s="788">
        <v>49850</v>
      </c>
      <c r="AP39" s="788">
        <v>49850</v>
      </c>
      <c r="AQ39" s="810">
        <f>AP39*$AH$4</f>
        <v>49850</v>
      </c>
      <c r="AR39" s="788">
        <v>50050</v>
      </c>
      <c r="AS39" s="841">
        <f>AR39*$AH$4</f>
        <v>50050</v>
      </c>
      <c r="AT39" s="891">
        <f>'[1]BUDGET DETAIL'!$CX$206+AX39*AY39</f>
        <v>51998</v>
      </c>
      <c r="AU39" s="788">
        <f t="shared" si="10"/>
        <v>1948</v>
      </c>
      <c r="AV39" s="2272">
        <f t="shared" si="1"/>
        <v>3.8921078921078919E-2</v>
      </c>
      <c r="AW39" s="1526"/>
      <c r="AX39" s="2016">
        <f>'Vote track budget'!F39</f>
        <v>1773</v>
      </c>
      <c r="AY39" s="2016">
        <v>1</v>
      </c>
      <c r="AZ39" s="2016">
        <f>AX39*AY39</f>
        <v>1773</v>
      </c>
      <c r="BA39" s="2016"/>
      <c r="BB39" s="2016"/>
      <c r="BC39" s="2011" t="s">
        <v>1243</v>
      </c>
    </row>
    <row r="40" spans="1:55" ht="14" hidden="1" customHeight="1" outlineLevel="1" x14ac:dyDescent="0.25">
      <c r="A40" s="842" t="s">
        <v>813</v>
      </c>
      <c r="B40" s="780">
        <f>SUM(B39)</f>
        <v>0</v>
      </c>
      <c r="C40" s="781">
        <f>SUM(C38:C39)</f>
        <v>0</v>
      </c>
      <c r="D40" s="781">
        <f t="shared" ref="D40:I40" si="12">SUM(D38:D39)</f>
        <v>0</v>
      </c>
      <c r="E40" s="781">
        <f t="shared" si="12"/>
        <v>0</v>
      </c>
      <c r="F40" s="781">
        <f t="shared" si="12"/>
        <v>4420</v>
      </c>
      <c r="G40" s="781">
        <f t="shared" si="12"/>
        <v>4128.5599999999995</v>
      </c>
      <c r="H40" s="781">
        <f t="shared" si="12"/>
        <v>8900</v>
      </c>
      <c r="I40" s="781">
        <f t="shared" si="12"/>
        <v>8621.83</v>
      </c>
      <c r="J40" s="784">
        <f>SUM(J38:J39)</f>
        <v>8925</v>
      </c>
      <c r="K40" s="785" t="s">
        <v>455</v>
      </c>
      <c r="L40" s="843">
        <f>SUM(L38:L39)</f>
        <v>9551</v>
      </c>
      <c r="M40" s="843">
        <f>SUM(M38:M39)</f>
        <v>9970</v>
      </c>
      <c r="N40" s="844">
        <f>SUM(N38:N39)</f>
        <v>8973</v>
      </c>
      <c r="O40" s="844">
        <f>SUM(O38:O39)</f>
        <v>0</v>
      </c>
      <c r="P40" s="844">
        <f>SUM(P38:P39)</f>
        <v>0</v>
      </c>
      <c r="Q40" s="820">
        <f>IF(SUM(Q38:Q39)=0,P40,SUM(Q38:Q39))</f>
        <v>0</v>
      </c>
      <c r="R40" s="844">
        <f>SUM(R38:R39)</f>
        <v>0</v>
      </c>
      <c r="S40" s="820">
        <f>IF(SUM(S38:S39)=0,R40,SUM(S38:S39))</f>
        <v>0</v>
      </c>
      <c r="T40" s="820">
        <v>2868</v>
      </c>
      <c r="U40" s="820">
        <v>2868</v>
      </c>
      <c r="V40" s="844">
        <f>SUM(V38:V39)</f>
        <v>2893</v>
      </c>
      <c r="W40" s="820">
        <f>IF(SUM(W38:W39)=0,V40,SUM(W38:W39))</f>
        <v>2893</v>
      </c>
      <c r="X40" s="844">
        <f>SUM(X38:X39)</f>
        <v>2893</v>
      </c>
      <c r="Y40" s="819">
        <f>IF(SUM(Y38:Y39)=0,X40,SUM(Y38:Y39))</f>
        <v>2893</v>
      </c>
      <c r="Z40" s="844">
        <f>SUM(Z38:Z39)</f>
        <v>3121</v>
      </c>
      <c r="AA40" s="819">
        <f>IF(SUM(AA38:AA39)=0,Z40,SUM(AA38:AA39))</f>
        <v>3121</v>
      </c>
      <c r="AB40" s="844">
        <f>SUM(AB38:AB39)</f>
        <v>3121</v>
      </c>
      <c r="AC40" s="819">
        <f>IF(SUM(AC38:AC39)=0,AB40,SUM(AC38:AC39))</f>
        <v>3121</v>
      </c>
      <c r="AD40" s="819"/>
      <c r="AE40" s="819">
        <v>35000</v>
      </c>
      <c r="AF40" s="819">
        <v>35000</v>
      </c>
      <c r="AG40" s="819">
        <v>35000</v>
      </c>
      <c r="AH40" s="819">
        <v>37000</v>
      </c>
      <c r="AI40" s="785">
        <v>37000</v>
      </c>
      <c r="AJ40" s="785">
        <v>49000</v>
      </c>
      <c r="AK40" s="785">
        <v>49000</v>
      </c>
      <c r="AL40" s="785">
        <v>49000</v>
      </c>
      <c r="AM40" s="785">
        <f>IF(SUM(AM38:AM39)=0,AL40,SUM(AM38:AM39))</f>
        <v>49100</v>
      </c>
      <c r="AN40" s="785">
        <f>IF(SUM(AN38:AN39)=0,AM40,SUM(AN38:AN39))</f>
        <v>54850</v>
      </c>
      <c r="AO40" s="785">
        <f>IF(SUM(AO38:AO39)=0,AN40,SUM(AO38:AO39))</f>
        <v>54975</v>
      </c>
      <c r="AP40" s="785">
        <f>SUM(AP38:AP39)</f>
        <v>54898</v>
      </c>
      <c r="AQ40" s="785">
        <f>IF(SUM(AQ38:AQ39)=0,AP40,SUM(AQ38:AQ39))</f>
        <v>54998.96</v>
      </c>
      <c r="AR40" s="785">
        <f>IF(SUM(AR38:AR39)=0,AQ40,SUM(AR38:AR39))</f>
        <v>55178</v>
      </c>
      <c r="AS40" s="820">
        <f>IF(SUM(AS38:AS39)=0,AR40,SUM(AS38:AS39))</f>
        <v>55280.56</v>
      </c>
      <c r="AT40" s="819">
        <f>IF(SUM(AT38:AT39)=0,AS40,SUM(AT38:AT39))</f>
        <v>57249</v>
      </c>
      <c r="AU40" s="785">
        <f t="shared" si="10"/>
        <v>2071</v>
      </c>
      <c r="AV40" s="2275">
        <f t="shared" si="1"/>
        <v>3.7533074776178912E-2</v>
      </c>
      <c r="AW40" s="778"/>
      <c r="AX40" s="2016"/>
      <c r="AY40" s="2016"/>
      <c r="AZ40" s="2016"/>
      <c r="BA40" s="2518">
        <f>POWER(AT40/AJ40,1/5)-1</f>
        <v>3.1607200963889026E-2</v>
      </c>
      <c r="BB40" s="2518">
        <f>POWER(AT40/AA40,1/9)-1</f>
        <v>0.38161174074718374</v>
      </c>
      <c r="BC40" s="2332"/>
    </row>
    <row r="41" spans="1:55" ht="14" hidden="1" customHeight="1" outlineLevel="1" x14ac:dyDescent="0.25">
      <c r="A41" s="821"/>
      <c r="B41" s="791"/>
      <c r="C41" s="792"/>
      <c r="D41" s="792"/>
      <c r="E41" s="793"/>
      <c r="F41" s="792"/>
      <c r="G41" s="794"/>
      <c r="H41" s="794"/>
      <c r="I41" s="795"/>
      <c r="J41" s="846"/>
      <c r="K41" s="822"/>
      <c r="L41" s="822"/>
      <c r="M41" s="823"/>
      <c r="N41" s="824"/>
      <c r="O41" s="822"/>
      <c r="P41" s="822"/>
      <c r="Q41" s="822"/>
      <c r="R41" s="822"/>
      <c r="S41" s="822"/>
      <c r="T41" s="822"/>
      <c r="U41" s="822"/>
      <c r="V41" s="822"/>
      <c r="W41" s="822"/>
      <c r="X41" s="822"/>
      <c r="Y41" s="822"/>
      <c r="Z41" s="822"/>
      <c r="AA41" s="822"/>
      <c r="AB41" s="822"/>
      <c r="AC41" s="822"/>
      <c r="AD41" s="822"/>
      <c r="AE41" s="822"/>
      <c r="AF41" s="822"/>
      <c r="AG41" s="822"/>
      <c r="AH41" s="822"/>
      <c r="AI41" s="822"/>
      <c r="AJ41" s="822"/>
      <c r="AK41" s="822"/>
      <c r="AL41" s="822"/>
      <c r="AM41" s="822"/>
      <c r="AN41" s="822"/>
      <c r="AO41" s="822"/>
      <c r="AP41" s="822"/>
      <c r="AQ41" s="822"/>
      <c r="AR41" s="822"/>
      <c r="AS41" s="1160"/>
      <c r="AT41" s="823"/>
      <c r="AU41" s="822" t="str">
        <f t="shared" si="10"/>
        <v/>
      </c>
      <c r="AV41" s="2276" t="str">
        <f t="shared" si="1"/>
        <v/>
      </c>
      <c r="AW41" s="803"/>
      <c r="AX41" s="2016" t="str">
        <f t="shared" si="2"/>
        <v/>
      </c>
      <c r="AY41" s="2016"/>
      <c r="AZ41" s="2016"/>
      <c r="BA41" s="2016"/>
      <c r="BB41" s="2016"/>
    </row>
    <row r="42" spans="1:55" ht="14" hidden="1" customHeight="1" outlineLevel="1" x14ac:dyDescent="0.25">
      <c r="A42" s="779" t="s">
        <v>684</v>
      </c>
      <c r="B42" s="772"/>
      <c r="C42" s="773">
        <v>225000</v>
      </c>
      <c r="D42" s="773"/>
      <c r="E42" s="804"/>
      <c r="F42" s="773"/>
      <c r="G42" s="774"/>
      <c r="H42" s="774"/>
      <c r="J42" s="847"/>
      <c r="K42" s="825"/>
      <c r="L42" s="825"/>
      <c r="M42" s="825"/>
      <c r="N42" s="825"/>
      <c r="O42" s="825"/>
      <c r="P42" s="825"/>
      <c r="Q42" s="825"/>
      <c r="R42" s="825"/>
      <c r="S42" s="825"/>
      <c r="T42" s="825"/>
      <c r="U42" s="825"/>
      <c r="V42" s="825"/>
      <c r="W42" s="825"/>
      <c r="X42" s="825"/>
      <c r="Y42" s="825"/>
      <c r="Z42" s="825"/>
      <c r="AA42" s="825"/>
      <c r="AB42" s="825"/>
      <c r="AC42" s="825"/>
      <c r="AD42" s="825"/>
      <c r="AE42" s="825"/>
      <c r="AF42" s="825"/>
      <c r="AG42" s="825"/>
      <c r="AH42" s="825"/>
      <c r="AI42" s="825"/>
      <c r="AJ42" s="825"/>
      <c r="AK42" s="825"/>
      <c r="AL42" s="825"/>
      <c r="AM42" s="825"/>
      <c r="AN42" s="825"/>
      <c r="AO42" s="825"/>
      <c r="AP42" s="825"/>
      <c r="AQ42" s="825"/>
      <c r="AR42" s="825"/>
      <c r="AS42" s="825"/>
      <c r="AT42" s="825"/>
      <c r="AU42" s="825" t="str">
        <f t="shared" si="6"/>
        <v/>
      </c>
      <c r="AV42" s="2316" t="str">
        <f t="shared" si="1"/>
        <v/>
      </c>
      <c r="AW42" s="778"/>
      <c r="AX42" s="2016" t="str">
        <f t="shared" si="2"/>
        <v/>
      </c>
      <c r="AY42" s="2016"/>
      <c r="AZ42" s="2016"/>
      <c r="BA42" s="2016"/>
      <c r="BB42" s="2016"/>
      <c r="BC42" s="2011" t="s">
        <v>1072</v>
      </c>
    </row>
    <row r="43" spans="1:55" ht="14" hidden="1" customHeight="1" outlineLevel="1" x14ac:dyDescent="0.25">
      <c r="A43" s="779" t="s">
        <v>810</v>
      </c>
      <c r="B43" s="772">
        <v>0</v>
      </c>
      <c r="C43" s="773">
        <v>0</v>
      </c>
      <c r="D43" s="773">
        <v>0</v>
      </c>
      <c r="E43" s="804">
        <v>0</v>
      </c>
      <c r="F43" s="773">
        <v>1780</v>
      </c>
      <c r="G43" s="774">
        <v>1780</v>
      </c>
      <c r="H43" s="774">
        <v>0</v>
      </c>
      <c r="I43" s="712">
        <v>0</v>
      </c>
      <c r="J43" s="806">
        <v>0</v>
      </c>
      <c r="K43" s="788">
        <v>0</v>
      </c>
      <c r="L43" s="788"/>
      <c r="M43" s="788"/>
      <c r="N43" s="788"/>
      <c r="O43" s="788"/>
      <c r="P43" s="788"/>
      <c r="Q43" s="788"/>
      <c r="R43" s="788"/>
      <c r="S43" s="788"/>
      <c r="T43" s="788">
        <v>0</v>
      </c>
      <c r="U43" s="788"/>
      <c r="V43" s="788"/>
      <c r="W43" s="788"/>
      <c r="X43" s="788"/>
      <c r="Y43" s="788"/>
      <c r="Z43" s="810">
        <f>Y43*(1+$A$2/100)</f>
        <v>0</v>
      </c>
      <c r="AA43" s="788"/>
      <c r="AB43" s="810">
        <f>AA43*(1+$A$2/100)</f>
        <v>0</v>
      </c>
      <c r="AC43" s="788"/>
      <c r="AD43" s="788"/>
      <c r="AE43" s="788"/>
      <c r="AF43" s="788"/>
      <c r="AG43" s="788"/>
      <c r="AH43" s="788"/>
      <c r="AI43" s="788"/>
      <c r="AJ43" s="788"/>
      <c r="AK43" s="788"/>
      <c r="AL43" s="788"/>
      <c r="AM43" s="788"/>
      <c r="AN43" s="788"/>
      <c r="AO43" s="788"/>
      <c r="AP43" s="788"/>
      <c r="AQ43" s="788"/>
      <c r="AR43" s="788"/>
      <c r="AS43" s="788"/>
      <c r="AT43" s="788"/>
      <c r="AU43" s="788" t="str">
        <f t="shared" si="6"/>
        <v/>
      </c>
      <c r="AV43" s="2314" t="str">
        <f t="shared" si="1"/>
        <v/>
      </c>
      <c r="AW43" s="778"/>
      <c r="AX43" s="2016" t="str">
        <f t="shared" si="2"/>
        <v/>
      </c>
      <c r="AY43" s="2016"/>
      <c r="AZ43" s="2016"/>
      <c r="BA43" s="2016"/>
      <c r="BB43" s="2016"/>
      <c r="BC43" s="2011" t="s">
        <v>1072</v>
      </c>
    </row>
    <row r="44" spans="1:55" ht="14" hidden="1" customHeight="1" outlineLevel="1" x14ac:dyDescent="0.25">
      <c r="A44" s="779" t="s">
        <v>555</v>
      </c>
      <c r="B44" s="772"/>
      <c r="C44" s="773"/>
      <c r="D44" s="773"/>
      <c r="E44" s="804"/>
      <c r="F44" s="773"/>
      <c r="G44" s="774">
        <v>0</v>
      </c>
      <c r="H44" s="774">
        <v>0</v>
      </c>
      <c r="I44" s="712">
        <v>0</v>
      </c>
      <c r="J44" s="806">
        <v>0</v>
      </c>
      <c r="K44" s="788">
        <v>0</v>
      </c>
      <c r="L44" s="788"/>
      <c r="M44" s="788"/>
      <c r="N44" s="788"/>
      <c r="O44" s="788"/>
      <c r="P44" s="788"/>
      <c r="Q44" s="788"/>
      <c r="R44" s="788"/>
      <c r="S44" s="788"/>
      <c r="T44" s="788">
        <v>0</v>
      </c>
      <c r="U44" s="788"/>
      <c r="V44" s="788"/>
      <c r="W44" s="788"/>
      <c r="X44" s="788"/>
      <c r="Y44" s="788"/>
      <c r="Z44" s="788"/>
      <c r="AA44" s="788"/>
      <c r="AB44" s="788">
        <f>W44*(1+BE$8)</f>
        <v>0</v>
      </c>
      <c r="AC44" s="788"/>
      <c r="AD44" s="788"/>
      <c r="AE44" s="788"/>
      <c r="AF44" s="810">
        <v>0</v>
      </c>
      <c r="AG44" s="810"/>
      <c r="AH44" s="810"/>
      <c r="AI44" s="788"/>
      <c r="AJ44" s="788"/>
      <c r="AK44" s="788"/>
      <c r="AL44" s="788"/>
      <c r="AM44" s="788"/>
      <c r="AN44" s="788"/>
      <c r="AO44" s="788"/>
      <c r="AP44" s="788"/>
      <c r="AQ44" s="788"/>
      <c r="AR44" s="788"/>
      <c r="AS44" s="788"/>
      <c r="AT44" s="788"/>
      <c r="AU44" s="788" t="str">
        <f t="shared" si="6"/>
        <v/>
      </c>
      <c r="AV44" s="2314" t="str">
        <f t="shared" si="1"/>
        <v/>
      </c>
      <c r="AW44" s="778"/>
      <c r="AX44" s="2016" t="str">
        <f t="shared" si="2"/>
        <v/>
      </c>
      <c r="AY44" s="2016"/>
      <c r="AZ44" s="2016"/>
      <c r="BA44" s="2016"/>
      <c r="BB44" s="2016"/>
      <c r="BC44" s="2011" t="s">
        <v>1072</v>
      </c>
    </row>
    <row r="45" spans="1:55" ht="14" hidden="1" customHeight="1" outlineLevel="1" x14ac:dyDescent="0.25">
      <c r="A45" s="849" t="s">
        <v>558</v>
      </c>
      <c r="B45" s="780">
        <f>SUM(B43)</f>
        <v>0</v>
      </c>
      <c r="C45" s="781">
        <f>SUM(C43:C44)</f>
        <v>0</v>
      </c>
      <c r="D45" s="781">
        <f t="shared" ref="D45:I45" si="13">SUM(D43:D44)</f>
        <v>0</v>
      </c>
      <c r="E45" s="781">
        <f t="shared" si="13"/>
        <v>0</v>
      </c>
      <c r="F45" s="781">
        <f t="shared" si="13"/>
        <v>1780</v>
      </c>
      <c r="G45" s="781">
        <f t="shared" si="13"/>
        <v>1780</v>
      </c>
      <c r="H45" s="781">
        <f t="shared" si="13"/>
        <v>0</v>
      </c>
      <c r="I45" s="781">
        <f t="shared" si="13"/>
        <v>0</v>
      </c>
      <c r="J45" s="784">
        <v>0</v>
      </c>
      <c r="K45" s="785">
        <v>0</v>
      </c>
      <c r="L45" s="785"/>
      <c r="M45" s="785"/>
      <c r="N45" s="785"/>
      <c r="O45" s="785"/>
      <c r="P45" s="844"/>
      <c r="Q45" s="819">
        <f>IF(SUM(Q43:Q44)=0,P45,SUM(Q43:Q44))</f>
        <v>0</v>
      </c>
      <c r="R45" s="844"/>
      <c r="S45" s="819">
        <f>IF(SUM(S43:S44)=0,R45,SUM(S43:S44))</f>
        <v>0</v>
      </c>
      <c r="T45" s="819">
        <v>0</v>
      </c>
      <c r="U45" s="819">
        <v>0</v>
      </c>
      <c r="V45" s="788"/>
      <c r="W45" s="819">
        <f>IF(SUM(W43:W44)=0,V45,SUM(W43:W44))</f>
        <v>0</v>
      </c>
      <c r="X45" s="844"/>
      <c r="Y45" s="819">
        <f>IF(SUM(Y43:Y44)=0,X45,SUM(Y43:Y44))</f>
        <v>0</v>
      </c>
      <c r="Z45" s="844"/>
      <c r="AA45" s="819">
        <f>IF(SUM(AA43:AA44)=0,Z45,SUM(AA43:AA44))</f>
        <v>0</v>
      </c>
      <c r="AB45" s="844">
        <f>SUM(AB43:AB44)</f>
        <v>0</v>
      </c>
      <c r="AC45" s="819"/>
      <c r="AD45" s="819"/>
      <c r="AE45" s="819">
        <v>0</v>
      </c>
      <c r="AF45" s="785"/>
      <c r="AG45" s="785">
        <v>0</v>
      </c>
      <c r="AH45" s="785"/>
      <c r="AI45" s="785">
        <v>0</v>
      </c>
      <c r="AJ45" s="785"/>
      <c r="AK45" s="785"/>
      <c r="AL45" s="785"/>
      <c r="AM45" s="785"/>
      <c r="AN45" s="785"/>
      <c r="AO45" s="785"/>
      <c r="AP45" s="785"/>
      <c r="AQ45" s="785"/>
      <c r="AR45" s="785"/>
      <c r="AS45" s="785"/>
      <c r="AT45" s="785"/>
      <c r="AU45" s="785" t="str">
        <f t="shared" si="6"/>
        <v/>
      </c>
      <c r="AV45" s="2317" t="str">
        <f t="shared" si="1"/>
        <v/>
      </c>
      <c r="AW45" s="778"/>
      <c r="AX45" s="2016" t="str">
        <f t="shared" si="2"/>
        <v/>
      </c>
      <c r="AY45" s="2016"/>
      <c r="AZ45" s="2016"/>
      <c r="BA45" s="2016"/>
      <c r="BB45" s="2016"/>
      <c r="BC45" s="2011" t="s">
        <v>1072</v>
      </c>
    </row>
    <row r="46" spans="1:55" ht="14" hidden="1" customHeight="1" outlineLevel="1" x14ac:dyDescent="0.25">
      <c r="A46" s="821"/>
      <c r="B46" s="791"/>
      <c r="C46" s="792"/>
      <c r="D46" s="792"/>
      <c r="E46" s="793"/>
      <c r="F46" s="792"/>
      <c r="G46" s="794"/>
      <c r="H46" s="794"/>
      <c r="I46" s="795"/>
      <c r="J46" s="846"/>
      <c r="K46" s="822"/>
      <c r="L46" s="822"/>
      <c r="M46" s="823"/>
      <c r="N46" s="822"/>
      <c r="O46" s="822"/>
      <c r="P46" s="822"/>
      <c r="Q46" s="822"/>
      <c r="R46" s="822"/>
      <c r="S46" s="822"/>
      <c r="T46" s="822"/>
      <c r="U46" s="822"/>
      <c r="V46" s="822"/>
      <c r="W46" s="822"/>
      <c r="X46" s="822"/>
      <c r="Y46" s="822"/>
      <c r="Z46" s="822"/>
      <c r="AA46" s="822"/>
      <c r="AB46" s="822"/>
      <c r="AC46" s="822"/>
      <c r="AD46" s="822"/>
      <c r="AE46" s="822"/>
      <c r="AF46" s="822"/>
      <c r="AG46" s="822"/>
      <c r="AH46" s="822"/>
      <c r="AI46" s="822"/>
      <c r="AJ46" s="822"/>
      <c r="AK46" s="822"/>
      <c r="AL46" s="822"/>
      <c r="AM46" s="822"/>
      <c r="AN46" s="822"/>
      <c r="AO46" s="822"/>
      <c r="AP46" s="822"/>
      <c r="AQ46" s="822"/>
      <c r="AR46" s="822"/>
      <c r="AS46" s="822"/>
      <c r="AT46" s="822"/>
      <c r="AU46" s="822" t="str">
        <f t="shared" si="6"/>
        <v/>
      </c>
      <c r="AV46" s="2318" t="str">
        <f t="shared" si="1"/>
        <v/>
      </c>
      <c r="AW46" s="803"/>
      <c r="AX46" s="2016" t="str">
        <f t="shared" si="2"/>
        <v/>
      </c>
      <c r="AY46" s="2016"/>
      <c r="AZ46" s="2016"/>
      <c r="BA46" s="2016"/>
      <c r="BB46" s="2016"/>
      <c r="BC46" s="2011" t="s">
        <v>1072</v>
      </c>
    </row>
    <row r="47" spans="1:55" ht="14" hidden="1" customHeight="1" outlineLevel="1" x14ac:dyDescent="0.25">
      <c r="A47" s="779" t="s">
        <v>559</v>
      </c>
      <c r="B47" s="772"/>
      <c r="C47" s="773"/>
      <c r="D47" s="773"/>
      <c r="E47" s="804"/>
      <c r="F47" s="773"/>
      <c r="G47" s="774"/>
      <c r="H47" s="774"/>
      <c r="J47" s="847"/>
      <c r="K47" s="825"/>
      <c r="L47" s="825"/>
      <c r="M47" s="825"/>
      <c r="N47" s="825"/>
      <c r="O47" s="825"/>
      <c r="P47" s="825"/>
      <c r="Q47" s="825"/>
      <c r="R47" s="825"/>
      <c r="S47" s="825"/>
      <c r="T47" s="825"/>
      <c r="U47" s="825"/>
      <c r="V47" s="825"/>
      <c r="W47" s="825"/>
      <c r="X47" s="825"/>
      <c r="Y47" s="825"/>
      <c r="Z47" s="825"/>
      <c r="AA47" s="825"/>
      <c r="AB47" s="825"/>
      <c r="AC47" s="825"/>
      <c r="AD47" s="825"/>
      <c r="AE47" s="825"/>
      <c r="AF47" s="825"/>
      <c r="AG47" s="825"/>
      <c r="AH47" s="825"/>
      <c r="AI47" s="825"/>
      <c r="AJ47" s="825"/>
      <c r="AK47" s="825"/>
      <c r="AL47" s="825"/>
      <c r="AM47" s="825"/>
      <c r="AN47" s="825"/>
      <c r="AO47" s="825"/>
      <c r="AP47" s="825"/>
      <c r="AQ47" s="825"/>
      <c r="AR47" s="825"/>
      <c r="AS47" s="1110"/>
      <c r="AT47" s="1040"/>
      <c r="AU47" s="825" t="str">
        <f t="shared" ref="AU47:AU74" si="14">IF(AR47&gt;0,AT47-AR47,"")</f>
        <v/>
      </c>
      <c r="AV47" s="2274" t="str">
        <f t="shared" si="1"/>
        <v/>
      </c>
      <c r="AW47" s="778"/>
      <c r="AX47" s="2016" t="str">
        <f t="shared" si="2"/>
        <v/>
      </c>
      <c r="AY47" s="2016"/>
      <c r="AZ47" s="2016"/>
      <c r="BA47" s="2016"/>
      <c r="BB47" s="2016"/>
      <c r="BC47" s="2011" t="s">
        <v>1220</v>
      </c>
    </row>
    <row r="48" spans="1:55" ht="14" hidden="1" customHeight="1" outlineLevel="1" x14ac:dyDescent="0.25">
      <c r="A48" s="779" t="s">
        <v>560</v>
      </c>
      <c r="B48" s="775">
        <v>54553</v>
      </c>
      <c r="C48" s="775">
        <v>54553</v>
      </c>
      <c r="D48" s="773">
        <v>56190</v>
      </c>
      <c r="E48" s="773">
        <v>56190</v>
      </c>
      <c r="F48" s="773">
        <v>56190</v>
      </c>
      <c r="G48" s="774">
        <v>69978</v>
      </c>
      <c r="H48" s="774">
        <v>58215</v>
      </c>
      <c r="I48" s="774">
        <v>57465</v>
      </c>
      <c r="J48" s="806">
        <v>59336</v>
      </c>
      <c r="K48" s="788"/>
      <c r="L48" s="840">
        <v>60937</v>
      </c>
      <c r="M48" s="807">
        <v>62583</v>
      </c>
      <c r="N48" s="808">
        <v>64272</v>
      </c>
      <c r="O48" s="788">
        <v>64272</v>
      </c>
      <c r="P48" s="810">
        <v>64272</v>
      </c>
      <c r="Q48" s="810">
        <v>64272</v>
      </c>
      <c r="R48" s="810">
        <v>64272</v>
      </c>
      <c r="S48" s="788"/>
      <c r="T48" s="788">
        <v>65557</v>
      </c>
      <c r="U48" s="788">
        <v>65557</v>
      </c>
      <c r="V48" s="810">
        <v>66868</v>
      </c>
      <c r="W48" s="788">
        <f>V48</f>
        <v>66868</v>
      </c>
      <c r="X48" s="810">
        <v>68205</v>
      </c>
      <c r="Y48" s="810">
        <v>68205</v>
      </c>
      <c r="Z48" s="810">
        <v>78365</v>
      </c>
      <c r="AA48" s="810">
        <f>Z48</f>
        <v>78365</v>
      </c>
      <c r="AB48" s="810">
        <v>89910</v>
      </c>
      <c r="AC48" s="810">
        <f>AB48</f>
        <v>89910</v>
      </c>
      <c r="AD48" s="810"/>
      <c r="AE48" s="810">
        <v>93892</v>
      </c>
      <c r="AF48" s="810"/>
      <c r="AG48" s="810">
        <v>96708.760000000009</v>
      </c>
      <c r="AH48" s="810">
        <v>98405</v>
      </c>
      <c r="AI48" s="810">
        <v>101357.15000000001</v>
      </c>
      <c r="AJ48" s="810">
        <v>103920</v>
      </c>
      <c r="AK48" s="810">
        <v>107037.6</v>
      </c>
      <c r="AL48" s="810">
        <v>106363</v>
      </c>
      <c r="AM48" s="810">
        <f>AL48*$AH$3</f>
        <v>108490.26</v>
      </c>
      <c r="AN48" s="810">
        <v>108493</v>
      </c>
      <c r="AO48" s="810">
        <v>111205.325</v>
      </c>
      <c r="AP48" s="810">
        <v>110664</v>
      </c>
      <c r="AQ48" s="810">
        <f>AP48*$AH$3</f>
        <v>112877.28</v>
      </c>
      <c r="AR48" s="810">
        <v>115944</v>
      </c>
      <c r="AS48" s="1410">
        <f>AR48*$AH$3</f>
        <v>118262.88</v>
      </c>
      <c r="AT48" s="809">
        <f>'[1]BUDGET DETAIL'!$CX$72</f>
        <v>108000</v>
      </c>
      <c r="AU48" s="810">
        <f t="shared" si="14"/>
        <v>-7944</v>
      </c>
      <c r="AV48" s="2274">
        <f t="shared" si="1"/>
        <v>-6.851583523080107E-2</v>
      </c>
      <c r="AW48" s="778"/>
      <c r="AX48" s="2448"/>
      <c r="AY48" s="2448"/>
      <c r="AZ48" s="2016"/>
      <c r="BA48" s="2016"/>
      <c r="BB48" s="2016"/>
      <c r="BC48" s="2011"/>
    </row>
    <row r="49" spans="1:55" ht="14" hidden="1" customHeight="1" outlineLevel="1" x14ac:dyDescent="0.25">
      <c r="A49" s="779" t="s">
        <v>551</v>
      </c>
      <c r="B49" s="775">
        <v>31152</v>
      </c>
      <c r="C49" s="775">
        <v>30274.05</v>
      </c>
      <c r="D49" s="773">
        <v>31677</v>
      </c>
      <c r="E49" s="773">
        <v>30187.45</v>
      </c>
      <c r="F49" s="773">
        <v>31677</v>
      </c>
      <c r="G49" s="774">
        <v>29994.86</v>
      </c>
      <c r="H49" s="774">
        <v>30409</v>
      </c>
      <c r="I49" s="774">
        <v>30390.240000000002</v>
      </c>
      <c r="J49" s="806">
        <v>31250</v>
      </c>
      <c r="K49" s="788"/>
      <c r="L49" s="840">
        <v>26966.44</v>
      </c>
      <c r="M49" s="807">
        <v>31232</v>
      </c>
      <c r="N49" s="808">
        <v>20167</v>
      </c>
      <c r="O49" s="788">
        <v>33043</v>
      </c>
      <c r="P49" s="788">
        <v>33043</v>
      </c>
      <c r="Q49" s="788">
        <v>33043</v>
      </c>
      <c r="R49" s="788">
        <v>33043</v>
      </c>
      <c r="S49" s="788"/>
      <c r="T49" s="788">
        <v>35573</v>
      </c>
      <c r="U49" s="788">
        <v>35573</v>
      </c>
      <c r="V49" s="810">
        <v>37598</v>
      </c>
      <c r="W49" s="788">
        <f>V49</f>
        <v>37598</v>
      </c>
      <c r="X49" s="810">
        <v>36096</v>
      </c>
      <c r="Y49" s="810">
        <v>36096</v>
      </c>
      <c r="Z49" s="810">
        <v>42171</v>
      </c>
      <c r="AA49" s="810">
        <f>Z49</f>
        <v>42171</v>
      </c>
      <c r="AB49" s="810">
        <v>44051</v>
      </c>
      <c r="AC49" s="810">
        <f>AB49</f>
        <v>44051</v>
      </c>
      <c r="AD49" s="810"/>
      <c r="AE49" s="810">
        <v>45986</v>
      </c>
      <c r="AF49" s="810"/>
      <c r="AG49" s="810">
        <v>47365.58</v>
      </c>
      <c r="AH49" s="810">
        <v>48178</v>
      </c>
      <c r="AI49" s="810">
        <v>49623.340000000004</v>
      </c>
      <c r="AJ49" s="810">
        <v>50941</v>
      </c>
      <c r="AK49" s="810">
        <v>52469.23</v>
      </c>
      <c r="AL49" s="810">
        <v>52094</v>
      </c>
      <c r="AM49" s="810">
        <f>AL49*$AH$3</f>
        <v>53135.88</v>
      </c>
      <c r="AN49" s="810">
        <v>62553</v>
      </c>
      <c r="AO49" s="810">
        <v>64116.824999999997</v>
      </c>
      <c r="AP49" s="810">
        <v>63793</v>
      </c>
      <c r="AQ49" s="810">
        <f>AP49*$AH$3</f>
        <v>65068.86</v>
      </c>
      <c r="AR49" s="810">
        <v>65422</v>
      </c>
      <c r="AS49" s="1410">
        <f>AR49*$AH$3</f>
        <v>66730.44</v>
      </c>
      <c r="AT49" s="809">
        <f>'[1]BUDGET DETAIL'!$CX$77</f>
        <v>66972</v>
      </c>
      <c r="AU49" s="810">
        <f t="shared" si="14"/>
        <v>1550</v>
      </c>
      <c r="AV49" s="2274">
        <f t="shared" si="1"/>
        <v>2.3692335911467091E-2</v>
      </c>
      <c r="AW49" s="778"/>
      <c r="AX49" s="2016"/>
      <c r="AY49" s="2016"/>
      <c r="AZ49" s="2016"/>
      <c r="BA49" s="2016"/>
      <c r="BB49" s="2016"/>
    </row>
    <row r="50" spans="1:55" ht="14" hidden="1" customHeight="1" outlineLevel="1" x14ac:dyDescent="0.25">
      <c r="A50" s="779" t="s">
        <v>812</v>
      </c>
      <c r="B50" s="775">
        <v>13225</v>
      </c>
      <c r="C50" s="775">
        <v>12044.74</v>
      </c>
      <c r="D50" s="773">
        <f>2005+15975</f>
        <v>17980</v>
      </c>
      <c r="E50" s="773">
        <v>17150.7</v>
      </c>
      <c r="F50" s="773">
        <v>17980</v>
      </c>
      <c r="G50" s="774">
        <v>17950.23</v>
      </c>
      <c r="H50" s="774">
        <v>21555</v>
      </c>
      <c r="I50" s="774">
        <v>21555</v>
      </c>
      <c r="J50" s="806">
        <v>21555</v>
      </c>
      <c r="K50" s="788"/>
      <c r="L50" s="812">
        <v>20995.96</v>
      </c>
      <c r="M50" s="812">
        <v>22740</v>
      </c>
      <c r="N50" s="813">
        <v>20460</v>
      </c>
      <c r="O50" s="788">
        <v>20788</v>
      </c>
      <c r="P50" s="788">
        <v>20788</v>
      </c>
      <c r="Q50" s="788">
        <v>20788</v>
      </c>
      <c r="R50" s="788">
        <v>20788</v>
      </c>
      <c r="S50" s="788"/>
      <c r="T50" s="788">
        <v>21530</v>
      </c>
      <c r="U50" s="788">
        <v>21530</v>
      </c>
      <c r="V50" s="810">
        <v>21960</v>
      </c>
      <c r="W50" s="788">
        <f>V50</f>
        <v>21960</v>
      </c>
      <c r="X50" s="810">
        <v>22619</v>
      </c>
      <c r="Y50" s="810">
        <v>22619</v>
      </c>
      <c r="Z50" s="810">
        <v>23297</v>
      </c>
      <c r="AA50" s="810">
        <f>Z50</f>
        <v>23297</v>
      </c>
      <c r="AB50" s="810">
        <v>23996</v>
      </c>
      <c r="AC50" s="810">
        <f>AB50</f>
        <v>23996</v>
      </c>
      <c r="AD50" s="810"/>
      <c r="AE50" s="810">
        <v>26126</v>
      </c>
      <c r="AF50" s="810"/>
      <c r="AG50" s="810">
        <v>26126</v>
      </c>
      <c r="AH50" s="810">
        <v>30226</v>
      </c>
      <c r="AI50" s="810">
        <v>30226</v>
      </c>
      <c r="AJ50" s="810">
        <v>30226</v>
      </c>
      <c r="AK50" s="810">
        <v>30226</v>
      </c>
      <c r="AL50" s="810">
        <v>32026</v>
      </c>
      <c r="AM50" s="810">
        <f>AL50*$AH$4</f>
        <v>32026</v>
      </c>
      <c r="AN50" s="810">
        <v>37026</v>
      </c>
      <c r="AO50" s="810">
        <v>37026</v>
      </c>
      <c r="AP50" s="810">
        <v>37026</v>
      </c>
      <c r="AQ50" s="810">
        <f>AP50*$AH$4</f>
        <v>37026</v>
      </c>
      <c r="AR50" s="810">
        <v>37026</v>
      </c>
      <c r="AS50" s="1410">
        <f>AR50*$AH$4</f>
        <v>37026</v>
      </c>
      <c r="AT50" s="809">
        <f>'[1]BUDGET DETAIL'!$CX$88+AX50*AY50</f>
        <v>38026</v>
      </c>
      <c r="AU50" s="810">
        <f t="shared" si="14"/>
        <v>1000</v>
      </c>
      <c r="AV50" s="2274">
        <f t="shared" si="1"/>
        <v>2.7008048398422729E-2</v>
      </c>
      <c r="AX50" s="2016">
        <f>'Vote track budget'!F50</f>
        <v>1000</v>
      </c>
      <c r="AY50" s="2016">
        <v>1</v>
      </c>
      <c r="AZ50" s="2016">
        <f>AX50*AY50</f>
        <v>1000</v>
      </c>
      <c r="BA50" s="2016"/>
      <c r="BB50" s="2016"/>
      <c r="BC50" s="2011" t="s">
        <v>1243</v>
      </c>
    </row>
    <row r="51" spans="1:55" ht="14" hidden="1" customHeight="1" outlineLevel="1" x14ac:dyDescent="0.25">
      <c r="A51" s="842" t="s">
        <v>299</v>
      </c>
      <c r="B51" s="781">
        <f>SUM(B48:B50)</f>
        <v>98930</v>
      </c>
      <c r="C51" s="781">
        <f>SUM(C48:C50)</f>
        <v>96871.790000000008</v>
      </c>
      <c r="D51" s="781">
        <f t="shared" ref="D51:N51" si="15">SUM(D48:D50)</f>
        <v>105847</v>
      </c>
      <c r="E51" s="781">
        <f t="shared" si="15"/>
        <v>103528.15</v>
      </c>
      <c r="F51" s="781">
        <f t="shared" si="15"/>
        <v>105847</v>
      </c>
      <c r="G51" s="781">
        <f t="shared" si="15"/>
        <v>117923.09</v>
      </c>
      <c r="H51" s="781">
        <f t="shared" si="15"/>
        <v>110179</v>
      </c>
      <c r="I51" s="781">
        <f t="shared" si="15"/>
        <v>109410.24000000001</v>
      </c>
      <c r="J51" s="784">
        <f t="shared" si="15"/>
        <v>112141</v>
      </c>
      <c r="K51" s="785" t="s">
        <v>455</v>
      </c>
      <c r="L51" s="843">
        <f t="shared" si="15"/>
        <v>108899.4</v>
      </c>
      <c r="M51" s="843">
        <f t="shared" si="15"/>
        <v>116555</v>
      </c>
      <c r="N51" s="844">
        <f t="shared" si="15"/>
        <v>104899</v>
      </c>
      <c r="O51" s="785">
        <f>SUM(O48:O50)</f>
        <v>118103</v>
      </c>
      <c r="P51" s="844">
        <f>SUM(P48:P50)</f>
        <v>118103</v>
      </c>
      <c r="Q51" s="820">
        <f>IF(SUM(Q48:Q50)=0,P51,SUM(Q48:Q50))</f>
        <v>118103</v>
      </c>
      <c r="R51" s="844">
        <f>SUM(R48:R50)</f>
        <v>118103</v>
      </c>
      <c r="S51" s="820">
        <f>IF(SUM(S48:S50)=0,R51,SUM(S48:S50))</f>
        <v>118103</v>
      </c>
      <c r="T51" s="785">
        <v>122660</v>
      </c>
      <c r="U51" s="819">
        <v>122660</v>
      </c>
      <c r="V51" s="844">
        <f>SUM(V48:V50)</f>
        <v>126426</v>
      </c>
      <c r="W51" s="819">
        <f>IF(SUM(W48:W50)=0,V51,SUM(W48:W50))</f>
        <v>126426</v>
      </c>
      <c r="X51" s="844">
        <f>SUM(X48:X50)</f>
        <v>126920</v>
      </c>
      <c r="Y51" s="819">
        <f>IF(SUM(Y48:Y50)=0,X51,SUM(Y48:Y50))</f>
        <v>126920</v>
      </c>
      <c r="Z51" s="844">
        <f>SUM(Z48:Z50)</f>
        <v>143833</v>
      </c>
      <c r="AA51" s="819">
        <f>IF(SUM(AA48:AA50)=0,Z51,SUM(AA48:AA50))</f>
        <v>143833</v>
      </c>
      <c r="AB51" s="844">
        <f>SUM(AB48:AB50)</f>
        <v>157957</v>
      </c>
      <c r="AC51" s="819">
        <f>IF(SUM(AC48:AC50)=0,AB51,SUM(AC48:AC50))</f>
        <v>157957</v>
      </c>
      <c r="AD51" s="819"/>
      <c r="AE51" s="819">
        <v>166004</v>
      </c>
      <c r="AF51" s="819">
        <v>166004</v>
      </c>
      <c r="AG51" s="819">
        <v>170200.34000000003</v>
      </c>
      <c r="AH51" s="819">
        <v>176809</v>
      </c>
      <c r="AI51" s="785">
        <v>181206.49000000002</v>
      </c>
      <c r="AJ51" s="785">
        <v>185087</v>
      </c>
      <c r="AK51" s="785">
        <v>189732.83000000002</v>
      </c>
      <c r="AL51" s="785">
        <v>190483</v>
      </c>
      <c r="AM51" s="785">
        <f t="shared" ref="AM51:AR51" si="16">SUM(AM48:AM50)</f>
        <v>193652.13999999998</v>
      </c>
      <c r="AN51" s="785">
        <f t="shared" si="16"/>
        <v>208072</v>
      </c>
      <c r="AO51" s="785">
        <f t="shared" si="16"/>
        <v>212348.15</v>
      </c>
      <c r="AP51" s="785">
        <f t="shared" si="16"/>
        <v>211483</v>
      </c>
      <c r="AQ51" s="785">
        <f t="shared" si="16"/>
        <v>214972.14</v>
      </c>
      <c r="AR51" s="785">
        <f t="shared" si="16"/>
        <v>218392</v>
      </c>
      <c r="AS51" s="820">
        <f t="shared" ref="AS51:AT51" si="17">SUM(AS48:AS50)</f>
        <v>222019.32</v>
      </c>
      <c r="AT51" s="819">
        <f t="shared" si="17"/>
        <v>212998</v>
      </c>
      <c r="AU51" s="785">
        <f t="shared" si="14"/>
        <v>-5394</v>
      </c>
      <c r="AV51" s="2275">
        <f t="shared" si="1"/>
        <v>-2.469870691234111E-2</v>
      </c>
      <c r="AW51" s="778"/>
      <c r="AX51" s="2016"/>
      <c r="AY51" s="2016"/>
      <c r="AZ51" s="2016"/>
      <c r="BA51" s="2518">
        <f>POWER(AT51/AJ51,1/5)-1</f>
        <v>2.8489641130461152E-2</v>
      </c>
      <c r="BB51" s="2518">
        <f>POWER(AT51/AA51,1/9)-1</f>
        <v>4.4591125401372E-2</v>
      </c>
      <c r="BC51" s="2332"/>
    </row>
    <row r="52" spans="1:55" ht="14" hidden="1" customHeight="1" outlineLevel="1" x14ac:dyDescent="0.25">
      <c r="A52" s="821"/>
      <c r="B52" s="791"/>
      <c r="C52" s="792"/>
      <c r="D52" s="792"/>
      <c r="E52" s="793"/>
      <c r="F52" s="792"/>
      <c r="G52" s="794"/>
      <c r="H52" s="794"/>
      <c r="I52" s="795"/>
      <c r="J52" s="846"/>
      <c r="K52" s="822"/>
      <c r="L52" s="829"/>
      <c r="M52" s="830"/>
      <c r="N52" s="824"/>
      <c r="O52" s="822"/>
      <c r="P52" s="822"/>
      <c r="Q52" s="822"/>
      <c r="R52" s="822"/>
      <c r="S52" s="822"/>
      <c r="T52" s="822"/>
      <c r="U52" s="822"/>
      <c r="V52" s="822"/>
      <c r="W52" s="822"/>
      <c r="X52" s="822"/>
      <c r="Y52" s="822"/>
      <c r="Z52" s="822"/>
      <c r="AA52" s="822"/>
      <c r="AB52" s="822"/>
      <c r="AC52" s="822"/>
      <c r="AD52" s="822"/>
      <c r="AE52" s="822"/>
      <c r="AF52" s="822"/>
      <c r="AG52" s="822"/>
      <c r="AH52" s="822"/>
      <c r="AI52" s="822"/>
      <c r="AJ52" s="822"/>
      <c r="AK52" s="822"/>
      <c r="AL52" s="822"/>
      <c r="AM52" s="822"/>
      <c r="AN52" s="822"/>
      <c r="AO52" s="822"/>
      <c r="AP52" s="822"/>
      <c r="AQ52" s="822"/>
      <c r="AR52" s="822"/>
      <c r="AS52" s="1160"/>
      <c r="AT52" s="823"/>
      <c r="AU52" s="822" t="str">
        <f t="shared" si="14"/>
        <v/>
      </c>
      <c r="AV52" s="2276" t="str">
        <f t="shared" si="1"/>
        <v/>
      </c>
      <c r="AW52" s="803"/>
      <c r="AX52" s="2016" t="str">
        <f t="shared" si="2"/>
        <v/>
      </c>
      <c r="AY52" s="2016"/>
      <c r="AZ52" s="2016"/>
      <c r="BA52" s="2016"/>
      <c r="BB52" s="2016"/>
    </row>
    <row r="53" spans="1:55" ht="14" hidden="1" customHeight="1" outlineLevel="1" x14ac:dyDescent="0.25">
      <c r="A53" s="779" t="s">
        <v>690</v>
      </c>
      <c r="B53" s="772"/>
      <c r="C53" s="773"/>
      <c r="D53" s="773"/>
      <c r="E53" s="804"/>
      <c r="F53" s="773"/>
      <c r="G53" s="774"/>
      <c r="H53" s="774"/>
      <c r="J53" s="847"/>
      <c r="K53" s="825"/>
      <c r="L53" s="831"/>
      <c r="M53" s="831"/>
      <c r="N53" s="805"/>
      <c r="O53" s="825"/>
      <c r="P53" s="825"/>
      <c r="Q53" s="825"/>
      <c r="R53" s="825"/>
      <c r="S53" s="825"/>
      <c r="T53" s="825"/>
      <c r="U53" s="825"/>
      <c r="V53" s="825"/>
      <c r="W53" s="825"/>
      <c r="X53" s="825"/>
      <c r="Y53" s="825"/>
      <c r="Z53" s="825"/>
      <c r="AA53" s="825"/>
      <c r="AB53" s="825"/>
      <c r="AC53" s="825"/>
      <c r="AD53" s="825"/>
      <c r="AE53" s="825"/>
      <c r="AF53" s="825"/>
      <c r="AG53" s="825"/>
      <c r="AH53" s="825"/>
      <c r="AI53" s="825"/>
      <c r="AJ53" s="825"/>
      <c r="AK53" s="825"/>
      <c r="AL53" s="825"/>
      <c r="AM53" s="825"/>
      <c r="AN53" s="825"/>
      <c r="AO53" s="825"/>
      <c r="AP53" s="825"/>
      <c r="AQ53" s="825"/>
      <c r="AR53" s="825"/>
      <c r="AS53" s="1110"/>
      <c r="AT53" s="1040"/>
      <c r="AU53" s="825" t="str">
        <f t="shared" si="14"/>
        <v/>
      </c>
      <c r="AV53" s="2274" t="str">
        <f t="shared" si="1"/>
        <v/>
      </c>
      <c r="AW53" s="778"/>
      <c r="AX53" s="2016" t="str">
        <f t="shared" si="2"/>
        <v/>
      </c>
      <c r="AY53" s="2016"/>
      <c r="AZ53" s="2016"/>
      <c r="BA53" s="2016"/>
      <c r="BB53" s="2016"/>
      <c r="BC53" s="2011" t="s">
        <v>1220</v>
      </c>
    </row>
    <row r="54" spans="1:55" ht="14" hidden="1" customHeight="1" outlineLevel="1" x14ac:dyDescent="0.25">
      <c r="A54" s="779" t="s">
        <v>717</v>
      </c>
      <c r="B54" s="775">
        <v>59054</v>
      </c>
      <c r="C54" s="775">
        <v>59054</v>
      </c>
      <c r="D54" s="850">
        <v>60690</v>
      </c>
      <c r="E54" s="773">
        <v>60690</v>
      </c>
      <c r="F54" s="850">
        <v>60690</v>
      </c>
      <c r="G54" s="851">
        <v>60690</v>
      </c>
      <c r="H54" s="851">
        <v>62965</v>
      </c>
      <c r="I54" s="851">
        <f>4500+57465+1000</f>
        <v>62965</v>
      </c>
      <c r="J54" s="806">
        <v>64836</v>
      </c>
      <c r="K54" s="788"/>
      <c r="L54" s="840">
        <v>66437</v>
      </c>
      <c r="M54" s="807">
        <v>68083</v>
      </c>
      <c r="N54" s="808">
        <v>67372</v>
      </c>
      <c r="O54" s="788">
        <v>69772</v>
      </c>
      <c r="P54" s="852">
        <v>69772</v>
      </c>
      <c r="Q54" s="852">
        <v>69772</v>
      </c>
      <c r="R54" s="852">
        <v>69772</v>
      </c>
      <c r="S54" s="788"/>
      <c r="T54" s="788">
        <v>71807</v>
      </c>
      <c r="U54" s="788">
        <v>71807</v>
      </c>
      <c r="V54" s="810">
        <v>73118</v>
      </c>
      <c r="W54" s="788">
        <f>V54</f>
        <v>73118</v>
      </c>
      <c r="X54" s="810">
        <v>74455</v>
      </c>
      <c r="Y54" s="810">
        <v>74455</v>
      </c>
      <c r="Z54" s="810">
        <v>83865</v>
      </c>
      <c r="AA54" s="810">
        <f>Z54</f>
        <v>83865</v>
      </c>
      <c r="AB54" s="810">
        <v>77226</v>
      </c>
      <c r="AC54" s="810">
        <f>AB54</f>
        <v>77226</v>
      </c>
      <c r="AD54" s="810"/>
      <c r="AE54" s="810">
        <v>82500</v>
      </c>
      <c r="AF54" s="810"/>
      <c r="AG54" s="810">
        <v>84975</v>
      </c>
      <c r="AH54" s="810">
        <v>86244</v>
      </c>
      <c r="AI54" s="810">
        <v>88831.32</v>
      </c>
      <c r="AJ54" s="810">
        <v>90835</v>
      </c>
      <c r="AK54" s="810">
        <v>93560.05</v>
      </c>
      <c r="AL54" s="810">
        <v>92865</v>
      </c>
      <c r="AM54" s="810">
        <f>AL54*$AH$3</f>
        <v>94722.3</v>
      </c>
      <c r="AN54" s="810">
        <v>94639</v>
      </c>
      <c r="AO54" s="810">
        <v>97004.974999999991</v>
      </c>
      <c r="AP54" s="810">
        <v>96435</v>
      </c>
      <c r="AQ54" s="810">
        <f>AP54*$AH$3</f>
        <v>98363.7</v>
      </c>
      <c r="AR54" s="810">
        <v>100872</v>
      </c>
      <c r="AS54" s="1410">
        <f>AR54*$AH$3</f>
        <v>102889.44</v>
      </c>
      <c r="AT54" s="809">
        <f>'[1]BUDGET DETAIL'!$CX$96</f>
        <v>105220</v>
      </c>
      <c r="AU54" s="810">
        <f t="shared" si="14"/>
        <v>4348</v>
      </c>
      <c r="AV54" s="2274">
        <f t="shared" si="1"/>
        <v>4.3104131969228326E-2</v>
      </c>
      <c r="AW54" s="853"/>
      <c r="AX54" s="2016"/>
      <c r="AY54" s="2016"/>
      <c r="AZ54" s="2016"/>
      <c r="BA54" s="2016"/>
      <c r="BB54" s="2016"/>
      <c r="BC54" s="2025"/>
    </row>
    <row r="55" spans="1:55" ht="14" hidden="1" customHeight="1" outlineLevel="1" x14ac:dyDescent="0.25">
      <c r="A55" s="779" t="s">
        <v>718</v>
      </c>
      <c r="B55" s="775">
        <v>31119</v>
      </c>
      <c r="C55" s="775">
        <v>30643.98</v>
      </c>
      <c r="D55" s="850">
        <v>31677</v>
      </c>
      <c r="E55" s="773">
        <v>31677</v>
      </c>
      <c r="F55" s="850">
        <v>31677</v>
      </c>
      <c r="G55" s="851">
        <v>31568.39</v>
      </c>
      <c r="H55" s="851">
        <v>33227</v>
      </c>
      <c r="I55" s="851">
        <f>32226.39+850</f>
        <v>33076.39</v>
      </c>
      <c r="J55" s="806">
        <v>34054</v>
      </c>
      <c r="K55" s="788"/>
      <c r="L55" s="840">
        <v>35099.4</v>
      </c>
      <c r="M55" s="807">
        <v>36023</v>
      </c>
      <c r="N55" s="808">
        <v>36964</v>
      </c>
      <c r="O55" s="788">
        <v>36964</v>
      </c>
      <c r="P55" s="854">
        <v>33855</v>
      </c>
      <c r="Q55" s="854">
        <v>33855</v>
      </c>
      <c r="R55" s="855">
        <v>33331</v>
      </c>
      <c r="S55" s="788"/>
      <c r="T55" s="788">
        <v>35028</v>
      </c>
      <c r="U55" s="788">
        <v>35028</v>
      </c>
      <c r="V55" s="810">
        <v>35897</v>
      </c>
      <c r="W55" s="788">
        <f>V55</f>
        <v>35897</v>
      </c>
      <c r="X55" s="810">
        <v>36596</v>
      </c>
      <c r="Y55" s="810">
        <v>36596</v>
      </c>
      <c r="Z55" s="810">
        <v>42704</v>
      </c>
      <c r="AA55" s="810">
        <f>Z55</f>
        <v>42704</v>
      </c>
      <c r="AB55" s="810">
        <v>44551</v>
      </c>
      <c r="AC55" s="810">
        <f>AB55</f>
        <v>44551</v>
      </c>
      <c r="AD55" s="810"/>
      <c r="AE55" s="810">
        <v>45266</v>
      </c>
      <c r="AF55" s="810"/>
      <c r="AG55" s="810">
        <v>46623.98</v>
      </c>
      <c r="AH55" s="810">
        <v>47406</v>
      </c>
      <c r="AI55" s="810">
        <v>48828.18</v>
      </c>
      <c r="AJ55" s="810">
        <v>50068</v>
      </c>
      <c r="AK55" s="810">
        <v>51570.04</v>
      </c>
      <c r="AL55" s="810">
        <v>50691</v>
      </c>
      <c r="AM55" s="810">
        <f>AL55*$AH$3</f>
        <v>51704.82</v>
      </c>
      <c r="AN55" s="810">
        <v>51718</v>
      </c>
      <c r="AO55" s="810">
        <v>53010.95</v>
      </c>
      <c r="AP55" s="810">
        <v>51131</v>
      </c>
      <c r="AQ55" s="810">
        <f>AP55*$AH$3</f>
        <v>52153.62</v>
      </c>
      <c r="AR55" s="810">
        <v>52156</v>
      </c>
      <c r="AS55" s="1410">
        <f>AR55*$AH$3</f>
        <v>53199.12</v>
      </c>
      <c r="AT55" s="809">
        <f>'[1]BUDGET DETAIL'!$CX$100</f>
        <v>53425</v>
      </c>
      <c r="AU55" s="810">
        <f t="shared" si="14"/>
        <v>1269</v>
      </c>
      <c r="AV55" s="2274">
        <f t="shared" si="1"/>
        <v>2.4330853593066953E-2</v>
      </c>
      <c r="AW55" s="778"/>
      <c r="AX55" s="2016"/>
      <c r="AY55" s="2016"/>
      <c r="AZ55" s="2016"/>
      <c r="BA55" s="2016"/>
      <c r="BB55" s="2016"/>
    </row>
    <row r="56" spans="1:55" ht="14" hidden="1" customHeight="1" outlineLevel="1" x14ac:dyDescent="0.25">
      <c r="A56" s="779" t="s">
        <v>812</v>
      </c>
      <c r="B56" s="775">
        <v>17095</v>
      </c>
      <c r="C56" s="775">
        <v>11272.16</v>
      </c>
      <c r="D56" s="850">
        <v>14900</v>
      </c>
      <c r="E56" s="773">
        <v>12783.1</v>
      </c>
      <c r="F56" s="850">
        <v>14900</v>
      </c>
      <c r="G56" s="851">
        <v>14345.97</v>
      </c>
      <c r="H56" s="851">
        <v>16300</v>
      </c>
      <c r="I56" s="851">
        <f>15617.13</f>
        <v>15617.13</v>
      </c>
      <c r="J56" s="806">
        <v>16300</v>
      </c>
      <c r="K56" s="788"/>
      <c r="L56" s="812">
        <v>16131.66</v>
      </c>
      <c r="M56" s="812">
        <v>16830</v>
      </c>
      <c r="N56" s="813">
        <v>14200</v>
      </c>
      <c r="O56" s="788">
        <v>14200</v>
      </c>
      <c r="P56" s="854">
        <v>17309</v>
      </c>
      <c r="Q56" s="854">
        <v>17309</v>
      </c>
      <c r="R56" s="855">
        <v>17833</v>
      </c>
      <c r="S56" s="788"/>
      <c r="T56" s="788">
        <v>18190</v>
      </c>
      <c r="U56" s="788">
        <v>18190</v>
      </c>
      <c r="V56" s="810">
        <v>18550</v>
      </c>
      <c r="W56" s="788">
        <f>V56+2500</f>
        <v>21050</v>
      </c>
      <c r="X56" s="810">
        <v>30875</v>
      </c>
      <c r="Y56" s="810">
        <v>30875</v>
      </c>
      <c r="Z56" s="810">
        <v>31725</v>
      </c>
      <c r="AA56" s="810">
        <f>Z56</f>
        <v>31725</v>
      </c>
      <c r="AB56" s="810">
        <v>32650</v>
      </c>
      <c r="AC56" s="810">
        <f>AB56</f>
        <v>32650</v>
      </c>
      <c r="AD56" s="810"/>
      <c r="AE56" s="810">
        <v>33303</v>
      </c>
      <c r="AF56" s="810"/>
      <c r="AG56" s="810">
        <v>33303</v>
      </c>
      <c r="AH56" s="810">
        <v>33303</v>
      </c>
      <c r="AI56" s="810">
        <v>33303</v>
      </c>
      <c r="AJ56" s="810">
        <v>43303</v>
      </c>
      <c r="AK56" s="810">
        <v>43303</v>
      </c>
      <c r="AL56" s="810">
        <v>43695</v>
      </c>
      <c r="AM56" s="810">
        <f>AL56*$AH$4</f>
        <v>43695</v>
      </c>
      <c r="AN56" s="810">
        <v>55295</v>
      </c>
      <c r="AO56" s="810">
        <v>55295</v>
      </c>
      <c r="AP56" s="810">
        <v>55295</v>
      </c>
      <c r="AQ56" s="810">
        <f>AP56*$AH$4</f>
        <v>55295</v>
      </c>
      <c r="AR56" s="810">
        <v>56945</v>
      </c>
      <c r="AS56" s="1410">
        <f>AR56*$AH$4</f>
        <v>56945</v>
      </c>
      <c r="AT56" s="809">
        <f>'[1]BUDGET DETAIL'!$CX$117+AX56*AY56</f>
        <v>62745</v>
      </c>
      <c r="AU56" s="810">
        <f t="shared" si="14"/>
        <v>5800</v>
      </c>
      <c r="AV56" s="2274">
        <f t="shared" si="1"/>
        <v>0.10185266485205022</v>
      </c>
      <c r="AW56" s="1423"/>
      <c r="AX56" s="2016">
        <f>'Vote track budget'!F56</f>
        <v>5100</v>
      </c>
      <c r="AY56" s="2016">
        <v>1</v>
      </c>
      <c r="AZ56" s="2016">
        <f>AX56*AY56</f>
        <v>5100</v>
      </c>
      <c r="BA56" s="2016"/>
      <c r="BB56" s="2016"/>
      <c r="BC56" s="2011" t="s">
        <v>1220</v>
      </c>
    </row>
    <row r="57" spans="1:55" ht="14" hidden="1" customHeight="1" outlineLevel="1" x14ac:dyDescent="0.25">
      <c r="A57" s="856" t="s">
        <v>813</v>
      </c>
      <c r="B57" s="781">
        <f>SUM(B54:B56)</f>
        <v>107268</v>
      </c>
      <c r="C57" s="781">
        <f>SUM(C54:C56)</f>
        <v>100970.14</v>
      </c>
      <c r="D57" s="781">
        <f t="shared" ref="D57:L57" si="18">SUM(D54:D56)</f>
        <v>107267</v>
      </c>
      <c r="E57" s="781">
        <f t="shared" si="18"/>
        <v>105150.1</v>
      </c>
      <c r="F57" s="781">
        <f t="shared" si="18"/>
        <v>107267</v>
      </c>
      <c r="G57" s="781">
        <f t="shared" si="18"/>
        <v>106604.36</v>
      </c>
      <c r="H57" s="781">
        <f t="shared" si="18"/>
        <v>112492</v>
      </c>
      <c r="I57" s="781">
        <f t="shared" si="18"/>
        <v>111658.52</v>
      </c>
      <c r="J57" s="784">
        <f t="shared" si="18"/>
        <v>115190</v>
      </c>
      <c r="K57" s="785" t="s">
        <v>455</v>
      </c>
      <c r="L57" s="843">
        <f t="shared" si="18"/>
        <v>117668.06</v>
      </c>
      <c r="M57" s="843">
        <f>SUM(M54:M56)</f>
        <v>120936</v>
      </c>
      <c r="N57" s="844">
        <f>SUM(N54:N56)</f>
        <v>118536</v>
      </c>
      <c r="O57" s="785">
        <f>SUM(O54:O56)</f>
        <v>120936</v>
      </c>
      <c r="P57" s="785">
        <f>SUM(P54:P56)</f>
        <v>120936</v>
      </c>
      <c r="Q57" s="819">
        <f>IF(SUM(Q54:Q56)=0,P57,SUM(Q54:Q56))</f>
        <v>120936</v>
      </c>
      <c r="R57" s="785">
        <f>SUM(R54:R56)</f>
        <v>120936</v>
      </c>
      <c r="S57" s="820">
        <f>IF(SUM(S54:S56)=0,R57,SUM(S54:S56))</f>
        <v>120936</v>
      </c>
      <c r="T57" s="785">
        <v>125025</v>
      </c>
      <c r="U57" s="819">
        <v>125025</v>
      </c>
      <c r="V57" s="819">
        <f>SUM(V54:V56)</f>
        <v>127565</v>
      </c>
      <c r="W57" s="819">
        <f>IF(SUM(W54:W56)=0,V57,SUM(W54:W56))</f>
        <v>130065</v>
      </c>
      <c r="X57" s="819">
        <f>SUM(X54:X56)</f>
        <v>141926</v>
      </c>
      <c r="Y57" s="819">
        <f>IF(SUM(Y54:Y56)=0,X57,SUM(Y54:Y56))</f>
        <v>141926</v>
      </c>
      <c r="Z57" s="819">
        <f>SUM(Z54:Z56)</f>
        <v>158294</v>
      </c>
      <c r="AA57" s="819">
        <f>IF(SUM(AA54:AA56)=0,Z57,SUM(AA54:AA56))</f>
        <v>158294</v>
      </c>
      <c r="AB57" s="819">
        <f>SUM(AB54:AB56)</f>
        <v>154427</v>
      </c>
      <c r="AC57" s="819">
        <f>IF(SUM(AC54:AC56)=0,AB57,SUM(AC54:AC56))</f>
        <v>154427</v>
      </c>
      <c r="AD57" s="819"/>
      <c r="AE57" s="819">
        <v>161069</v>
      </c>
      <c r="AF57" s="819">
        <v>161069</v>
      </c>
      <c r="AG57" s="819">
        <v>164901.98000000001</v>
      </c>
      <c r="AH57" s="819">
        <v>166953</v>
      </c>
      <c r="AI57" s="785">
        <v>170962.5</v>
      </c>
      <c r="AJ57" s="785">
        <v>184206</v>
      </c>
      <c r="AK57" s="785">
        <v>188433.09</v>
      </c>
      <c r="AL57" s="785">
        <v>187251</v>
      </c>
      <c r="AM57" s="785">
        <f t="shared" ref="AM57:AT57" si="19">SUM(AM54:AM56)</f>
        <v>190122.12</v>
      </c>
      <c r="AN57" s="785">
        <f t="shared" si="19"/>
        <v>201652</v>
      </c>
      <c r="AO57" s="785">
        <f t="shared" si="19"/>
        <v>205310.92499999999</v>
      </c>
      <c r="AP57" s="785">
        <f t="shared" si="19"/>
        <v>202861</v>
      </c>
      <c r="AQ57" s="785">
        <f t="shared" si="19"/>
        <v>205812.32</v>
      </c>
      <c r="AR57" s="785">
        <f t="shared" si="19"/>
        <v>209973</v>
      </c>
      <c r="AS57" s="820">
        <f t="shared" ref="AS57" si="20">SUM(AS54:AS56)</f>
        <v>213033.56</v>
      </c>
      <c r="AT57" s="819">
        <f t="shared" si="19"/>
        <v>221390</v>
      </c>
      <c r="AU57" s="785">
        <f t="shared" si="14"/>
        <v>11417</v>
      </c>
      <c r="AV57" s="2275">
        <f t="shared" si="1"/>
        <v>5.4373657565496517E-2</v>
      </c>
      <c r="AW57" s="778"/>
      <c r="AX57" s="2016"/>
      <c r="AY57" s="2016"/>
      <c r="AZ57" s="2016"/>
      <c r="BA57" s="2518">
        <f>POWER(AT57/AJ57,1/5)-1</f>
        <v>3.7458768482270033E-2</v>
      </c>
      <c r="BB57" s="2518">
        <f>POWER(AT57/AA57,1/9)-1</f>
        <v>3.7978055296220559E-2</v>
      </c>
      <c r="BC57" s="2332"/>
    </row>
    <row r="58" spans="1:55" ht="14" hidden="1" customHeight="1" outlineLevel="1" x14ac:dyDescent="0.25">
      <c r="A58" s="790"/>
      <c r="B58" s="791"/>
      <c r="C58" s="792"/>
      <c r="D58" s="792"/>
      <c r="E58" s="857"/>
      <c r="F58" s="792"/>
      <c r="G58" s="794"/>
      <c r="H58" s="794"/>
      <c r="I58" s="795"/>
      <c r="J58" s="858"/>
      <c r="K58" s="800"/>
      <c r="L58" s="859"/>
      <c r="M58" s="860"/>
      <c r="N58" s="861"/>
      <c r="O58" s="800"/>
      <c r="P58" s="800"/>
      <c r="Q58" s="800"/>
      <c r="R58" s="800"/>
      <c r="S58" s="800"/>
      <c r="T58" s="800"/>
      <c r="U58" s="800"/>
      <c r="V58" s="800"/>
      <c r="W58" s="800"/>
      <c r="X58" s="800"/>
      <c r="Y58" s="800"/>
      <c r="Z58" s="800"/>
      <c r="AA58" s="800"/>
      <c r="AB58" s="800"/>
      <c r="AC58" s="800"/>
      <c r="AD58" s="800"/>
      <c r="AE58" s="800"/>
      <c r="AF58" s="800"/>
      <c r="AG58" s="800"/>
      <c r="AH58" s="800"/>
      <c r="AI58" s="800"/>
      <c r="AJ58" s="800"/>
      <c r="AK58" s="800"/>
      <c r="AL58" s="800"/>
      <c r="AM58" s="800"/>
      <c r="AN58" s="800"/>
      <c r="AO58" s="800"/>
      <c r="AP58" s="800"/>
      <c r="AQ58" s="800"/>
      <c r="AR58" s="800"/>
      <c r="AS58" s="1621"/>
      <c r="AT58" s="921"/>
      <c r="AU58" s="800" t="str">
        <f t="shared" si="14"/>
        <v/>
      </c>
      <c r="AV58" s="2273" t="str">
        <f t="shared" si="1"/>
        <v/>
      </c>
      <c r="AW58" s="862"/>
      <c r="AX58" s="2016" t="str">
        <f t="shared" si="2"/>
        <v/>
      </c>
      <c r="AY58" s="2016"/>
      <c r="AZ58" s="2016"/>
      <c r="BA58" s="2016"/>
      <c r="BB58" s="2016"/>
      <c r="BC58" s="2026"/>
    </row>
    <row r="59" spans="1:55" ht="14" hidden="1" customHeight="1" outlineLevel="1" x14ac:dyDescent="0.25">
      <c r="A59" s="779" t="s">
        <v>719</v>
      </c>
      <c r="B59" s="772"/>
      <c r="C59" s="773"/>
      <c r="D59" s="773"/>
      <c r="E59" s="833"/>
      <c r="F59" s="773"/>
      <c r="G59" s="774"/>
      <c r="H59" s="774"/>
      <c r="J59" s="815"/>
      <c r="K59" s="827"/>
      <c r="L59" s="863"/>
      <c r="M59" s="863"/>
      <c r="N59" s="864"/>
      <c r="O59" s="827"/>
      <c r="P59" s="827"/>
      <c r="Q59" s="827"/>
      <c r="R59" s="827"/>
      <c r="S59" s="827"/>
      <c r="T59" s="827"/>
      <c r="U59" s="827"/>
      <c r="V59" s="827"/>
      <c r="W59" s="827"/>
      <c r="X59" s="827"/>
      <c r="Y59" s="827"/>
      <c r="Z59" s="827"/>
      <c r="AA59" s="827"/>
      <c r="AB59" s="827"/>
      <c r="AC59" s="827"/>
      <c r="AD59" s="827"/>
      <c r="AE59" s="827"/>
      <c r="AF59" s="827"/>
      <c r="AG59" s="827"/>
      <c r="AH59" s="827"/>
      <c r="AI59" s="827"/>
      <c r="AJ59" s="827"/>
      <c r="AK59" s="827"/>
      <c r="AL59" s="827"/>
      <c r="AM59" s="827"/>
      <c r="AN59" s="827"/>
      <c r="AO59" s="827"/>
      <c r="AP59" s="827"/>
      <c r="AQ59" s="827"/>
      <c r="AR59" s="827"/>
      <c r="AS59" s="1127"/>
      <c r="AT59" s="828"/>
      <c r="AU59" s="827" t="str">
        <f t="shared" si="14"/>
        <v/>
      </c>
      <c r="AV59" s="2277" t="str">
        <f t="shared" si="1"/>
        <v/>
      </c>
      <c r="AW59" s="865"/>
      <c r="AX59" s="2016" t="str">
        <f t="shared" si="2"/>
        <v/>
      </c>
      <c r="AY59" s="2016"/>
      <c r="AZ59" s="2016"/>
      <c r="BA59" s="2016"/>
      <c r="BB59" s="2016"/>
      <c r="BC59" s="2031" t="s">
        <v>1220</v>
      </c>
    </row>
    <row r="60" spans="1:55" ht="14" hidden="1" customHeight="1" outlineLevel="1" x14ac:dyDescent="0.25">
      <c r="A60" s="779" t="s">
        <v>560</v>
      </c>
      <c r="B60" s="775">
        <v>49924</v>
      </c>
      <c r="C60" s="775">
        <v>49924</v>
      </c>
      <c r="D60" s="850">
        <v>52964</v>
      </c>
      <c r="E60" s="773">
        <v>52964</v>
      </c>
      <c r="F60" s="773">
        <v>52964</v>
      </c>
      <c r="G60" s="774">
        <v>52964</v>
      </c>
      <c r="H60" s="774">
        <v>55791</v>
      </c>
      <c r="I60" s="774">
        <v>55791</v>
      </c>
      <c r="J60" s="806">
        <v>59336</v>
      </c>
      <c r="K60" s="788"/>
      <c r="L60" s="840">
        <v>60937</v>
      </c>
      <c r="M60" s="807">
        <v>62583</v>
      </c>
      <c r="N60" s="808">
        <v>64272</v>
      </c>
      <c r="O60" s="788">
        <v>64272</v>
      </c>
      <c r="P60" s="810">
        <v>64272</v>
      </c>
      <c r="Q60" s="810">
        <v>64272</v>
      </c>
      <c r="R60" s="810">
        <v>64922</v>
      </c>
      <c r="S60" s="788"/>
      <c r="T60" s="788">
        <v>66307</v>
      </c>
      <c r="U60" s="788">
        <v>66307</v>
      </c>
      <c r="V60" s="810">
        <v>67618</v>
      </c>
      <c r="W60" s="788">
        <f>V60</f>
        <v>67618</v>
      </c>
      <c r="X60" s="810">
        <v>68955</v>
      </c>
      <c r="Y60" s="810">
        <v>68955</v>
      </c>
      <c r="Z60" s="810">
        <v>78365</v>
      </c>
      <c r="AA60" s="810">
        <f>Z60</f>
        <v>78365</v>
      </c>
      <c r="AB60" s="810">
        <v>93394</v>
      </c>
      <c r="AC60" s="810">
        <f>AB60</f>
        <v>93394</v>
      </c>
      <c r="AD60" s="810"/>
      <c r="AE60" s="810">
        <v>97471</v>
      </c>
      <c r="AF60" s="810"/>
      <c r="AG60" s="810">
        <v>100395.13</v>
      </c>
      <c r="AH60" s="810">
        <v>102109</v>
      </c>
      <c r="AI60" s="810">
        <v>105172.27</v>
      </c>
      <c r="AJ60" s="810">
        <v>107792</v>
      </c>
      <c r="AK60" s="810">
        <v>111025.76000000001</v>
      </c>
      <c r="AL60" s="810">
        <v>106363</v>
      </c>
      <c r="AM60" s="810">
        <f>AL60*$AH$3</f>
        <v>108490.26</v>
      </c>
      <c r="AN60" s="810">
        <v>108493</v>
      </c>
      <c r="AO60" s="810">
        <v>111205.325</v>
      </c>
      <c r="AP60" s="810">
        <v>110664</v>
      </c>
      <c r="AQ60" s="810">
        <f>AP60*$AH$3</f>
        <v>112877.28</v>
      </c>
      <c r="AR60" s="810">
        <v>112445</v>
      </c>
      <c r="AS60" s="1410">
        <f>AR60*$AH$3</f>
        <v>114693.90000000001</v>
      </c>
      <c r="AT60" s="809">
        <f>'[1]BUDGET DETAIL'!$CX$124</f>
        <v>105566</v>
      </c>
      <c r="AU60" s="810">
        <f t="shared" si="14"/>
        <v>-6879</v>
      </c>
      <c r="AV60" s="2274">
        <f t="shared" si="1"/>
        <v>-6.1176575214549334E-2</v>
      </c>
      <c r="AW60" s="778"/>
      <c r="AX60" s="2016"/>
      <c r="AY60" s="2016"/>
      <c r="AZ60" s="2016"/>
      <c r="BA60" s="2016"/>
      <c r="BB60" s="2016"/>
    </row>
    <row r="61" spans="1:55" ht="14" hidden="1" customHeight="1" outlineLevel="1" x14ac:dyDescent="0.25">
      <c r="A61" s="779" t="s">
        <v>551</v>
      </c>
      <c r="B61" s="775">
        <v>61267</v>
      </c>
      <c r="C61" s="775">
        <v>59648.42</v>
      </c>
      <c r="D61" s="850">
        <v>63354</v>
      </c>
      <c r="E61" s="773">
        <v>59763.3</v>
      </c>
      <c r="F61" s="773">
        <v>63354</v>
      </c>
      <c r="G61" s="774">
        <v>63136.78</v>
      </c>
      <c r="H61" s="774">
        <v>65005</v>
      </c>
      <c r="I61" s="774">
        <f>2*32226.25+552.5</f>
        <v>65005</v>
      </c>
      <c r="J61" s="806">
        <v>66961</v>
      </c>
      <c r="K61" s="788"/>
      <c r="L61" s="840">
        <v>54318.32</v>
      </c>
      <c r="M61" s="807">
        <v>62745</v>
      </c>
      <c r="N61" s="808">
        <v>64132</v>
      </c>
      <c r="O61" s="788">
        <v>64132</v>
      </c>
      <c r="P61" s="788">
        <v>64132</v>
      </c>
      <c r="Q61" s="788">
        <v>64132</v>
      </c>
      <c r="R61" s="788">
        <v>64132</v>
      </c>
      <c r="S61" s="788"/>
      <c r="T61" s="788">
        <v>69094</v>
      </c>
      <c r="U61" s="788">
        <v>69094</v>
      </c>
      <c r="V61" s="810">
        <v>72868</v>
      </c>
      <c r="W61" s="788">
        <f>V61</f>
        <v>72868</v>
      </c>
      <c r="X61" s="810">
        <v>76668</v>
      </c>
      <c r="Y61" s="810">
        <v>76668</v>
      </c>
      <c r="Z61" s="810">
        <v>86779</v>
      </c>
      <c r="AA61" s="810">
        <f>Z61</f>
        <v>86779</v>
      </c>
      <c r="AB61" s="810">
        <v>86759</v>
      </c>
      <c r="AC61" s="810">
        <f>AB61</f>
        <v>86759</v>
      </c>
      <c r="AD61" s="810"/>
      <c r="AE61" s="810">
        <v>96162</v>
      </c>
      <c r="AF61" s="810"/>
      <c r="AG61" s="810">
        <v>99046.86</v>
      </c>
      <c r="AH61" s="810">
        <v>101502</v>
      </c>
      <c r="AI61" s="810">
        <v>104547.06</v>
      </c>
      <c r="AJ61" s="810">
        <v>107259</v>
      </c>
      <c r="AK61" s="810">
        <v>110476.77</v>
      </c>
      <c r="AL61" s="810">
        <v>109667</v>
      </c>
      <c r="AM61" s="810">
        <f>AL61*$AH$3</f>
        <v>111860.34</v>
      </c>
      <c r="AN61" s="810">
        <v>111131</v>
      </c>
      <c r="AO61" s="810">
        <v>113909.27499999999</v>
      </c>
      <c r="AP61" s="810">
        <v>112839</v>
      </c>
      <c r="AQ61" s="810">
        <f>AP61*$AH$3</f>
        <v>115095.78</v>
      </c>
      <c r="AR61" s="810">
        <v>115426</v>
      </c>
      <c r="AS61" s="1410">
        <f>AR61*$AH$3</f>
        <v>117734.52</v>
      </c>
      <c r="AT61" s="809">
        <f>'[1]BUDGET DETAIL'!$CX$129</f>
        <v>112933</v>
      </c>
      <c r="AU61" s="810">
        <f t="shared" si="14"/>
        <v>-2493</v>
      </c>
      <c r="AV61" s="2274">
        <f t="shared" si="1"/>
        <v>-2.1598253426437716E-2</v>
      </c>
      <c r="AW61" s="778"/>
      <c r="AX61" s="2016"/>
      <c r="AY61" s="2016"/>
      <c r="AZ61" s="2016"/>
      <c r="BA61" s="2016"/>
      <c r="BB61" s="2016"/>
    </row>
    <row r="62" spans="1:55" ht="14" hidden="1" customHeight="1" outlineLevel="1" x14ac:dyDescent="0.25">
      <c r="A62" s="779" t="s">
        <v>812</v>
      </c>
      <c r="B62" s="775">
        <v>30645</v>
      </c>
      <c r="C62" s="775">
        <v>19053.77</v>
      </c>
      <c r="D62" s="850">
        <v>25465</v>
      </c>
      <c r="E62" s="773">
        <v>23199.79</v>
      </c>
      <c r="F62" s="773">
        <v>27965</v>
      </c>
      <c r="G62" s="774">
        <v>22989.67</v>
      </c>
      <c r="H62" s="774">
        <v>28675</v>
      </c>
      <c r="I62" s="774">
        <v>25249</v>
      </c>
      <c r="J62" s="806">
        <v>36275</v>
      </c>
      <c r="K62" s="785" t="s">
        <v>455</v>
      </c>
      <c r="L62" s="812">
        <v>43640.88</v>
      </c>
      <c r="M62" s="812">
        <v>37125</v>
      </c>
      <c r="N62" s="813">
        <v>17775</v>
      </c>
      <c r="O62" s="788">
        <v>30800</v>
      </c>
      <c r="P62" s="854">
        <v>30800</v>
      </c>
      <c r="Q62" s="854">
        <v>30800</v>
      </c>
      <c r="R62" s="788">
        <f>39500-8500</f>
        <v>31000</v>
      </c>
      <c r="S62" s="788"/>
      <c r="T62" s="788">
        <v>31620</v>
      </c>
      <c r="U62" s="788">
        <v>31620</v>
      </c>
      <c r="V62" s="810">
        <f>45625-8500</f>
        <v>37125</v>
      </c>
      <c r="W62" s="788">
        <f>V62</f>
        <v>37125</v>
      </c>
      <c r="X62" s="810">
        <v>39835</v>
      </c>
      <c r="Y62" s="810">
        <f>49176-1040</f>
        <v>48136</v>
      </c>
      <c r="Z62" s="810">
        <f>56583-7000</f>
        <v>49583</v>
      </c>
      <c r="AA62" s="810">
        <f>Z62</f>
        <v>49583</v>
      </c>
      <c r="AB62" s="810">
        <v>51046</v>
      </c>
      <c r="AC62" s="810">
        <f>AB62</f>
        <v>51046</v>
      </c>
      <c r="AD62" s="810"/>
      <c r="AE62" s="810">
        <v>52068</v>
      </c>
      <c r="AF62" s="810"/>
      <c r="AG62" s="810">
        <v>52068</v>
      </c>
      <c r="AH62" s="810">
        <v>52068</v>
      </c>
      <c r="AI62" s="810">
        <v>52068</v>
      </c>
      <c r="AJ62" s="810">
        <v>52068</v>
      </c>
      <c r="AK62" s="810">
        <v>52068</v>
      </c>
      <c r="AL62" s="810">
        <v>52068</v>
      </c>
      <c r="AM62" s="810">
        <f>AL62*$AH$4</f>
        <v>52068</v>
      </c>
      <c r="AN62" s="810">
        <v>52068</v>
      </c>
      <c r="AO62" s="810">
        <v>52068</v>
      </c>
      <c r="AP62" s="810">
        <v>52068</v>
      </c>
      <c r="AQ62" s="810">
        <f>AP62*$AH$4</f>
        <v>52068</v>
      </c>
      <c r="AR62" s="810">
        <v>45627</v>
      </c>
      <c r="AS62" s="1410">
        <f>AR62*$AH$4</f>
        <v>45627</v>
      </c>
      <c r="AT62" s="809">
        <f>'[1]BUDGET DETAIL'!$CX$146</f>
        <v>45627</v>
      </c>
      <c r="AU62" s="810">
        <f t="shared" si="14"/>
        <v>0</v>
      </c>
      <c r="AV62" s="2274">
        <f t="shared" si="1"/>
        <v>0</v>
      </c>
      <c r="AW62" s="778"/>
      <c r="AX62" s="2016" t="str">
        <f t="shared" si="2"/>
        <v/>
      </c>
      <c r="AY62" s="2016"/>
      <c r="AZ62" s="2016"/>
      <c r="BA62" s="2016"/>
      <c r="BB62" s="2016"/>
      <c r="BC62" s="2332"/>
    </row>
    <row r="63" spans="1:55" ht="14" hidden="1" customHeight="1" outlineLevel="1" x14ac:dyDescent="0.25">
      <c r="A63" s="771" t="s">
        <v>286</v>
      </c>
      <c r="B63" s="775"/>
      <c r="C63" s="775"/>
      <c r="D63" s="850"/>
      <c r="E63" s="773"/>
      <c r="F63" s="773"/>
      <c r="G63" s="774"/>
      <c r="H63" s="774"/>
      <c r="I63" s="774"/>
      <c r="J63" s="806"/>
      <c r="K63" s="785"/>
      <c r="L63" s="812">
        <v>15000</v>
      </c>
      <c r="M63" s="812">
        <v>0</v>
      </c>
      <c r="N63" s="813">
        <v>8500</v>
      </c>
      <c r="O63" s="785">
        <v>0</v>
      </c>
      <c r="P63" s="785">
        <v>0</v>
      </c>
      <c r="Q63" s="785">
        <v>8500</v>
      </c>
      <c r="R63" s="819">
        <v>8500</v>
      </c>
      <c r="S63" s="819"/>
      <c r="T63" s="819"/>
      <c r="U63" s="785">
        <v>0</v>
      </c>
      <c r="V63" s="785"/>
      <c r="W63" s="788">
        <v>8500</v>
      </c>
      <c r="X63" s="785"/>
      <c r="Y63" s="788"/>
      <c r="Z63" s="785">
        <v>7000</v>
      </c>
      <c r="AA63" s="810">
        <f>Z63</f>
        <v>7000</v>
      </c>
      <c r="AB63" s="785"/>
      <c r="AC63" s="810">
        <f>AB63</f>
        <v>0</v>
      </c>
      <c r="AD63" s="810"/>
      <c r="AE63" s="810">
        <v>7000</v>
      </c>
      <c r="AF63" s="810"/>
      <c r="AG63" s="810">
        <v>0</v>
      </c>
      <c r="AH63" s="810"/>
      <c r="AI63" s="810">
        <v>7650</v>
      </c>
      <c r="AJ63" s="810">
        <v>7650</v>
      </c>
      <c r="AK63" s="810"/>
      <c r="AL63" s="810"/>
      <c r="AM63" s="810">
        <v>7650</v>
      </c>
      <c r="AN63" s="810"/>
      <c r="AO63" s="810">
        <v>7650</v>
      </c>
      <c r="AP63" s="810">
        <v>8100</v>
      </c>
      <c r="AQ63" s="810">
        <v>0</v>
      </c>
      <c r="AR63" s="810"/>
      <c r="AS63" s="1410">
        <v>8500</v>
      </c>
      <c r="AT63" s="809">
        <f>AX63*AY63</f>
        <v>0</v>
      </c>
      <c r="AU63" s="810" t="str">
        <f t="shared" si="14"/>
        <v/>
      </c>
      <c r="AV63" s="2274" t="str">
        <f t="shared" si="1"/>
        <v/>
      </c>
      <c r="AW63" s="1423"/>
      <c r="AX63" s="2016">
        <f>'Vote track budget'!F63</f>
        <v>0</v>
      </c>
      <c r="AY63" s="2016">
        <v>0</v>
      </c>
      <c r="AZ63" s="2016">
        <f>AX63*AY63</f>
        <v>0</v>
      </c>
      <c r="BA63" s="2016"/>
      <c r="BB63" s="2016"/>
      <c r="BC63" s="2011" t="s">
        <v>1220</v>
      </c>
    </row>
    <row r="64" spans="1:55" ht="14" hidden="1" customHeight="1" outlineLevel="1" x14ac:dyDescent="0.25">
      <c r="A64" s="842" t="s">
        <v>287</v>
      </c>
      <c r="B64" s="781">
        <f>SUM(B60:B62)</f>
        <v>141836</v>
      </c>
      <c r="C64" s="781">
        <f>SUM(C60:C62)</f>
        <v>128626.19</v>
      </c>
      <c r="D64" s="781">
        <f t="shared" ref="D64:J64" si="21">SUM(D60:D62)</f>
        <v>141783</v>
      </c>
      <c r="E64" s="781">
        <f t="shared" si="21"/>
        <v>135927.09</v>
      </c>
      <c r="F64" s="781">
        <f t="shared" si="21"/>
        <v>144283</v>
      </c>
      <c r="G64" s="781">
        <f t="shared" si="21"/>
        <v>139090.45000000001</v>
      </c>
      <c r="H64" s="781">
        <f t="shared" si="21"/>
        <v>149471</v>
      </c>
      <c r="I64" s="781">
        <f t="shared" si="21"/>
        <v>146045</v>
      </c>
      <c r="J64" s="784">
        <f t="shared" si="21"/>
        <v>162572</v>
      </c>
      <c r="K64" s="816">
        <v>38789</v>
      </c>
      <c r="L64" s="843">
        <f>SUM(L60:L62)</f>
        <v>158896.20000000001</v>
      </c>
      <c r="M64" s="843">
        <f>SUM(M60:M62)</f>
        <v>162453</v>
      </c>
      <c r="N64" s="844">
        <f>SUM(N60:N62)</f>
        <v>146179</v>
      </c>
      <c r="O64" s="785">
        <f>O60+O61+O62</f>
        <v>159204</v>
      </c>
      <c r="P64" s="785">
        <f>P60+P61+P62</f>
        <v>159204</v>
      </c>
      <c r="Q64" s="819">
        <f>IF(SUM(Q60:Q63)=0,P64,SUM(Q60:Q62))</f>
        <v>159204</v>
      </c>
      <c r="R64" s="819">
        <f>R60+R61+R62</f>
        <v>160054</v>
      </c>
      <c r="S64" s="819">
        <f>IF(SUM(S61:S63)=0,R64,SUM(S61:S63))</f>
        <v>160054</v>
      </c>
      <c r="T64" s="819">
        <v>167021</v>
      </c>
      <c r="U64" s="819">
        <v>167021</v>
      </c>
      <c r="V64" s="819">
        <f>V60+V61+V62</f>
        <v>177611</v>
      </c>
      <c r="W64" s="819">
        <f>IF(SUM(W60:W62)=0,V64,SUM(W60:W62))</f>
        <v>177611</v>
      </c>
      <c r="X64" s="819">
        <f>X60+X61+X62</f>
        <v>185458</v>
      </c>
      <c r="Y64" s="819">
        <f>IF(SUM(Y60:Y62)=0,X64,SUM(Y60:Y62))</f>
        <v>193759</v>
      </c>
      <c r="Z64" s="819">
        <f>Z60+Z61+Z62</f>
        <v>214727</v>
      </c>
      <c r="AA64" s="819">
        <f>IF(SUM(AA60:AA62)=0,Z64,SUM(AA60:AA62))</f>
        <v>214727</v>
      </c>
      <c r="AB64" s="819">
        <f>AB60+AB61+AB62</f>
        <v>231199</v>
      </c>
      <c r="AC64" s="819">
        <f>IF(SUM(AC60:AC62)=0,AB64,SUM(AC60:AC62))</f>
        <v>231199</v>
      </c>
      <c r="AD64" s="819"/>
      <c r="AE64" s="819">
        <v>252701</v>
      </c>
      <c r="AF64" s="819">
        <v>252701</v>
      </c>
      <c r="AG64" s="819">
        <v>251509.99</v>
      </c>
      <c r="AH64" s="819">
        <v>255679</v>
      </c>
      <c r="AI64" s="785">
        <v>269437.33</v>
      </c>
      <c r="AJ64" s="785">
        <v>274769</v>
      </c>
      <c r="AK64" s="785">
        <v>273570.53000000003</v>
      </c>
      <c r="AL64" s="785">
        <v>268098</v>
      </c>
      <c r="AM64" s="785">
        <f t="shared" ref="AM64:AR64" si="22">SUM(AM60:AM63)</f>
        <v>280068.59999999998</v>
      </c>
      <c r="AN64" s="785">
        <f t="shared" si="22"/>
        <v>271692</v>
      </c>
      <c r="AO64" s="785">
        <f t="shared" si="22"/>
        <v>284832.59999999998</v>
      </c>
      <c r="AP64" s="785">
        <f t="shared" si="22"/>
        <v>283671</v>
      </c>
      <c r="AQ64" s="785">
        <f t="shared" si="22"/>
        <v>280041.06</v>
      </c>
      <c r="AR64" s="785">
        <f t="shared" si="22"/>
        <v>273498</v>
      </c>
      <c r="AS64" s="820">
        <f t="shared" ref="AS64" si="23">SUM(AS60:AS63)</f>
        <v>286555.42000000004</v>
      </c>
      <c r="AT64" s="819">
        <f>SUM(AT60:AT63)</f>
        <v>264126</v>
      </c>
      <c r="AU64" s="785">
        <f t="shared" si="14"/>
        <v>-9372</v>
      </c>
      <c r="AV64" s="2275">
        <f t="shared" si="1"/>
        <v>-3.426716100300551E-2</v>
      </c>
      <c r="AW64" s="1423"/>
      <c r="AX64" s="2016"/>
      <c r="AY64" s="2016"/>
      <c r="AZ64" s="2016"/>
      <c r="BA64" s="2518">
        <f>POWER(AT64/AJ64,1/5)-1</f>
        <v>-7.869766486780283E-3</v>
      </c>
      <c r="BB64" s="2518">
        <f>POWER(AT64/AA64,1/9)-1</f>
        <v>2.327322583902669E-2</v>
      </c>
      <c r="BC64" s="2332"/>
    </row>
    <row r="65" spans="1:55" ht="14" hidden="1" customHeight="1" outlineLevel="1" thickBot="1" x14ac:dyDescent="0.3">
      <c r="A65" s="866"/>
      <c r="B65" s="791"/>
      <c r="C65" s="792"/>
      <c r="D65" s="792"/>
      <c r="E65" s="793"/>
      <c r="F65" s="792"/>
      <c r="G65" s="794"/>
      <c r="H65" s="794"/>
      <c r="I65" s="795"/>
      <c r="J65" s="846"/>
      <c r="K65" s="822"/>
      <c r="L65" s="829"/>
      <c r="M65" s="830"/>
      <c r="N65" s="824"/>
      <c r="O65" s="822"/>
      <c r="P65" s="822"/>
      <c r="Q65" s="822"/>
      <c r="R65" s="822"/>
      <c r="S65" s="867">
        <f>SUM(V$243:V$246)</f>
        <v>789033</v>
      </c>
      <c r="T65" s="822"/>
      <c r="U65" s="822"/>
      <c r="V65" s="822"/>
      <c r="W65" s="822"/>
      <c r="X65" s="822"/>
      <c r="Y65" s="822"/>
      <c r="Z65" s="822"/>
      <c r="AA65" s="822"/>
      <c r="AB65" s="822"/>
      <c r="AC65" s="822"/>
      <c r="AD65" s="822"/>
      <c r="AE65" s="822"/>
      <c r="AF65" s="822"/>
      <c r="AG65" s="822"/>
      <c r="AH65" s="822"/>
      <c r="AI65" s="822"/>
      <c r="AJ65" s="822"/>
      <c r="AK65" s="822"/>
      <c r="AL65" s="822"/>
      <c r="AM65" s="822"/>
      <c r="AN65" s="822"/>
      <c r="AO65" s="822"/>
      <c r="AP65" s="822"/>
      <c r="AQ65" s="822"/>
      <c r="AR65" s="822"/>
      <c r="AS65" s="1160"/>
      <c r="AT65" s="823"/>
      <c r="AU65" s="822" t="str">
        <f t="shared" si="14"/>
        <v/>
      </c>
      <c r="AV65" s="2276" t="str">
        <f t="shared" si="1"/>
        <v/>
      </c>
      <c r="AW65" s="803"/>
      <c r="AX65" s="2016" t="str">
        <f t="shared" si="2"/>
        <v/>
      </c>
      <c r="AY65" s="2016"/>
      <c r="AZ65" s="2016"/>
      <c r="BA65" s="2016"/>
      <c r="BB65" s="2016"/>
    </row>
    <row r="66" spans="1:55" ht="14" hidden="1" customHeight="1" outlineLevel="1" thickTop="1" x14ac:dyDescent="0.25">
      <c r="A66" s="779" t="s">
        <v>759</v>
      </c>
      <c r="B66" s="772"/>
      <c r="C66" s="773"/>
      <c r="D66" s="773"/>
      <c r="E66" s="804"/>
      <c r="F66" s="773"/>
      <c r="G66" s="774"/>
      <c r="H66" s="774"/>
      <c r="J66" s="847"/>
      <c r="K66" s="825"/>
      <c r="L66" s="831"/>
      <c r="M66" s="831"/>
      <c r="N66" s="805"/>
      <c r="O66" s="825"/>
      <c r="P66" s="825"/>
      <c r="Q66" s="825"/>
      <c r="R66" s="825"/>
      <c r="S66" s="825"/>
      <c r="T66" s="825"/>
      <c r="U66" s="825"/>
      <c r="V66" s="825"/>
      <c r="W66" s="825"/>
      <c r="X66" s="825"/>
      <c r="Y66" s="825"/>
      <c r="Z66" s="825"/>
      <c r="AA66" s="825"/>
      <c r="AB66" s="825"/>
      <c r="AC66" s="825"/>
      <c r="AD66" s="825"/>
      <c r="AE66" s="825"/>
      <c r="AF66" s="825"/>
      <c r="AG66" s="825"/>
      <c r="AH66" s="825"/>
      <c r="AI66" s="825"/>
      <c r="AJ66" s="825"/>
      <c r="AK66" s="825"/>
      <c r="AL66" s="825"/>
      <c r="AM66" s="825"/>
      <c r="AN66" s="825"/>
      <c r="AO66" s="825"/>
      <c r="AP66" s="825"/>
      <c r="AQ66" s="825"/>
      <c r="AR66" s="825"/>
      <c r="AS66" s="1110"/>
      <c r="AT66" s="1040"/>
      <c r="AU66" s="825" t="str">
        <f t="shared" si="14"/>
        <v/>
      </c>
      <c r="AV66" s="2274" t="str">
        <f t="shared" si="1"/>
        <v/>
      </c>
      <c r="AW66" s="778"/>
      <c r="AX66" s="2016" t="str">
        <f t="shared" si="2"/>
        <v/>
      </c>
      <c r="AY66" s="2016"/>
      <c r="AZ66" s="2016"/>
      <c r="BA66" s="2016"/>
      <c r="BB66" s="2016"/>
      <c r="BC66" s="2011" t="s">
        <v>1220</v>
      </c>
    </row>
    <row r="67" spans="1:55" ht="14" hidden="1" customHeight="1" outlineLevel="1" x14ac:dyDescent="0.25">
      <c r="A67" s="779" t="s">
        <v>551</v>
      </c>
      <c r="B67" s="775">
        <v>29631</v>
      </c>
      <c r="C67" s="775">
        <v>29543.83</v>
      </c>
      <c r="D67" s="850">
        <v>30551</v>
      </c>
      <c r="E67" s="773">
        <v>30372.11</v>
      </c>
      <c r="F67" s="850">
        <v>30441</v>
      </c>
      <c r="G67" s="851">
        <v>30226.14</v>
      </c>
      <c r="H67" s="851">
        <v>32221</v>
      </c>
      <c r="I67" s="851">
        <f>29482.68+1441.2+937</f>
        <v>31860.880000000001</v>
      </c>
      <c r="J67" s="806">
        <v>33147</v>
      </c>
      <c r="K67" s="788"/>
      <c r="L67" s="840">
        <v>34102.54</v>
      </c>
      <c r="M67" s="807">
        <v>35126</v>
      </c>
      <c r="N67" s="808">
        <v>1500</v>
      </c>
      <c r="O67" s="788">
        <v>1500</v>
      </c>
      <c r="P67" s="788">
        <v>500</v>
      </c>
      <c r="Q67" s="788">
        <v>500</v>
      </c>
      <c r="R67" s="788">
        <v>300</v>
      </c>
      <c r="S67" s="788"/>
      <c r="T67" s="788"/>
      <c r="U67" s="788">
        <v>0</v>
      </c>
      <c r="V67" s="810"/>
      <c r="W67" s="788">
        <f>V67</f>
        <v>0</v>
      </c>
      <c r="X67" s="810"/>
      <c r="Y67" s="788">
        <f>X67</f>
        <v>0</v>
      </c>
      <c r="Z67" s="810">
        <f>Y67*(1+$A$2/100)</f>
        <v>0</v>
      </c>
      <c r="AA67" s="788">
        <f>Z67</f>
        <v>0</v>
      </c>
      <c r="AB67" s="810">
        <f>AA67*(1+$A$2/100)</f>
        <v>0</v>
      </c>
      <c r="AC67" s="788">
        <f>AB67</f>
        <v>0</v>
      </c>
      <c r="AD67" s="788"/>
      <c r="AE67" s="788"/>
      <c r="AF67" s="810">
        <v>0</v>
      </c>
      <c r="AG67" s="810"/>
      <c r="AH67" s="810"/>
      <c r="AI67" s="788"/>
      <c r="AJ67" s="788"/>
      <c r="AK67" s="788"/>
      <c r="AL67" s="788"/>
      <c r="AM67" s="788"/>
      <c r="AN67" s="788"/>
      <c r="AO67" s="788"/>
      <c r="AP67" s="788"/>
      <c r="AQ67" s="788"/>
      <c r="AR67" s="788"/>
      <c r="AS67" s="841"/>
      <c r="AT67" s="891">
        <f>'[1]BUDGET DETAIL'!$CW$151</f>
        <v>24012</v>
      </c>
      <c r="AU67" s="788" t="str">
        <f t="shared" si="14"/>
        <v/>
      </c>
      <c r="AV67" s="2272" t="str">
        <f t="shared" si="1"/>
        <v/>
      </c>
      <c r="AW67" s="1423"/>
      <c r="AX67" s="2016" t="str">
        <f t="shared" si="2"/>
        <v/>
      </c>
      <c r="AY67" s="2016"/>
      <c r="AZ67" s="2016"/>
      <c r="BA67" s="2016"/>
      <c r="BB67" s="2016"/>
    </row>
    <row r="68" spans="1:55" ht="14" hidden="1" customHeight="1" outlineLevel="1" x14ac:dyDescent="0.25">
      <c r="A68" s="779" t="s">
        <v>812</v>
      </c>
      <c r="B68" s="775">
        <v>59926</v>
      </c>
      <c r="C68" s="775">
        <v>55876.82</v>
      </c>
      <c r="D68" s="850">
        <v>58988</v>
      </c>
      <c r="E68" s="775">
        <v>59928.87</v>
      </c>
      <c r="F68" s="850">
        <v>67518</v>
      </c>
      <c r="G68" s="851">
        <f>68940.24+39</f>
        <v>68979.240000000005</v>
      </c>
      <c r="H68" s="851">
        <v>74590</v>
      </c>
      <c r="I68" s="851">
        <f>78644.02+39</f>
        <v>78683.02</v>
      </c>
      <c r="J68" s="806">
        <v>81192</v>
      </c>
      <c r="K68" s="788"/>
      <c r="L68" s="812">
        <v>100072.68</v>
      </c>
      <c r="M68" s="812">
        <v>87961</v>
      </c>
      <c r="N68" s="813">
        <v>119108</v>
      </c>
      <c r="O68" s="788">
        <v>119108</v>
      </c>
      <c r="P68" s="788">
        <f>127378+16500</f>
        <v>143878</v>
      </c>
      <c r="Q68" s="788">
        <f>127378+16500</f>
        <v>143878</v>
      </c>
      <c r="R68" s="788">
        <v>139969</v>
      </c>
      <c r="S68" s="788"/>
      <c r="T68" s="788">
        <v>141902</v>
      </c>
      <c r="U68" s="788">
        <v>141902</v>
      </c>
      <c r="V68" s="810">
        <v>141296</v>
      </c>
      <c r="W68" s="788">
        <f>V68</f>
        <v>141296</v>
      </c>
      <c r="X68" s="810">
        <v>142431</v>
      </c>
      <c r="Y68" s="810">
        <f>146231-3800</f>
        <v>142431</v>
      </c>
      <c r="Z68" s="810">
        <v>137423</v>
      </c>
      <c r="AA68" s="810">
        <f>Z68</f>
        <v>137423</v>
      </c>
      <c r="AB68" s="810">
        <v>153318</v>
      </c>
      <c r="AC68" s="810">
        <f>AB68</f>
        <v>153318</v>
      </c>
      <c r="AD68" s="810"/>
      <c r="AE68" s="810">
        <v>188331</v>
      </c>
      <c r="AF68" s="810"/>
      <c r="AG68" s="810">
        <v>188331</v>
      </c>
      <c r="AH68" s="810">
        <v>188331</v>
      </c>
      <c r="AI68" s="810">
        <v>188331</v>
      </c>
      <c r="AJ68" s="810">
        <v>271471</v>
      </c>
      <c r="AK68" s="810">
        <v>271471</v>
      </c>
      <c r="AL68" s="810">
        <v>275122</v>
      </c>
      <c r="AM68" s="810">
        <f>AL68*$AH$4</f>
        <v>275122</v>
      </c>
      <c r="AN68" s="810">
        <v>265466</v>
      </c>
      <c r="AO68" s="810">
        <v>265466</v>
      </c>
      <c r="AP68" s="810">
        <v>261841</v>
      </c>
      <c r="AQ68" s="810">
        <f>AP68*$AH$4</f>
        <v>261841</v>
      </c>
      <c r="AR68" s="810">
        <v>268741</v>
      </c>
      <c r="AS68" s="1410">
        <f>AR68*$AH$4</f>
        <v>268741</v>
      </c>
      <c r="AT68" s="809">
        <f>'[1]BUDGET DETAIL'!$CX$184+AX68*AY68</f>
        <v>257563</v>
      </c>
      <c r="AU68" s="810">
        <f t="shared" si="14"/>
        <v>-11178</v>
      </c>
      <c r="AV68" s="2274">
        <f t="shared" si="1"/>
        <v>-4.1593951053244572E-2</v>
      </c>
      <c r="AW68" s="778"/>
      <c r="AX68" s="2016">
        <f>'Vote track budget'!F68</f>
        <v>12289</v>
      </c>
      <c r="AY68" s="2016">
        <v>1</v>
      </c>
      <c r="AZ68" s="2016">
        <f>AX68*AY68</f>
        <v>12289</v>
      </c>
      <c r="BA68" s="2016"/>
      <c r="BB68" s="2016"/>
      <c r="BC68" s="2011" t="s">
        <v>1243</v>
      </c>
    </row>
    <row r="69" spans="1:55" ht="14" hidden="1" customHeight="1" outlineLevel="1" x14ac:dyDescent="0.25">
      <c r="A69" s="842" t="s">
        <v>299</v>
      </c>
      <c r="B69" s="781">
        <f>SUM(B67:B68)</f>
        <v>89557</v>
      </c>
      <c r="C69" s="868">
        <f t="shared" ref="C69:J69" si="24">SUM(C67:C68)</f>
        <v>85420.65</v>
      </c>
      <c r="D69" s="868">
        <f t="shared" si="24"/>
        <v>89539</v>
      </c>
      <c r="E69" s="868">
        <f t="shared" si="24"/>
        <v>90300.98000000001</v>
      </c>
      <c r="F69" s="868">
        <f t="shared" si="24"/>
        <v>97959</v>
      </c>
      <c r="G69" s="868">
        <f t="shared" si="24"/>
        <v>99205.38</v>
      </c>
      <c r="H69" s="868">
        <f t="shared" si="24"/>
        <v>106811</v>
      </c>
      <c r="I69" s="868">
        <f t="shared" si="24"/>
        <v>110543.90000000001</v>
      </c>
      <c r="J69" s="869">
        <f t="shared" si="24"/>
        <v>114339</v>
      </c>
      <c r="K69" s="785" t="s">
        <v>455</v>
      </c>
      <c r="L69" s="843">
        <f>SUM(L66:L68)</f>
        <v>134175.22</v>
      </c>
      <c r="M69" s="843">
        <f>SUM(M66:M68)</f>
        <v>123087</v>
      </c>
      <c r="N69" s="844">
        <f>SUM(N66:N68)</f>
        <v>120608</v>
      </c>
      <c r="O69" s="870">
        <f>SUM(O66:O68)</f>
        <v>120608</v>
      </c>
      <c r="P69" s="870">
        <f>SUM(P67:P68)</f>
        <v>144378</v>
      </c>
      <c r="Q69" s="820">
        <f>IF(SUM(Q67:Q68)=0,P69,SUM(Q67:Q68))</f>
        <v>144378</v>
      </c>
      <c r="R69" s="870">
        <f>SUM(R67:R68)</f>
        <v>140269</v>
      </c>
      <c r="S69" s="819">
        <f>IF(SUM(S67:S68)=0,R69,SUM(S67:S68))</f>
        <v>140269</v>
      </c>
      <c r="T69" s="819">
        <v>141902</v>
      </c>
      <c r="U69" s="819">
        <v>141902</v>
      </c>
      <c r="V69" s="870">
        <f>SUM(V67:V68)</f>
        <v>141296</v>
      </c>
      <c r="W69" s="819">
        <f>IF(SUM(W67:W68)=0,V69,SUM(W67:W68))</f>
        <v>141296</v>
      </c>
      <c r="X69" s="870">
        <f>SUM(X67:X68)</f>
        <v>142431</v>
      </c>
      <c r="Y69" s="819">
        <f>IF(SUM(Y67:Y68)=0,X69,SUM(Y67:Y68))</f>
        <v>142431</v>
      </c>
      <c r="Z69" s="870">
        <f>SUM(Z67:Z68)</f>
        <v>137423</v>
      </c>
      <c r="AA69" s="819">
        <f>IF(SUM(AA67:AA68)=0,Z69,SUM(AA67:AA68))</f>
        <v>137423</v>
      </c>
      <c r="AB69" s="870">
        <f>SUM(AB67:AB68)</f>
        <v>153318</v>
      </c>
      <c r="AC69" s="819">
        <f>IF(SUM(AC67:AC68)=0,AB69,SUM(AC67:AC68))</f>
        <v>153318</v>
      </c>
      <c r="AD69" s="819"/>
      <c r="AE69" s="819">
        <v>188331</v>
      </c>
      <c r="AF69" s="819">
        <v>188331</v>
      </c>
      <c r="AG69" s="819">
        <v>188331</v>
      </c>
      <c r="AH69" s="819">
        <v>188331</v>
      </c>
      <c r="AI69" s="819">
        <v>188331</v>
      </c>
      <c r="AJ69" s="819">
        <v>271471</v>
      </c>
      <c r="AK69" s="819">
        <v>271471</v>
      </c>
      <c r="AL69" s="819">
        <v>275122</v>
      </c>
      <c r="AM69" s="819">
        <f t="shared" ref="AM69:AN69" si="25">SUM(AM68)</f>
        <v>275122</v>
      </c>
      <c r="AN69" s="819">
        <f t="shared" si="25"/>
        <v>265466</v>
      </c>
      <c r="AO69" s="819">
        <f t="shared" ref="AO69:AR69" si="26">SUM(AO68)</f>
        <v>265466</v>
      </c>
      <c r="AP69" s="819">
        <f>AP68</f>
        <v>261841</v>
      </c>
      <c r="AQ69" s="819">
        <f t="shared" si="26"/>
        <v>261841</v>
      </c>
      <c r="AR69" s="819">
        <f t="shared" si="26"/>
        <v>268741</v>
      </c>
      <c r="AS69" s="1057">
        <f t="shared" ref="AS69" si="27">SUM(AS68)</f>
        <v>268741</v>
      </c>
      <c r="AT69" s="819">
        <f>SUM(AT67:AT68)</f>
        <v>281575</v>
      </c>
      <c r="AU69" s="785">
        <f t="shared" si="14"/>
        <v>12834</v>
      </c>
      <c r="AV69" s="2278">
        <f t="shared" si="1"/>
        <v>4.7756017875947472E-2</v>
      </c>
      <c r="AW69" s="778"/>
      <c r="AX69" s="2016"/>
      <c r="AY69" s="2016"/>
      <c r="AZ69" s="2016"/>
      <c r="BA69" s="2518">
        <f>POWER(AT69/AJ69,1/5)-1</f>
        <v>7.3354782200454327E-3</v>
      </c>
      <c r="BB69" s="2518">
        <f>POWER(AT69/AA69,1/9)-1</f>
        <v>8.2966351654491177E-2</v>
      </c>
      <c r="BC69" s="2332"/>
    </row>
    <row r="70" spans="1:55" ht="14" hidden="1" customHeight="1" outlineLevel="1" x14ac:dyDescent="0.25">
      <c r="A70" s="790"/>
      <c r="B70" s="871"/>
      <c r="C70" s="872"/>
      <c r="D70" s="872"/>
      <c r="E70" s="857"/>
      <c r="F70" s="872"/>
      <c r="G70" s="873"/>
      <c r="H70" s="873"/>
      <c r="I70" s="874"/>
      <c r="J70" s="858"/>
      <c r="K70" s="800"/>
      <c r="L70" s="859"/>
      <c r="M70" s="860"/>
      <c r="N70" s="861"/>
      <c r="O70" s="800"/>
      <c r="P70" s="800"/>
      <c r="Q70" s="800"/>
      <c r="R70" s="800"/>
      <c r="S70" s="800"/>
      <c r="T70" s="800"/>
      <c r="U70" s="800"/>
      <c r="V70" s="800"/>
      <c r="W70" s="800"/>
      <c r="X70" s="800"/>
      <c r="Y70" s="800"/>
      <c r="Z70" s="800"/>
      <c r="AA70" s="800"/>
      <c r="AB70" s="800"/>
      <c r="AC70" s="800"/>
      <c r="AD70" s="800"/>
      <c r="AE70" s="800"/>
      <c r="AF70" s="800"/>
      <c r="AG70" s="800"/>
      <c r="AH70" s="800"/>
      <c r="AI70" s="800"/>
      <c r="AJ70" s="800"/>
      <c r="AK70" s="800"/>
      <c r="AL70" s="800"/>
      <c r="AM70" s="800"/>
      <c r="AN70" s="800"/>
      <c r="AO70" s="800"/>
      <c r="AP70" s="800"/>
      <c r="AQ70" s="800"/>
      <c r="AR70" s="800"/>
      <c r="AS70" s="1621"/>
      <c r="AT70" s="921"/>
      <c r="AU70" s="800" t="str">
        <f t="shared" si="14"/>
        <v/>
      </c>
      <c r="AV70" s="2273" t="str">
        <f t="shared" si="1"/>
        <v/>
      </c>
      <c r="AW70" s="862"/>
      <c r="AX70" s="2016" t="str">
        <f t="shared" si="2"/>
        <v/>
      </c>
      <c r="AY70" s="2016"/>
      <c r="AZ70" s="2016"/>
      <c r="BA70" s="2016"/>
      <c r="BB70" s="2016"/>
      <c r="BC70" s="2026"/>
    </row>
    <row r="71" spans="1:55" ht="14" hidden="1" customHeight="1" outlineLevel="1" x14ac:dyDescent="0.25">
      <c r="A71" s="779" t="s">
        <v>624</v>
      </c>
      <c r="B71" s="832"/>
      <c r="C71" s="814"/>
      <c r="D71" s="814"/>
      <c r="E71" s="833"/>
      <c r="F71" s="814"/>
      <c r="G71" s="875"/>
      <c r="H71" s="875"/>
      <c r="I71" s="876"/>
      <c r="J71" s="815"/>
      <c r="K71" s="827"/>
      <c r="L71" s="863"/>
      <c r="M71" s="863"/>
      <c r="N71" s="863"/>
      <c r="O71" s="827"/>
      <c r="P71" s="827"/>
      <c r="Q71" s="827"/>
      <c r="R71" s="827"/>
      <c r="S71" s="827"/>
      <c r="T71" s="827"/>
      <c r="U71" s="827"/>
      <c r="V71" s="827"/>
      <c r="W71" s="827"/>
      <c r="X71" s="827"/>
      <c r="Y71" s="827"/>
      <c r="Z71" s="827"/>
      <c r="AA71" s="827"/>
      <c r="AB71" s="827"/>
      <c r="AC71" s="827"/>
      <c r="AD71" s="827"/>
      <c r="AE71" s="827"/>
      <c r="AF71" s="827"/>
      <c r="AG71" s="827"/>
      <c r="AH71" s="827"/>
      <c r="AI71" s="827"/>
      <c r="AJ71" s="827"/>
      <c r="AK71" s="827"/>
      <c r="AL71" s="827"/>
      <c r="AM71" s="827"/>
      <c r="AN71" s="827"/>
      <c r="AO71" s="827"/>
      <c r="AP71" s="827"/>
      <c r="AQ71" s="827"/>
      <c r="AR71" s="827"/>
      <c r="AS71" s="1127"/>
      <c r="AT71" s="828"/>
      <c r="AU71" s="827" t="str">
        <f t="shared" si="14"/>
        <v/>
      </c>
      <c r="AV71" s="2277" t="str">
        <f t="shared" si="1"/>
        <v/>
      </c>
      <c r="AW71" s="865"/>
      <c r="AX71" s="2016" t="str">
        <f t="shared" si="2"/>
        <v/>
      </c>
      <c r="AY71" s="2016"/>
      <c r="AZ71" s="2016"/>
      <c r="BA71" s="2016"/>
      <c r="BB71" s="2016"/>
      <c r="BC71" s="2026"/>
    </row>
    <row r="72" spans="1:55" ht="14" hidden="1" customHeight="1" outlineLevel="1" x14ac:dyDescent="0.25">
      <c r="A72" s="779" t="s">
        <v>812</v>
      </c>
      <c r="B72" s="775">
        <v>800</v>
      </c>
      <c r="C72" s="775">
        <v>2435.42</v>
      </c>
      <c r="D72" s="850">
        <v>800</v>
      </c>
      <c r="E72" s="773">
        <v>560.47</v>
      </c>
      <c r="F72" s="850">
        <v>800</v>
      </c>
      <c r="G72" s="851">
        <v>294.72000000000003</v>
      </c>
      <c r="H72" s="851">
        <v>820</v>
      </c>
      <c r="I72" s="851">
        <v>668.25</v>
      </c>
      <c r="J72" s="806">
        <v>820</v>
      </c>
      <c r="K72" s="788"/>
      <c r="L72" s="812">
        <v>625.38</v>
      </c>
      <c r="M72" s="812">
        <v>955</v>
      </c>
      <c r="N72" s="813">
        <v>728</v>
      </c>
      <c r="O72" s="788">
        <v>728</v>
      </c>
      <c r="P72" s="788">
        <v>634</v>
      </c>
      <c r="Q72" s="788">
        <v>634</v>
      </c>
      <c r="R72" s="788">
        <v>500</v>
      </c>
      <c r="S72" s="788"/>
      <c r="T72" s="788">
        <v>500</v>
      </c>
      <c r="U72" s="788">
        <v>500</v>
      </c>
      <c r="V72" s="810">
        <v>500</v>
      </c>
      <c r="W72" s="788">
        <f>V72</f>
        <v>500</v>
      </c>
      <c r="X72" s="810">
        <v>500</v>
      </c>
      <c r="Y72" s="810">
        <v>500</v>
      </c>
      <c r="Z72" s="810">
        <v>600</v>
      </c>
      <c r="AA72" s="810">
        <f>Z72</f>
        <v>600</v>
      </c>
      <c r="AB72" s="810">
        <v>600</v>
      </c>
      <c r="AC72" s="810">
        <f>AB72</f>
        <v>600</v>
      </c>
      <c r="AD72" s="810"/>
      <c r="AE72" s="810">
        <v>600</v>
      </c>
      <c r="AF72" s="810"/>
      <c r="AG72" s="810">
        <v>600</v>
      </c>
      <c r="AH72" s="810">
        <v>600</v>
      </c>
      <c r="AI72" s="810">
        <v>600</v>
      </c>
      <c r="AJ72" s="810">
        <v>600</v>
      </c>
      <c r="AK72" s="810">
        <v>600</v>
      </c>
      <c r="AL72" s="810">
        <v>400</v>
      </c>
      <c r="AM72" s="810">
        <f>AL72*$AH$4</f>
        <v>400</v>
      </c>
      <c r="AN72" s="810">
        <v>400</v>
      </c>
      <c r="AO72" s="810">
        <v>400</v>
      </c>
      <c r="AP72" s="810">
        <v>625</v>
      </c>
      <c r="AQ72" s="810">
        <f>AP72*$AH$4</f>
        <v>625</v>
      </c>
      <c r="AR72" s="810">
        <v>688</v>
      </c>
      <c r="AS72" s="1410">
        <f>AR72*$AH$4</f>
        <v>688</v>
      </c>
      <c r="AT72" s="809">
        <f>'[1]BUDGET DETAIL'!$CX$189</f>
        <v>688</v>
      </c>
      <c r="AU72" s="810">
        <f t="shared" si="14"/>
        <v>0</v>
      </c>
      <c r="AV72" s="2274">
        <f t="shared" si="1"/>
        <v>0</v>
      </c>
      <c r="AW72" s="778"/>
      <c r="AX72" s="2016" t="str">
        <f t="shared" si="2"/>
        <v/>
      </c>
      <c r="AY72" s="2016"/>
      <c r="AZ72" s="2016"/>
      <c r="BA72" s="2016"/>
      <c r="BB72" s="2016"/>
    </row>
    <row r="73" spans="1:55" ht="14" hidden="1" customHeight="1" outlineLevel="1" x14ac:dyDescent="0.25">
      <c r="A73" s="842" t="s">
        <v>625</v>
      </c>
      <c r="B73" s="877">
        <f t="shared" ref="B73:N73" si="28">SUM(B72)</f>
        <v>800</v>
      </c>
      <c r="C73" s="877">
        <f t="shared" si="28"/>
        <v>2435.42</v>
      </c>
      <c r="D73" s="878">
        <f t="shared" si="28"/>
        <v>800</v>
      </c>
      <c r="E73" s="782">
        <f t="shared" si="28"/>
        <v>560.47</v>
      </c>
      <c r="F73" s="878">
        <f t="shared" si="28"/>
        <v>800</v>
      </c>
      <c r="G73" s="877">
        <f t="shared" si="28"/>
        <v>294.72000000000003</v>
      </c>
      <c r="H73" s="877">
        <f t="shared" si="28"/>
        <v>820</v>
      </c>
      <c r="I73" s="877">
        <f t="shared" si="28"/>
        <v>668.25</v>
      </c>
      <c r="J73" s="869">
        <f t="shared" si="28"/>
        <v>820</v>
      </c>
      <c r="K73" s="785" t="s">
        <v>455</v>
      </c>
      <c r="L73" s="879">
        <f t="shared" si="28"/>
        <v>625.38</v>
      </c>
      <c r="M73" s="879">
        <f t="shared" si="28"/>
        <v>955</v>
      </c>
      <c r="N73" s="880">
        <f t="shared" si="28"/>
        <v>728</v>
      </c>
      <c r="O73" s="785">
        <f>O72</f>
        <v>728</v>
      </c>
      <c r="P73" s="785">
        <f>P72</f>
        <v>634</v>
      </c>
      <c r="Q73" s="819">
        <f>IF(SUM(Q72)=0,P73,Q72)</f>
        <v>634</v>
      </c>
      <c r="R73" s="785">
        <f>R72</f>
        <v>500</v>
      </c>
      <c r="S73" s="819">
        <f>IF(SUM(S72)=0,R73,S72)</f>
        <v>500</v>
      </c>
      <c r="T73" s="785">
        <v>500</v>
      </c>
      <c r="U73" s="785">
        <v>500</v>
      </c>
      <c r="V73" s="785">
        <f>V72</f>
        <v>500</v>
      </c>
      <c r="W73" s="819">
        <f>IF(SUM(W72)=0,V73,W72)</f>
        <v>500</v>
      </c>
      <c r="X73" s="785">
        <f>X72</f>
        <v>500</v>
      </c>
      <c r="Y73" s="819">
        <f>IF(SUM(Y72)=0,X73,Y72)</f>
        <v>500</v>
      </c>
      <c r="Z73" s="785">
        <f>Z72</f>
        <v>600</v>
      </c>
      <c r="AA73" s="819">
        <f>IF(SUM(AA72)=0,Z73,AA72)</f>
        <v>600</v>
      </c>
      <c r="AB73" s="785">
        <f>AB72</f>
        <v>600</v>
      </c>
      <c r="AC73" s="819">
        <f>IF(SUM(AC72)=0,AB73,AC72)</f>
        <v>600</v>
      </c>
      <c r="AD73" s="819"/>
      <c r="AE73" s="819">
        <v>600</v>
      </c>
      <c r="AF73" s="819">
        <v>600</v>
      </c>
      <c r="AG73" s="819">
        <v>600</v>
      </c>
      <c r="AH73" s="819">
        <v>600</v>
      </c>
      <c r="AI73" s="785">
        <v>600</v>
      </c>
      <c r="AJ73" s="785">
        <v>600</v>
      </c>
      <c r="AK73" s="785">
        <v>600</v>
      </c>
      <c r="AL73" s="785">
        <v>400</v>
      </c>
      <c r="AM73" s="785">
        <f>SUM(AM71:AM72)</f>
        <v>400</v>
      </c>
      <c r="AN73" s="785">
        <f>SUM(AN71:AN72)</f>
        <v>400</v>
      </c>
      <c r="AO73" s="785">
        <f>SUM(AO71:AO72)</f>
        <v>400</v>
      </c>
      <c r="AP73" s="785">
        <f>AP72</f>
        <v>625</v>
      </c>
      <c r="AQ73" s="785">
        <f>SUM(AQ71:AQ72)</f>
        <v>625</v>
      </c>
      <c r="AR73" s="785">
        <f>SUM(AR71:AR72)</f>
        <v>688</v>
      </c>
      <c r="AS73" s="820">
        <f>SUM(AS71:AS72)</f>
        <v>688</v>
      </c>
      <c r="AT73" s="819">
        <f>SUM(AT71:AT72)</f>
        <v>688</v>
      </c>
      <c r="AU73" s="785">
        <f t="shared" si="14"/>
        <v>0</v>
      </c>
      <c r="AV73" s="2275">
        <f t="shared" si="1"/>
        <v>0</v>
      </c>
      <c r="AW73" s="778"/>
      <c r="AX73" s="2016" t="str">
        <f t="shared" si="2"/>
        <v/>
      </c>
      <c r="AY73" s="2016"/>
      <c r="AZ73" s="2016"/>
      <c r="BA73" s="2518">
        <f>POWER(AT73/AJ73,1/5)-1</f>
        <v>2.774988668809053E-2</v>
      </c>
      <c r="BB73" s="2518">
        <f>POWER(AT73/AA73,1/9)-1</f>
        <v>1.5322784128215527E-2</v>
      </c>
      <c r="BC73" s="2332"/>
    </row>
    <row r="74" spans="1:55" ht="14" hidden="1" customHeight="1" outlineLevel="1" x14ac:dyDescent="0.25">
      <c r="A74" s="821"/>
      <c r="B74" s="791"/>
      <c r="C74" s="792"/>
      <c r="D74" s="792"/>
      <c r="E74" s="793"/>
      <c r="F74" s="792"/>
      <c r="G74" s="794"/>
      <c r="H74" s="794"/>
      <c r="I74" s="795"/>
      <c r="J74" s="846"/>
      <c r="K74" s="822"/>
      <c r="L74" s="829"/>
      <c r="M74" s="830"/>
      <c r="N74" s="824"/>
      <c r="O74" s="822"/>
      <c r="P74" s="822"/>
      <c r="Q74" s="822"/>
      <c r="R74" s="822"/>
      <c r="S74" s="822"/>
      <c r="T74" s="822"/>
      <c r="U74" s="822"/>
      <c r="V74" s="822"/>
      <c r="W74" s="822"/>
      <c r="X74" s="822"/>
      <c r="Y74" s="822"/>
      <c r="Z74" s="822"/>
      <c r="AA74" s="822"/>
      <c r="AB74" s="822"/>
      <c r="AC74" s="822"/>
      <c r="AD74" s="822"/>
      <c r="AE74" s="822"/>
      <c r="AF74" s="822"/>
      <c r="AG74" s="822"/>
      <c r="AH74" s="822"/>
      <c r="AI74" s="822"/>
      <c r="AJ74" s="822"/>
      <c r="AK74" s="822"/>
      <c r="AL74" s="822"/>
      <c r="AM74" s="822"/>
      <c r="AN74" s="822"/>
      <c r="AO74" s="822"/>
      <c r="AP74" s="822"/>
      <c r="AQ74" s="822"/>
      <c r="AR74" s="822"/>
      <c r="AS74" s="1160"/>
      <c r="AT74" s="823"/>
      <c r="AU74" s="822" t="str">
        <f t="shared" si="14"/>
        <v/>
      </c>
      <c r="AV74" s="2276" t="str">
        <f t="shared" si="1"/>
        <v/>
      </c>
      <c r="AW74" s="803"/>
      <c r="AX74" s="2016" t="str">
        <f t="shared" si="2"/>
        <v/>
      </c>
      <c r="AY74" s="2016"/>
      <c r="AZ74" s="2016"/>
      <c r="BA74" s="2016"/>
      <c r="BB74" s="2016"/>
    </row>
    <row r="75" spans="1:55" ht="14" hidden="1" customHeight="1" outlineLevel="1" x14ac:dyDescent="0.25">
      <c r="A75" s="779" t="s">
        <v>662</v>
      </c>
      <c r="B75" s="772"/>
      <c r="C75" s="773"/>
      <c r="D75" s="773"/>
      <c r="E75" s="804"/>
      <c r="F75" s="773"/>
      <c r="G75" s="774"/>
      <c r="H75" s="774"/>
      <c r="J75" s="847"/>
      <c r="K75" s="825"/>
      <c r="L75" s="831"/>
      <c r="M75" s="831"/>
      <c r="N75" s="805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825"/>
      <c r="AM75" s="825"/>
      <c r="AN75" s="825"/>
      <c r="AO75" s="825"/>
      <c r="AP75" s="825"/>
      <c r="AQ75" s="825"/>
      <c r="AR75" s="825"/>
      <c r="AS75" s="825"/>
      <c r="AT75" s="825"/>
      <c r="AU75" s="825" t="str">
        <f t="shared" ref="AU75:AU79" si="29">IF(AL75&gt;0,AN75-AL75,"")</f>
        <v/>
      </c>
      <c r="AV75" s="2316" t="str">
        <f t="shared" si="1"/>
        <v/>
      </c>
      <c r="AW75" s="778"/>
      <c r="AX75" s="2016" t="str">
        <f t="shared" si="2"/>
        <v/>
      </c>
      <c r="AY75" s="2016"/>
      <c r="AZ75" s="2016"/>
      <c r="BA75" s="2016"/>
      <c r="BB75" s="2016"/>
      <c r="BC75" s="2011" t="s">
        <v>1072</v>
      </c>
    </row>
    <row r="76" spans="1:55" ht="14" hidden="1" customHeight="1" outlineLevel="1" x14ac:dyDescent="0.25">
      <c r="A76" s="779" t="s">
        <v>551</v>
      </c>
      <c r="B76" s="772">
        <v>0</v>
      </c>
      <c r="C76" s="773">
        <v>0</v>
      </c>
      <c r="D76" s="773">
        <v>0</v>
      </c>
      <c r="E76" s="773">
        <v>0</v>
      </c>
      <c r="F76" s="773">
        <v>0</v>
      </c>
      <c r="G76" s="774">
        <v>0</v>
      </c>
      <c r="H76" s="774">
        <v>0</v>
      </c>
      <c r="I76" s="712">
        <v>0</v>
      </c>
      <c r="J76" s="806">
        <v>0</v>
      </c>
      <c r="K76" s="788"/>
      <c r="L76" s="855"/>
      <c r="M76" s="855"/>
      <c r="N76" s="813"/>
      <c r="O76" s="788"/>
      <c r="P76" s="788"/>
      <c r="Q76" s="788"/>
      <c r="R76" s="788"/>
      <c r="S76" s="788"/>
      <c r="T76" s="788"/>
      <c r="U76" s="788"/>
      <c r="V76" s="788"/>
      <c r="W76" s="788"/>
      <c r="X76" s="788"/>
      <c r="Y76" s="788"/>
      <c r="Z76" s="810">
        <f>Y76*(1+$A$2/100)</f>
        <v>0</v>
      </c>
      <c r="AA76" s="788"/>
      <c r="AB76" s="810">
        <f>AA76*(1+$A$2/100)</f>
        <v>0</v>
      </c>
      <c r="AC76" s="788"/>
      <c r="AD76" s="788"/>
      <c r="AE76" s="788"/>
      <c r="AF76" s="810">
        <v>0</v>
      </c>
      <c r="AG76" s="810"/>
      <c r="AH76" s="810"/>
      <c r="AI76" s="788"/>
      <c r="AJ76" s="788"/>
      <c r="AK76" s="788"/>
      <c r="AL76" s="788"/>
      <c r="AM76" s="788"/>
      <c r="AN76" s="788"/>
      <c r="AO76" s="788"/>
      <c r="AP76" s="788"/>
      <c r="AQ76" s="788"/>
      <c r="AR76" s="788"/>
      <c r="AS76" s="788"/>
      <c r="AT76" s="788"/>
      <c r="AU76" s="788" t="str">
        <f t="shared" si="29"/>
        <v/>
      </c>
      <c r="AV76" s="2314" t="str">
        <f t="shared" si="1"/>
        <v/>
      </c>
      <c r="AW76" s="778"/>
      <c r="AX76" s="2016" t="str">
        <f t="shared" si="2"/>
        <v/>
      </c>
      <c r="AY76" s="2016"/>
      <c r="AZ76" s="2016"/>
      <c r="BA76" s="2016"/>
      <c r="BB76" s="2016"/>
      <c r="BC76" s="2011" t="s">
        <v>1072</v>
      </c>
    </row>
    <row r="77" spans="1:55" ht="14" hidden="1" customHeight="1" outlineLevel="1" x14ac:dyDescent="0.25">
      <c r="A77" s="779" t="s">
        <v>812</v>
      </c>
      <c r="B77" s="772">
        <v>300</v>
      </c>
      <c r="C77" s="773">
        <v>120</v>
      </c>
      <c r="D77" s="773">
        <v>300</v>
      </c>
      <c r="E77" s="773">
        <v>120</v>
      </c>
      <c r="F77" s="773">
        <v>300</v>
      </c>
      <c r="G77" s="774">
        <v>120</v>
      </c>
      <c r="H77" s="774">
        <v>300</v>
      </c>
      <c r="I77" s="712">
        <v>120</v>
      </c>
      <c r="J77" s="881">
        <v>300</v>
      </c>
      <c r="K77" s="785" t="s">
        <v>455</v>
      </c>
      <c r="L77" s="812">
        <v>0</v>
      </c>
      <c r="M77" s="812"/>
      <c r="N77" s="813"/>
      <c r="O77" s="785"/>
      <c r="P77" s="785"/>
      <c r="Q77" s="785"/>
      <c r="R77" s="785"/>
      <c r="S77" s="785"/>
      <c r="T77" s="785"/>
      <c r="U77" s="785"/>
      <c r="V77" s="785"/>
      <c r="W77" s="785"/>
      <c r="X77" s="785"/>
      <c r="Y77" s="785"/>
      <c r="Z77" s="785"/>
      <c r="AA77" s="785"/>
      <c r="AB77" s="785"/>
      <c r="AC77" s="785"/>
      <c r="AD77" s="785"/>
      <c r="AE77" s="785"/>
      <c r="AF77" s="810">
        <v>0</v>
      </c>
      <c r="AG77" s="810"/>
      <c r="AH77" s="810"/>
      <c r="AI77" s="785"/>
      <c r="AJ77" s="785"/>
      <c r="AK77" s="785"/>
      <c r="AL77" s="785"/>
      <c r="AM77" s="785"/>
      <c r="AN77" s="785"/>
      <c r="AO77" s="785"/>
      <c r="AP77" s="785"/>
      <c r="AQ77" s="785"/>
      <c r="AR77" s="785"/>
      <c r="AS77" s="785"/>
      <c r="AT77" s="785"/>
      <c r="AU77" s="785" t="str">
        <f t="shared" si="29"/>
        <v/>
      </c>
      <c r="AV77" s="2317" t="str">
        <f t="shared" si="1"/>
        <v/>
      </c>
      <c r="AW77" s="778"/>
      <c r="AX77" s="2016" t="str">
        <f t="shared" si="2"/>
        <v/>
      </c>
      <c r="AY77" s="2016"/>
      <c r="AZ77" s="2016"/>
      <c r="BA77" s="2016"/>
      <c r="BB77" s="2016"/>
      <c r="BC77" s="2011" t="s">
        <v>1072</v>
      </c>
    </row>
    <row r="78" spans="1:55" ht="14" hidden="1" customHeight="1" outlineLevel="1" x14ac:dyDescent="0.25">
      <c r="A78" s="842" t="s">
        <v>813</v>
      </c>
      <c r="B78" s="780">
        <f>SUM(B76:B77)</f>
        <v>300</v>
      </c>
      <c r="C78" s="781">
        <f>SUM(C76:C77)</f>
        <v>120</v>
      </c>
      <c r="D78" s="781">
        <f t="shared" ref="D78:M78" si="30">SUM(D76:D77)</f>
        <v>300</v>
      </c>
      <c r="E78" s="781">
        <f t="shared" si="30"/>
        <v>120</v>
      </c>
      <c r="F78" s="781">
        <f t="shared" si="30"/>
        <v>300</v>
      </c>
      <c r="G78" s="781">
        <f t="shared" si="30"/>
        <v>120</v>
      </c>
      <c r="H78" s="781">
        <f t="shared" si="30"/>
        <v>300</v>
      </c>
      <c r="I78" s="781">
        <f t="shared" si="30"/>
        <v>120</v>
      </c>
      <c r="J78" s="882">
        <v>300</v>
      </c>
      <c r="K78" s="816">
        <v>38782</v>
      </c>
      <c r="L78" s="843">
        <f t="shared" si="30"/>
        <v>0</v>
      </c>
      <c r="M78" s="843">
        <f t="shared" si="30"/>
        <v>0</v>
      </c>
      <c r="N78" s="880"/>
      <c r="O78" s="785"/>
      <c r="P78" s="785"/>
      <c r="Q78" s="819">
        <f>IF(SUM(Q76:Q77)=0,P78,SUM(Q76:Q77))</f>
        <v>0</v>
      </c>
      <c r="R78" s="785">
        <f>SUM(R76:R77)</f>
        <v>0</v>
      </c>
      <c r="S78" s="819">
        <f>IF(SUM(S76:S77)=0,R78,SUM(S76:S77))</f>
        <v>0</v>
      </c>
      <c r="T78" s="785">
        <v>0</v>
      </c>
      <c r="U78" s="785">
        <v>0</v>
      </c>
      <c r="V78" s="785">
        <f>SUM(V76:V77)</f>
        <v>0</v>
      </c>
      <c r="W78" s="819">
        <f>IF(SUM(W76:W77)=0,V78,SUM(W76:W77))</f>
        <v>0</v>
      </c>
      <c r="X78" s="785">
        <f>SUM(X76:X77)</f>
        <v>0</v>
      </c>
      <c r="Y78" s="819">
        <f>IF(SUM(Y76:Y77)=0,X78,SUM(Y76:Y77))</f>
        <v>0</v>
      </c>
      <c r="Z78" s="785">
        <f>SUM(Z76:Z77)</f>
        <v>0</v>
      </c>
      <c r="AA78" s="819">
        <f>IF(SUM(AA76:AA77)=0,Z78,SUM(AA76:AA77))</f>
        <v>0</v>
      </c>
      <c r="AB78" s="785">
        <f>SUM(AB76:AB77)</f>
        <v>0</v>
      </c>
      <c r="AC78" s="819">
        <f>IF(SUM(AC76:AC77)=0,AB78,SUM(AC76:AC77))</f>
        <v>0</v>
      </c>
      <c r="AD78" s="819"/>
      <c r="AE78" s="819"/>
      <c r="AF78" s="785"/>
      <c r="AG78" s="785"/>
      <c r="AH78" s="785"/>
      <c r="AI78" s="785"/>
      <c r="AJ78" s="785"/>
      <c r="AK78" s="785"/>
      <c r="AL78" s="785"/>
      <c r="AM78" s="785"/>
      <c r="AN78" s="785"/>
      <c r="AO78" s="785"/>
      <c r="AP78" s="785"/>
      <c r="AQ78" s="785"/>
      <c r="AR78" s="785"/>
      <c r="AS78" s="785"/>
      <c r="AT78" s="785"/>
      <c r="AU78" s="785" t="str">
        <f t="shared" si="29"/>
        <v/>
      </c>
      <c r="AV78" s="2317" t="str">
        <f t="shared" si="1"/>
        <v/>
      </c>
      <c r="AW78" s="778"/>
      <c r="AX78" s="2016" t="str">
        <f t="shared" si="2"/>
        <v/>
      </c>
      <c r="AY78" s="2016"/>
      <c r="AZ78" s="2016"/>
      <c r="BA78" s="2016"/>
      <c r="BB78" s="2016"/>
      <c r="BC78" s="2011" t="s">
        <v>1072</v>
      </c>
    </row>
    <row r="79" spans="1:55" ht="14" hidden="1" customHeight="1" outlineLevel="1" x14ac:dyDescent="0.25">
      <c r="A79" s="883"/>
      <c r="B79" s="791"/>
      <c r="C79" s="792"/>
      <c r="D79" s="792"/>
      <c r="E79" s="793"/>
      <c r="F79" s="792"/>
      <c r="G79" s="794"/>
      <c r="H79" s="794"/>
      <c r="I79" s="795"/>
      <c r="J79" s="846"/>
      <c r="K79" s="822"/>
      <c r="L79" s="884"/>
      <c r="M79" s="885"/>
      <c r="N79" s="824"/>
      <c r="O79" s="822"/>
      <c r="P79" s="822"/>
      <c r="Q79" s="822"/>
      <c r="R79" s="822"/>
      <c r="S79" s="822"/>
      <c r="T79" s="822"/>
      <c r="U79" s="822"/>
      <c r="V79" s="822"/>
      <c r="W79" s="822"/>
      <c r="X79" s="822"/>
      <c r="Y79" s="822"/>
      <c r="Z79" s="822"/>
      <c r="AA79" s="822"/>
      <c r="AB79" s="822"/>
      <c r="AC79" s="822"/>
      <c r="AD79" s="822"/>
      <c r="AE79" s="822"/>
      <c r="AF79" s="822"/>
      <c r="AG79" s="822"/>
      <c r="AH79" s="822"/>
      <c r="AI79" s="822"/>
      <c r="AJ79" s="822"/>
      <c r="AK79" s="822"/>
      <c r="AL79" s="822"/>
      <c r="AM79" s="822"/>
      <c r="AN79" s="822"/>
      <c r="AO79" s="822"/>
      <c r="AP79" s="822"/>
      <c r="AQ79" s="822"/>
      <c r="AR79" s="822"/>
      <c r="AS79" s="822"/>
      <c r="AT79" s="822"/>
      <c r="AU79" s="822" t="str">
        <f t="shared" si="29"/>
        <v/>
      </c>
      <c r="AV79" s="2318" t="str">
        <f t="shared" ref="AV79:AV142" si="31">IF(AR79&gt;0,AU79/AR79,"")</f>
        <v/>
      </c>
      <c r="AW79" s="803"/>
      <c r="AX79" s="2016" t="str">
        <f t="shared" ref="AX79:AX119" si="32">IF(AS79=AR79,"","xx")</f>
        <v/>
      </c>
      <c r="AY79" s="2016"/>
      <c r="AZ79" s="2016"/>
      <c r="BA79" s="2016"/>
      <c r="BB79" s="2016"/>
      <c r="BC79" s="2011" t="s">
        <v>1072</v>
      </c>
    </row>
    <row r="80" spans="1:55" ht="14" hidden="1" customHeight="1" outlineLevel="1" x14ac:dyDescent="0.25">
      <c r="A80" s="779" t="s">
        <v>663</v>
      </c>
      <c r="B80" s="772"/>
      <c r="C80" s="773"/>
      <c r="D80" s="773"/>
      <c r="E80" s="804"/>
      <c r="F80" s="773"/>
      <c r="G80" s="774"/>
      <c r="H80" s="774"/>
      <c r="J80" s="847"/>
      <c r="K80" s="825"/>
      <c r="L80" s="831"/>
      <c r="M80" s="831"/>
      <c r="N80" s="805"/>
      <c r="O80" s="825"/>
      <c r="P80" s="825"/>
      <c r="Q80" s="825"/>
      <c r="R80" s="825"/>
      <c r="S80" s="825"/>
      <c r="T80" s="825"/>
      <c r="U80" s="825"/>
      <c r="V80" s="825"/>
      <c r="W80" s="825"/>
      <c r="X80" s="825"/>
      <c r="Y80" s="825"/>
      <c r="Z80" s="825"/>
      <c r="AA80" s="825"/>
      <c r="AB80" s="825"/>
      <c r="AC80" s="825"/>
      <c r="AD80" s="825"/>
      <c r="AE80" s="825"/>
      <c r="AF80" s="825"/>
      <c r="AG80" s="825"/>
      <c r="AH80" s="825"/>
      <c r="AI80" s="825"/>
      <c r="AJ80" s="825"/>
      <c r="AK80" s="825"/>
      <c r="AL80" s="825"/>
      <c r="AM80" s="825"/>
      <c r="AN80" s="825"/>
      <c r="AO80" s="825"/>
      <c r="AP80" s="825"/>
      <c r="AQ80" s="825"/>
      <c r="AR80" s="825"/>
      <c r="AS80" s="1110"/>
      <c r="AT80" s="1040"/>
      <c r="AU80" s="825" t="str">
        <f t="shared" ref="AU80:AU85" si="33">IF(AR80&gt;0,AT80-AR80,"")</f>
        <v/>
      </c>
      <c r="AV80" s="2274" t="str">
        <f t="shared" si="31"/>
        <v/>
      </c>
      <c r="AW80" s="778"/>
      <c r="AX80" s="2016" t="str">
        <f t="shared" si="32"/>
        <v/>
      </c>
      <c r="AY80" s="2016"/>
      <c r="AZ80" s="2016"/>
      <c r="BA80" s="2016"/>
      <c r="BB80" s="2016"/>
    </row>
    <row r="81" spans="1:55" ht="14" hidden="1" customHeight="1" outlineLevel="1" x14ac:dyDescent="0.25">
      <c r="A81" s="779" t="s">
        <v>560</v>
      </c>
      <c r="B81" s="775">
        <v>48259</v>
      </c>
      <c r="C81" s="775">
        <v>48259</v>
      </c>
      <c r="D81" s="850">
        <v>49707</v>
      </c>
      <c r="E81" s="773">
        <v>49707</v>
      </c>
      <c r="F81" s="850">
        <v>49707</v>
      </c>
      <c r="G81" s="851">
        <v>49707</v>
      </c>
      <c r="H81" s="851">
        <v>51835</v>
      </c>
      <c r="I81" s="851">
        <f>50835+1000</f>
        <v>51835</v>
      </c>
      <c r="J81" s="806">
        <v>53490</v>
      </c>
      <c r="K81" s="788"/>
      <c r="L81" s="840">
        <v>54907</v>
      </c>
      <c r="M81" s="852">
        <f>L81*(1+0.027)+1000</f>
        <v>57389.488999999994</v>
      </c>
      <c r="N81" s="808">
        <v>58912</v>
      </c>
      <c r="O81" s="788">
        <v>58912</v>
      </c>
      <c r="P81" s="886">
        <v>50842</v>
      </c>
      <c r="Q81" s="886">
        <v>50842</v>
      </c>
      <c r="R81" s="810">
        <v>50842</v>
      </c>
      <c r="S81" s="788"/>
      <c r="T81" s="788">
        <v>54451</v>
      </c>
      <c r="U81" s="788">
        <v>54451</v>
      </c>
      <c r="V81" s="810">
        <v>59712</v>
      </c>
      <c r="W81" s="788">
        <v>53195</v>
      </c>
      <c r="X81" s="810">
        <v>56951</v>
      </c>
      <c r="Y81" s="810">
        <v>56951</v>
      </c>
      <c r="Z81" s="810">
        <v>63348</v>
      </c>
      <c r="AA81" s="810">
        <f>Z81</f>
        <v>63348</v>
      </c>
      <c r="AB81" s="810">
        <v>66135</v>
      </c>
      <c r="AC81" s="810">
        <f>AB81</f>
        <v>66135</v>
      </c>
      <c r="AD81" s="810"/>
      <c r="AE81" s="810">
        <v>61672</v>
      </c>
      <c r="AF81" s="810"/>
      <c r="AG81" s="810">
        <v>63522.16</v>
      </c>
      <c r="AH81" s="810">
        <v>64647</v>
      </c>
      <c r="AI81" s="810">
        <v>66586.41</v>
      </c>
      <c r="AJ81" s="810">
        <v>73717</v>
      </c>
      <c r="AK81" s="810">
        <v>75928.509999999995</v>
      </c>
      <c r="AL81" s="810">
        <v>75461</v>
      </c>
      <c r="AM81" s="810">
        <f>AL81*$AH$3</f>
        <v>76970.22</v>
      </c>
      <c r="AN81" s="810">
        <v>76964</v>
      </c>
      <c r="AO81" s="810">
        <f>AN81*$AH$3</f>
        <v>78503.28</v>
      </c>
      <c r="AP81" s="810">
        <v>78509</v>
      </c>
      <c r="AQ81" s="810">
        <f>AP81*$AH$3</f>
        <v>80079.180000000008</v>
      </c>
      <c r="AR81" s="810">
        <v>82352</v>
      </c>
      <c r="AS81" s="1410">
        <f>AR81*$AH$3</f>
        <v>83999.040000000008</v>
      </c>
      <c r="AT81" s="809">
        <f>'[1]BUDGET DETAIL'!$CX$213</f>
        <v>86070</v>
      </c>
      <c r="AU81" s="810">
        <f t="shared" si="33"/>
        <v>3718</v>
      </c>
      <c r="AV81" s="2274">
        <f t="shared" si="31"/>
        <v>4.5147658830386635E-2</v>
      </c>
      <c r="AW81" s="853"/>
      <c r="AX81" s="2016"/>
      <c r="AY81" s="2016"/>
      <c r="AZ81" s="2016"/>
      <c r="BA81" s="2016"/>
      <c r="BB81" s="2016"/>
      <c r="BC81" s="2025"/>
    </row>
    <row r="82" spans="1:55" ht="14" hidden="1" customHeight="1" outlineLevel="1" x14ac:dyDescent="0.25">
      <c r="A82" s="779" t="s">
        <v>551</v>
      </c>
      <c r="B82" s="775">
        <v>25228</v>
      </c>
      <c r="C82" s="775">
        <v>25225.49</v>
      </c>
      <c r="D82" s="775">
        <v>26087</v>
      </c>
      <c r="E82" s="773">
        <v>26087</v>
      </c>
      <c r="F82" s="775">
        <v>26087</v>
      </c>
      <c r="G82" s="777">
        <v>25798.78</v>
      </c>
      <c r="H82" s="777">
        <v>27145</v>
      </c>
      <c r="I82" s="777">
        <v>27143.48</v>
      </c>
      <c r="J82" s="806">
        <v>28044</v>
      </c>
      <c r="K82" s="788"/>
      <c r="L82" s="840">
        <v>28845.91</v>
      </c>
      <c r="M82" s="807">
        <v>29713</v>
      </c>
      <c r="N82" s="808">
        <v>30488</v>
      </c>
      <c r="O82" s="788">
        <v>30488</v>
      </c>
      <c r="P82" s="854">
        <v>15919</v>
      </c>
      <c r="Q82" s="854">
        <v>15919</v>
      </c>
      <c r="R82" s="788">
        <v>19714</v>
      </c>
      <c r="S82" s="788"/>
      <c r="T82" s="788">
        <v>20165</v>
      </c>
      <c r="U82" s="788">
        <v>20165</v>
      </c>
      <c r="V82" s="810">
        <v>18819</v>
      </c>
      <c r="W82" s="788">
        <f>V82</f>
        <v>18819</v>
      </c>
      <c r="X82" s="810">
        <v>20004</v>
      </c>
      <c r="Y82" s="810">
        <v>23447</v>
      </c>
      <c r="Z82" s="810">
        <v>26013</v>
      </c>
      <c r="AA82" s="810">
        <f>Z82</f>
        <v>26013</v>
      </c>
      <c r="AB82" s="810">
        <v>29011</v>
      </c>
      <c r="AC82" s="810">
        <f>AB82</f>
        <v>29011</v>
      </c>
      <c r="AD82" s="810"/>
      <c r="AE82" s="810">
        <v>26389</v>
      </c>
      <c r="AF82" s="810"/>
      <c r="AG82" s="810">
        <v>27180.670000000002</v>
      </c>
      <c r="AH82" s="810">
        <v>33927</v>
      </c>
      <c r="AI82" s="810">
        <v>34944.81</v>
      </c>
      <c r="AJ82" s="810">
        <v>33188</v>
      </c>
      <c r="AK82" s="810">
        <v>34183.64</v>
      </c>
      <c r="AL82" s="810">
        <v>30734</v>
      </c>
      <c r="AM82" s="810">
        <f>AL82*$AH$3</f>
        <v>31348.68</v>
      </c>
      <c r="AN82" s="810">
        <v>28328</v>
      </c>
      <c r="AO82" s="810">
        <f>AN82*$AH$3</f>
        <v>28894.560000000001</v>
      </c>
      <c r="AP82" s="810">
        <v>38307</v>
      </c>
      <c r="AQ82" s="810">
        <f>AP82*$AH$3</f>
        <v>39073.14</v>
      </c>
      <c r="AR82" s="810">
        <v>40497</v>
      </c>
      <c r="AS82" s="1410">
        <f>AR82*$AH$3</f>
        <v>41306.94</v>
      </c>
      <c r="AT82" s="809">
        <f>'[1]BUDGET DETAIL'!$CX$221</f>
        <v>45555</v>
      </c>
      <c r="AU82" s="810">
        <f t="shared" si="33"/>
        <v>5058</v>
      </c>
      <c r="AV82" s="2274">
        <f t="shared" si="31"/>
        <v>0.12489814060300763</v>
      </c>
      <c r="AW82" s="1423"/>
      <c r="AX82" s="2016"/>
      <c r="AY82" s="2016"/>
      <c r="AZ82" s="2016"/>
      <c r="BA82" s="2016"/>
      <c r="BB82" s="2016"/>
      <c r="BC82" s="2016"/>
    </row>
    <row r="83" spans="1:55" ht="14" hidden="1" customHeight="1" outlineLevel="1" x14ac:dyDescent="0.25">
      <c r="A83" s="779" t="s">
        <v>812</v>
      </c>
      <c r="B83" s="775">
        <v>19380</v>
      </c>
      <c r="C83" s="775">
        <v>18338.46</v>
      </c>
      <c r="D83" s="775">
        <v>17549</v>
      </c>
      <c r="E83" s="773">
        <v>15957.83</v>
      </c>
      <c r="F83" s="775">
        <v>17549</v>
      </c>
      <c r="G83" s="777">
        <v>16734.03</v>
      </c>
      <c r="H83" s="777">
        <v>14005</v>
      </c>
      <c r="I83" s="777">
        <v>13846.8</v>
      </c>
      <c r="J83" s="806">
        <v>14005</v>
      </c>
      <c r="K83" s="788"/>
      <c r="L83" s="812">
        <v>14518.75</v>
      </c>
      <c r="M83" s="812">
        <v>14570</v>
      </c>
      <c r="N83" s="813">
        <v>13110</v>
      </c>
      <c r="O83" s="788">
        <v>10238</v>
      </c>
      <c r="P83" s="788">
        <v>11309</v>
      </c>
      <c r="Q83" s="788">
        <v>11309</v>
      </c>
      <c r="R83" s="788">
        <f>7514+2542</f>
        <v>10056</v>
      </c>
      <c r="S83" s="788"/>
      <c r="T83" s="788">
        <v>10432</v>
      </c>
      <c r="U83" s="788">
        <v>12528</v>
      </c>
      <c r="V83" s="810">
        <v>7748</v>
      </c>
      <c r="W83" s="788">
        <v>10248</v>
      </c>
      <c r="X83" s="810">
        <v>10560</v>
      </c>
      <c r="Y83" s="810">
        <v>14335</v>
      </c>
      <c r="Z83" s="810">
        <v>13156</v>
      </c>
      <c r="AA83" s="810">
        <f>Z83</f>
        <v>13156</v>
      </c>
      <c r="AB83" s="810">
        <v>14385</v>
      </c>
      <c r="AC83" s="810">
        <f>AB83</f>
        <v>14385</v>
      </c>
      <c r="AD83" s="810"/>
      <c r="AE83" s="810">
        <v>13535</v>
      </c>
      <c r="AF83" s="810"/>
      <c r="AG83" s="810">
        <v>13535</v>
      </c>
      <c r="AH83" s="1411">
        <v>16585</v>
      </c>
      <c r="AI83" s="810">
        <v>16585</v>
      </c>
      <c r="AJ83" s="810">
        <v>13885</v>
      </c>
      <c r="AK83" s="810">
        <v>13885</v>
      </c>
      <c r="AL83" s="810">
        <v>17097</v>
      </c>
      <c r="AM83" s="810">
        <f>AL83*$AH$4</f>
        <v>17097</v>
      </c>
      <c r="AN83" s="810">
        <v>20457</v>
      </c>
      <c r="AO83" s="810">
        <f>AN83*$AH$4</f>
        <v>20457</v>
      </c>
      <c r="AP83" s="810">
        <v>23277</v>
      </c>
      <c r="AQ83" s="810">
        <f>AP83*$AH$4</f>
        <v>23277</v>
      </c>
      <c r="AR83" s="810">
        <v>22507</v>
      </c>
      <c r="AS83" s="1410">
        <f>AR83*$AH$4</f>
        <v>22507</v>
      </c>
      <c r="AT83" s="809">
        <f>'[1]BUDGET DETAIL'!$CX$240</f>
        <v>24482</v>
      </c>
      <c r="AU83" s="810">
        <f t="shared" si="33"/>
        <v>1975</v>
      </c>
      <c r="AV83" s="2274">
        <f t="shared" si="31"/>
        <v>8.7750477629182033E-2</v>
      </c>
      <c r="AW83" s="1564"/>
      <c r="AX83" s="2016" t="str">
        <f t="shared" si="32"/>
        <v/>
      </c>
      <c r="AY83" s="2016"/>
      <c r="AZ83" s="2016"/>
      <c r="BA83" s="2016"/>
      <c r="BB83" s="2016"/>
      <c r="BC83" s="2332"/>
    </row>
    <row r="84" spans="1:55" ht="14" hidden="1" customHeight="1" outlineLevel="1" x14ac:dyDescent="0.25">
      <c r="A84" s="842" t="s">
        <v>813</v>
      </c>
      <c r="B84" s="781">
        <f>SUM(B81:B83)</f>
        <v>92867</v>
      </c>
      <c r="C84" s="868">
        <f t="shared" ref="C84:O84" si="34">SUM(C81:C83)</f>
        <v>91822.950000000012</v>
      </c>
      <c r="D84" s="868">
        <f t="shared" si="34"/>
        <v>93343</v>
      </c>
      <c r="E84" s="868">
        <f t="shared" si="34"/>
        <v>91751.83</v>
      </c>
      <c r="F84" s="868">
        <f t="shared" si="34"/>
        <v>93343</v>
      </c>
      <c r="G84" s="868">
        <f t="shared" si="34"/>
        <v>92239.81</v>
      </c>
      <c r="H84" s="868">
        <f t="shared" si="34"/>
        <v>92985</v>
      </c>
      <c r="I84" s="868">
        <f t="shared" si="34"/>
        <v>92825.279999999999</v>
      </c>
      <c r="J84" s="869">
        <f t="shared" si="34"/>
        <v>95539</v>
      </c>
      <c r="K84" s="785" t="s">
        <v>455</v>
      </c>
      <c r="L84" s="879">
        <f t="shared" si="34"/>
        <v>98271.66</v>
      </c>
      <c r="M84" s="879">
        <f t="shared" si="34"/>
        <v>101672.489</v>
      </c>
      <c r="N84" s="880">
        <f t="shared" si="34"/>
        <v>102510</v>
      </c>
      <c r="O84" s="880">
        <f t="shared" si="34"/>
        <v>99638</v>
      </c>
      <c r="P84" s="888">
        <f>SUM(P81:P83)</f>
        <v>78070</v>
      </c>
      <c r="Q84" s="819">
        <f>IF(SUM(Q81:Q83)=0,P84,SUM(Q81:Q83))</f>
        <v>78070</v>
      </c>
      <c r="R84" s="880">
        <f>SUM(R81:R83)</f>
        <v>80612</v>
      </c>
      <c r="S84" s="819">
        <f>IF(SUM(S81:S83)=0,R84,SUM(S81:S83))</f>
        <v>80612</v>
      </c>
      <c r="T84" s="785">
        <v>85048</v>
      </c>
      <c r="U84" s="785">
        <v>87144</v>
      </c>
      <c r="V84" s="880">
        <f>SUM(V81:V83)</f>
        <v>86279</v>
      </c>
      <c r="W84" s="819">
        <f>IF(SUM(W81:W83)=0,V84,SUM(W81:W83))</f>
        <v>82262</v>
      </c>
      <c r="X84" s="880">
        <f>SUM(X81:X83)</f>
        <v>87515</v>
      </c>
      <c r="Y84" s="819">
        <f>IF(SUM(Y81:Y83)=0,X84,SUM(Y81:Y83))</f>
        <v>94733</v>
      </c>
      <c r="Z84" s="880">
        <f>SUM(Z81:Z83)</f>
        <v>102517</v>
      </c>
      <c r="AA84" s="819">
        <f>IF(SUM(AA81:AA83)=0,Z84,SUM(AA81:AA83))</f>
        <v>102517</v>
      </c>
      <c r="AB84" s="880">
        <f>SUM(AB81:AB83)</f>
        <v>109531</v>
      </c>
      <c r="AC84" s="819">
        <f>IF(SUM(AC81:AC83)=0,AB84,SUM(AC81:AC83))</f>
        <v>109531</v>
      </c>
      <c r="AD84" s="819"/>
      <c r="AE84" s="819">
        <v>101596</v>
      </c>
      <c r="AF84" s="819">
        <v>101596</v>
      </c>
      <c r="AG84" s="819">
        <v>104237.83</v>
      </c>
      <c r="AH84" s="819">
        <v>115159</v>
      </c>
      <c r="AI84" s="785">
        <v>118116.22</v>
      </c>
      <c r="AJ84" s="785">
        <v>120790</v>
      </c>
      <c r="AK84" s="785">
        <v>123997.15</v>
      </c>
      <c r="AL84" s="785">
        <v>123292</v>
      </c>
      <c r="AM84" s="785">
        <f t="shared" ref="AM84:AT84" si="35">SUM(AM81:AM83)</f>
        <v>125415.9</v>
      </c>
      <c r="AN84" s="785">
        <f t="shared" si="35"/>
        <v>125749</v>
      </c>
      <c r="AO84" s="785">
        <f t="shared" si="35"/>
        <v>127854.84</v>
      </c>
      <c r="AP84" s="785">
        <f t="shared" si="35"/>
        <v>140093</v>
      </c>
      <c r="AQ84" s="785">
        <f t="shared" si="35"/>
        <v>142429.32</v>
      </c>
      <c r="AR84" s="785">
        <f t="shared" si="35"/>
        <v>145356</v>
      </c>
      <c r="AS84" s="820">
        <f t="shared" ref="AS84" si="36">SUM(AS81:AS83)</f>
        <v>147812.98000000001</v>
      </c>
      <c r="AT84" s="819">
        <f t="shared" si="35"/>
        <v>156107</v>
      </c>
      <c r="AU84" s="785">
        <f t="shared" si="33"/>
        <v>10751</v>
      </c>
      <c r="AV84" s="2275">
        <f t="shared" si="31"/>
        <v>7.3963235091774673E-2</v>
      </c>
      <c r="AW84" s="778"/>
      <c r="AX84" s="2016"/>
      <c r="AY84" s="2016"/>
      <c r="AZ84" s="2016"/>
      <c r="BA84" s="2518">
        <f>POWER(AT84/AJ84,1/5)-1</f>
        <v>5.2636146748932688E-2</v>
      </c>
      <c r="BB84" s="2518">
        <f>POWER(AT84/AA84,1/9)-1</f>
        <v>4.7832421663389413E-2</v>
      </c>
      <c r="BC84" s="2332"/>
    </row>
    <row r="85" spans="1:55" ht="14" hidden="1" customHeight="1" outlineLevel="1" x14ac:dyDescent="0.25">
      <c r="A85" s="821"/>
      <c r="B85" s="791"/>
      <c r="C85" s="792"/>
      <c r="D85" s="792"/>
      <c r="E85" s="793"/>
      <c r="F85" s="792"/>
      <c r="G85" s="794"/>
      <c r="H85" s="794"/>
      <c r="I85" s="795"/>
      <c r="J85" s="846"/>
      <c r="K85" s="822"/>
      <c r="L85" s="829"/>
      <c r="M85" s="830"/>
      <c r="N85" s="824"/>
      <c r="O85" s="822"/>
      <c r="P85" s="822"/>
      <c r="Q85" s="822"/>
      <c r="R85" s="822"/>
      <c r="S85" s="822"/>
      <c r="T85" s="822"/>
      <c r="U85" s="822"/>
      <c r="V85" s="822"/>
      <c r="W85" s="822"/>
      <c r="X85" s="822"/>
      <c r="Y85" s="822"/>
      <c r="Z85" s="822"/>
      <c r="AA85" s="822"/>
      <c r="AB85" s="822"/>
      <c r="AC85" s="822"/>
      <c r="AD85" s="822"/>
      <c r="AE85" s="822"/>
      <c r="AF85" s="822"/>
      <c r="AG85" s="822"/>
      <c r="AH85" s="822"/>
      <c r="AI85" s="822"/>
      <c r="AJ85" s="822"/>
      <c r="AK85" s="822"/>
      <c r="AL85" s="822"/>
      <c r="AM85" s="822"/>
      <c r="AN85" s="822"/>
      <c r="AO85" s="822"/>
      <c r="AP85" s="822"/>
      <c r="AQ85" s="822"/>
      <c r="AR85" s="822"/>
      <c r="AS85" s="1160"/>
      <c r="AT85" s="823"/>
      <c r="AU85" s="822" t="str">
        <f t="shared" si="33"/>
        <v/>
      </c>
      <c r="AV85" s="2276" t="str">
        <f t="shared" si="31"/>
        <v/>
      </c>
      <c r="AW85" s="803"/>
      <c r="AX85" s="2016" t="str">
        <f t="shared" si="32"/>
        <v/>
      </c>
      <c r="AY85" s="2016"/>
      <c r="AZ85" s="2016"/>
      <c r="BA85" s="2016"/>
      <c r="BB85" s="2016"/>
    </row>
    <row r="86" spans="1:55" ht="14" hidden="1" customHeight="1" outlineLevel="1" x14ac:dyDescent="0.25">
      <c r="A86" s="779" t="s">
        <v>676</v>
      </c>
      <c r="B86" s="772"/>
      <c r="C86" s="773"/>
      <c r="D86" s="773"/>
      <c r="E86" s="804"/>
      <c r="F86" s="773"/>
      <c r="G86" s="774"/>
      <c r="H86" s="774"/>
      <c r="J86" s="847"/>
      <c r="K86" s="825"/>
      <c r="L86" s="831"/>
      <c r="M86" s="831"/>
      <c r="N86" s="805"/>
      <c r="O86" s="825"/>
      <c r="P86" s="825"/>
      <c r="Q86" s="825"/>
      <c r="R86" s="825"/>
      <c r="S86" s="825"/>
      <c r="T86" s="825"/>
      <c r="U86" s="825"/>
      <c r="V86" s="825"/>
      <c r="W86" s="825"/>
      <c r="X86" s="825"/>
      <c r="Y86" s="825"/>
      <c r="Z86" s="825"/>
      <c r="AA86" s="825"/>
      <c r="AB86" s="825"/>
      <c r="AC86" s="825"/>
      <c r="AD86" s="825"/>
      <c r="AE86" s="825"/>
      <c r="AF86" s="825"/>
      <c r="AG86" s="825"/>
      <c r="AH86" s="825"/>
      <c r="AI86" s="825"/>
      <c r="AJ86" s="825"/>
      <c r="AK86" s="825"/>
      <c r="AL86" s="825"/>
      <c r="AM86" s="825"/>
      <c r="AN86" s="825"/>
      <c r="AO86" s="825"/>
      <c r="AP86" s="825"/>
      <c r="AQ86" s="825"/>
      <c r="AR86" s="825"/>
      <c r="AS86" s="825"/>
      <c r="AT86" s="825"/>
      <c r="AU86" s="825" t="str">
        <f t="shared" ref="AU86:AU101" si="37">IF(AL86&gt;0,AN86-AL86,"")</f>
        <v/>
      </c>
      <c r="AV86" s="2316" t="str">
        <f t="shared" si="31"/>
        <v/>
      </c>
      <c r="AW86" s="778"/>
      <c r="AX86" s="2016" t="str">
        <f t="shared" si="32"/>
        <v/>
      </c>
      <c r="AY86" s="2016"/>
      <c r="AZ86" s="2016"/>
      <c r="BA86" s="2016"/>
      <c r="BB86" s="2016"/>
      <c r="BC86" s="2011" t="s">
        <v>1072</v>
      </c>
    </row>
    <row r="87" spans="1:55" ht="14" hidden="1" customHeight="1" outlineLevel="1" x14ac:dyDescent="0.25">
      <c r="A87" s="779" t="s">
        <v>677</v>
      </c>
      <c r="B87" s="772">
        <v>1000</v>
      </c>
      <c r="C87" s="773">
        <v>1000</v>
      </c>
      <c r="D87" s="773">
        <v>1000</v>
      </c>
      <c r="E87" s="773">
        <v>1000</v>
      </c>
      <c r="F87" s="773">
        <v>1000</v>
      </c>
      <c r="G87" s="774">
        <v>1000</v>
      </c>
      <c r="H87" s="774">
        <v>1000</v>
      </c>
      <c r="I87" s="712">
        <v>1000</v>
      </c>
      <c r="J87" s="806">
        <v>1000</v>
      </c>
      <c r="K87" s="788"/>
      <c r="L87" s="840">
        <v>833.33</v>
      </c>
      <c r="M87" s="807">
        <v>1000</v>
      </c>
      <c r="N87" s="808">
        <v>990</v>
      </c>
      <c r="O87" s="788">
        <v>0</v>
      </c>
      <c r="P87" s="788"/>
      <c r="Q87" s="788"/>
      <c r="R87" s="788"/>
      <c r="S87" s="788"/>
      <c r="T87" s="788"/>
      <c r="U87" s="788"/>
      <c r="V87" s="788"/>
      <c r="W87" s="788"/>
      <c r="X87" s="788"/>
      <c r="Y87" s="788"/>
      <c r="Z87" s="810">
        <f>Y87*(1+$A$2/100)</f>
        <v>0</v>
      </c>
      <c r="AA87" s="788"/>
      <c r="AB87" s="810">
        <f>AA87*(1+$A$2/100)</f>
        <v>0</v>
      </c>
      <c r="AC87" s="788"/>
      <c r="AD87" s="788"/>
      <c r="AE87" s="788"/>
      <c r="AF87" s="810">
        <v>0</v>
      </c>
      <c r="AG87" s="810"/>
      <c r="AH87" s="810"/>
      <c r="AI87" s="788"/>
      <c r="AJ87" s="788"/>
      <c r="AK87" s="788"/>
      <c r="AL87" s="788"/>
      <c r="AM87" s="788"/>
      <c r="AN87" s="788"/>
      <c r="AO87" s="788"/>
      <c r="AP87" s="788"/>
      <c r="AQ87" s="788"/>
      <c r="AR87" s="788"/>
      <c r="AS87" s="788"/>
      <c r="AT87" s="788"/>
      <c r="AU87" s="788" t="str">
        <f t="shared" si="37"/>
        <v/>
      </c>
      <c r="AV87" s="2314" t="str">
        <f t="shared" si="31"/>
        <v/>
      </c>
      <c r="AW87" s="789"/>
      <c r="AX87" s="2016" t="str">
        <f t="shared" si="32"/>
        <v/>
      </c>
      <c r="AY87" s="2016"/>
      <c r="AZ87" s="2016"/>
      <c r="BA87" s="2016"/>
      <c r="BB87" s="2016"/>
      <c r="BC87" s="2019" t="s">
        <v>1072</v>
      </c>
    </row>
    <row r="88" spans="1:55" ht="14" hidden="1" customHeight="1" outlineLevel="1" x14ac:dyDescent="0.25">
      <c r="A88" s="779" t="s">
        <v>551</v>
      </c>
      <c r="B88" s="889">
        <v>0</v>
      </c>
      <c r="C88" s="775">
        <v>0</v>
      </c>
      <c r="D88" s="775">
        <v>0</v>
      </c>
      <c r="E88" s="773"/>
      <c r="F88" s="775">
        <v>0</v>
      </c>
      <c r="G88" s="777">
        <v>0</v>
      </c>
      <c r="H88" s="777">
        <v>0</v>
      </c>
      <c r="I88" s="727">
        <v>0</v>
      </c>
      <c r="J88" s="806">
        <v>0</v>
      </c>
      <c r="K88" s="788"/>
      <c r="L88" s="812">
        <v>0</v>
      </c>
      <c r="M88" s="807">
        <f>L88*(1+AV$8)</f>
        <v>0</v>
      </c>
      <c r="N88" s="808">
        <f>M88*(1+AV$8)</f>
        <v>0</v>
      </c>
      <c r="O88" s="788"/>
      <c r="P88" s="788"/>
      <c r="Q88" s="788"/>
      <c r="R88" s="788"/>
      <c r="S88" s="788"/>
      <c r="T88" s="788"/>
      <c r="U88" s="788"/>
      <c r="V88" s="788"/>
      <c r="W88" s="788"/>
      <c r="X88" s="788"/>
      <c r="Y88" s="788"/>
      <c r="Z88" s="810">
        <f>Y88*(1+$A$2/100)</f>
        <v>0</v>
      </c>
      <c r="AA88" s="788"/>
      <c r="AB88" s="810">
        <f>AA88*(1+$A$2/100)</f>
        <v>0</v>
      </c>
      <c r="AC88" s="788"/>
      <c r="AD88" s="788"/>
      <c r="AE88" s="788"/>
      <c r="AF88" s="810">
        <v>0</v>
      </c>
      <c r="AG88" s="810"/>
      <c r="AH88" s="810"/>
      <c r="AI88" s="788"/>
      <c r="AJ88" s="788"/>
      <c r="AK88" s="788"/>
      <c r="AL88" s="788"/>
      <c r="AM88" s="788"/>
      <c r="AN88" s="788"/>
      <c r="AO88" s="788"/>
      <c r="AP88" s="788"/>
      <c r="AQ88" s="788"/>
      <c r="AR88" s="788"/>
      <c r="AS88" s="788"/>
      <c r="AT88" s="788"/>
      <c r="AU88" s="788" t="str">
        <f t="shared" si="37"/>
        <v/>
      </c>
      <c r="AV88" s="2314" t="str">
        <f t="shared" si="31"/>
        <v/>
      </c>
      <c r="AW88" s="778"/>
      <c r="AX88" s="2016" t="str">
        <f t="shared" si="32"/>
        <v/>
      </c>
      <c r="AY88" s="2016"/>
      <c r="AZ88" s="2016"/>
      <c r="BA88" s="2016"/>
      <c r="BB88" s="2016"/>
      <c r="BC88" s="2011" t="s">
        <v>1072</v>
      </c>
    </row>
    <row r="89" spans="1:55" ht="14" hidden="1" customHeight="1" outlineLevel="1" x14ac:dyDescent="0.25">
      <c r="A89" s="779" t="s">
        <v>812</v>
      </c>
      <c r="B89" s="772">
        <v>100</v>
      </c>
      <c r="C89" s="773">
        <v>0</v>
      </c>
      <c r="D89" s="773">
        <v>100</v>
      </c>
      <c r="E89" s="773">
        <v>0</v>
      </c>
      <c r="F89" s="773">
        <v>100</v>
      </c>
      <c r="G89" s="774"/>
      <c r="H89" s="774">
        <v>100</v>
      </c>
      <c r="I89" s="712">
        <v>0</v>
      </c>
      <c r="J89" s="784">
        <v>100</v>
      </c>
      <c r="K89" s="785" t="s">
        <v>197</v>
      </c>
      <c r="L89" s="812">
        <v>0</v>
      </c>
      <c r="M89" s="812">
        <v>100</v>
      </c>
      <c r="N89" s="813">
        <v>0</v>
      </c>
      <c r="O89" s="788">
        <v>100</v>
      </c>
      <c r="P89" s="788">
        <v>100</v>
      </c>
      <c r="Q89" s="788">
        <v>100</v>
      </c>
      <c r="R89" s="788">
        <v>100</v>
      </c>
      <c r="S89" s="788"/>
      <c r="T89" s="788">
        <v>100</v>
      </c>
      <c r="U89" s="788">
        <v>100</v>
      </c>
      <c r="V89" s="810">
        <v>100</v>
      </c>
      <c r="W89" s="788">
        <f>V89</f>
        <v>100</v>
      </c>
      <c r="X89" s="810">
        <v>100</v>
      </c>
      <c r="Y89" s="810">
        <v>100</v>
      </c>
      <c r="Z89" s="810">
        <v>100</v>
      </c>
      <c r="AA89" s="810">
        <f>Z89</f>
        <v>100</v>
      </c>
      <c r="AB89" s="810">
        <v>100</v>
      </c>
      <c r="AC89" s="810">
        <f>AB89</f>
        <v>100</v>
      </c>
      <c r="AD89" s="810"/>
      <c r="AE89" s="810">
        <v>0.01</v>
      </c>
      <c r="AF89" s="810"/>
      <c r="AG89" s="810">
        <v>0.01</v>
      </c>
      <c r="AH89" s="810"/>
      <c r="AI89" s="810">
        <v>0.01</v>
      </c>
      <c r="AJ89" s="810">
        <v>0</v>
      </c>
      <c r="AK89" s="810"/>
      <c r="AL89" s="810"/>
      <c r="AM89" s="810"/>
      <c r="AN89" s="810"/>
      <c r="AO89" s="810"/>
      <c r="AP89" s="810"/>
      <c r="AQ89" s="810"/>
      <c r="AR89" s="810"/>
      <c r="AS89" s="810"/>
      <c r="AT89" s="810"/>
      <c r="AU89" s="810" t="str">
        <f t="shared" si="37"/>
        <v/>
      </c>
      <c r="AV89" s="2316" t="str">
        <f t="shared" si="31"/>
        <v/>
      </c>
      <c r="AW89" s="789"/>
      <c r="AX89" s="2016" t="str">
        <f t="shared" si="32"/>
        <v/>
      </c>
      <c r="AY89" s="2016"/>
      <c r="AZ89" s="2016"/>
      <c r="BA89" s="2016"/>
      <c r="BB89" s="2016"/>
      <c r="BC89" s="2019" t="s">
        <v>1072</v>
      </c>
    </row>
    <row r="90" spans="1:55" ht="14" hidden="1" customHeight="1" outlineLevel="1" x14ac:dyDescent="0.25">
      <c r="A90" s="842" t="s">
        <v>813</v>
      </c>
      <c r="B90" s="780">
        <f>SUM(B87:B89)</f>
        <v>1100</v>
      </c>
      <c r="C90" s="781">
        <f>SUM(C87:C89)</f>
        <v>1000</v>
      </c>
      <c r="D90" s="781">
        <f t="shared" ref="D90:N90" si="38">SUM(D87:D89)</f>
        <v>1100</v>
      </c>
      <c r="E90" s="781">
        <f t="shared" si="38"/>
        <v>1000</v>
      </c>
      <c r="F90" s="781">
        <f t="shared" si="38"/>
        <v>1100</v>
      </c>
      <c r="G90" s="781">
        <f t="shared" si="38"/>
        <v>1000</v>
      </c>
      <c r="H90" s="781">
        <f t="shared" si="38"/>
        <v>1100</v>
      </c>
      <c r="I90" s="781">
        <f t="shared" si="38"/>
        <v>1000</v>
      </c>
      <c r="J90" s="784">
        <v>1100</v>
      </c>
      <c r="K90" s="785" t="s">
        <v>455</v>
      </c>
      <c r="L90" s="843">
        <f t="shared" si="38"/>
        <v>833.33</v>
      </c>
      <c r="M90" s="843">
        <f t="shared" si="38"/>
        <v>1100</v>
      </c>
      <c r="N90" s="844">
        <f t="shared" si="38"/>
        <v>990</v>
      </c>
      <c r="O90" s="785">
        <f>SUM(O87:O89)</f>
        <v>100</v>
      </c>
      <c r="P90" s="788">
        <f>SUM(P87:P89)</f>
        <v>100</v>
      </c>
      <c r="Q90" s="819">
        <f>IF(SUM(Q87:Q89)=0,P90,SUM(Q87:Q89))</f>
        <v>100</v>
      </c>
      <c r="R90" s="788">
        <f>SUM(R87:R89)</f>
        <v>100</v>
      </c>
      <c r="S90" s="819">
        <f>IF(SUM(S87:S89)=0,R90,SUM(S87:S89))</f>
        <v>100</v>
      </c>
      <c r="T90" s="785">
        <v>100</v>
      </c>
      <c r="U90" s="785">
        <v>100</v>
      </c>
      <c r="V90" s="788">
        <f>SUM(V87:V89)</f>
        <v>100</v>
      </c>
      <c r="W90" s="819">
        <f>IF(SUM(W87:W89)=0,V90,SUM(W87:W89))</f>
        <v>100</v>
      </c>
      <c r="X90" s="788">
        <f>SUM(X87:X89)</f>
        <v>100</v>
      </c>
      <c r="Y90" s="819">
        <f>IF(SUM(Y87:Y89)=0,X90,SUM(Y87:Y89))</f>
        <v>100</v>
      </c>
      <c r="Z90" s="788">
        <f>SUM(Z87:Z89)</f>
        <v>100</v>
      </c>
      <c r="AA90" s="819">
        <f>IF(SUM(AA87:AA89)=0,Z90,SUM(AA87:AA89))</f>
        <v>100</v>
      </c>
      <c r="AB90" s="788">
        <f>SUM(AB87:AB89)</f>
        <v>100</v>
      </c>
      <c r="AC90" s="819">
        <f>IF(SUM(AC87:AC89)=0,AB90,SUM(AC87:AC89))</f>
        <v>100</v>
      </c>
      <c r="AD90" s="819"/>
      <c r="AE90" s="819">
        <v>0.01</v>
      </c>
      <c r="AF90" s="819">
        <v>0.01</v>
      </c>
      <c r="AG90" s="819">
        <v>0.01</v>
      </c>
      <c r="AH90" s="819"/>
      <c r="AI90" s="785">
        <v>0.01</v>
      </c>
      <c r="AJ90" s="785">
        <v>0</v>
      </c>
      <c r="AK90" s="785"/>
      <c r="AL90" s="785"/>
      <c r="AM90" s="785"/>
      <c r="AN90" s="785"/>
      <c r="AO90" s="785"/>
      <c r="AP90" s="785"/>
      <c r="AQ90" s="785"/>
      <c r="AR90" s="785"/>
      <c r="AS90" s="785"/>
      <c r="AT90" s="785"/>
      <c r="AU90" s="785" t="str">
        <f t="shared" si="37"/>
        <v/>
      </c>
      <c r="AV90" s="2317" t="str">
        <f t="shared" si="31"/>
        <v/>
      </c>
      <c r="AW90" s="778"/>
      <c r="AX90" s="2016" t="str">
        <f t="shared" si="32"/>
        <v/>
      </c>
      <c r="AY90" s="2016"/>
      <c r="AZ90" s="2016"/>
      <c r="BA90" s="2016"/>
      <c r="BB90" s="2016"/>
      <c r="BC90" s="2011" t="s">
        <v>1072</v>
      </c>
    </row>
    <row r="91" spans="1:55" ht="14" hidden="1" customHeight="1" outlineLevel="1" x14ac:dyDescent="0.25">
      <c r="A91" s="821"/>
      <c r="B91" s="791"/>
      <c r="C91" s="792"/>
      <c r="D91" s="792"/>
      <c r="E91" s="793"/>
      <c r="F91" s="792"/>
      <c r="G91" s="794"/>
      <c r="H91" s="794"/>
      <c r="I91" s="795"/>
      <c r="J91" s="846"/>
      <c r="K91" s="822"/>
      <c r="L91" s="829"/>
      <c r="M91" s="830"/>
      <c r="N91" s="824"/>
      <c r="O91" s="822"/>
      <c r="P91" s="822"/>
      <c r="Q91" s="822"/>
      <c r="R91" s="822"/>
      <c r="S91" s="822"/>
      <c r="T91" s="822"/>
      <c r="U91" s="822"/>
      <c r="V91" s="822"/>
      <c r="W91" s="822"/>
      <c r="X91" s="822"/>
      <c r="Y91" s="822"/>
      <c r="Z91" s="822"/>
      <c r="AA91" s="822"/>
      <c r="AB91" s="822"/>
      <c r="AC91" s="822"/>
      <c r="AD91" s="822"/>
      <c r="AE91" s="822"/>
      <c r="AF91" s="822"/>
      <c r="AG91" s="822"/>
      <c r="AH91" s="822"/>
      <c r="AI91" s="822"/>
      <c r="AJ91" s="822"/>
      <c r="AK91" s="822"/>
      <c r="AL91" s="822"/>
      <c r="AM91" s="822"/>
      <c r="AN91" s="822"/>
      <c r="AO91" s="822"/>
      <c r="AP91" s="822"/>
      <c r="AQ91" s="822"/>
      <c r="AR91" s="822"/>
      <c r="AS91" s="822"/>
      <c r="AT91" s="822"/>
      <c r="AU91" s="822" t="str">
        <f t="shared" si="37"/>
        <v/>
      </c>
      <c r="AV91" s="2318" t="str">
        <f t="shared" si="31"/>
        <v/>
      </c>
      <c r="AW91" s="803"/>
      <c r="AX91" s="2016" t="str">
        <f t="shared" si="32"/>
        <v/>
      </c>
      <c r="AY91" s="2016"/>
      <c r="AZ91" s="2016"/>
      <c r="BA91" s="2016"/>
      <c r="BB91" s="2016"/>
      <c r="BC91" s="2011" t="s">
        <v>1072</v>
      </c>
    </row>
    <row r="92" spans="1:55" ht="14" hidden="1" customHeight="1" outlineLevel="1" x14ac:dyDescent="0.25">
      <c r="A92" s="779" t="s">
        <v>424</v>
      </c>
      <c r="B92" s="772"/>
      <c r="C92" s="773"/>
      <c r="D92" s="773"/>
      <c r="E92" s="804"/>
      <c r="F92" s="773"/>
      <c r="G92" s="774"/>
      <c r="H92" s="774"/>
      <c r="J92" s="847"/>
      <c r="K92" s="825"/>
      <c r="L92" s="831"/>
      <c r="M92" s="831"/>
      <c r="N92" s="805"/>
      <c r="O92" s="825"/>
      <c r="P92" s="825"/>
      <c r="Q92" s="825"/>
      <c r="R92" s="825"/>
      <c r="S92" s="825"/>
      <c r="T92" s="825"/>
      <c r="U92" s="825"/>
      <c r="V92" s="825"/>
      <c r="W92" s="825"/>
      <c r="X92" s="825"/>
      <c r="Y92" s="825"/>
      <c r="Z92" s="825"/>
      <c r="AA92" s="825"/>
      <c r="AB92" s="825"/>
      <c r="AC92" s="825"/>
      <c r="AD92" s="825"/>
      <c r="AE92" s="825"/>
      <c r="AF92" s="825"/>
      <c r="AG92" s="825"/>
      <c r="AH92" s="825"/>
      <c r="AI92" s="825"/>
      <c r="AJ92" s="825"/>
      <c r="AK92" s="825"/>
      <c r="AL92" s="825"/>
      <c r="AM92" s="825"/>
      <c r="AN92" s="825"/>
      <c r="AO92" s="825"/>
      <c r="AP92" s="825"/>
      <c r="AQ92" s="825"/>
      <c r="AR92" s="825"/>
      <c r="AS92" s="1110"/>
      <c r="AT92" s="1040"/>
      <c r="AU92" s="825" t="str">
        <f t="shared" ref="AU92:AU97" si="39">IF(AR92&gt;0,AT92-AR92,"")</f>
        <v/>
      </c>
      <c r="AV92" s="2274" t="str">
        <f t="shared" si="31"/>
        <v/>
      </c>
      <c r="AW92" s="778"/>
      <c r="AX92" s="2016" t="str">
        <f t="shared" si="32"/>
        <v/>
      </c>
      <c r="AY92" s="2016"/>
      <c r="AZ92" s="2016"/>
      <c r="BA92" s="2016"/>
      <c r="BB92" s="2016"/>
    </row>
    <row r="93" spans="1:55" ht="14" hidden="1" customHeight="1" outlineLevel="1" x14ac:dyDescent="0.25">
      <c r="A93" s="1436" t="s">
        <v>560</v>
      </c>
      <c r="B93" s="775">
        <v>35440</v>
      </c>
      <c r="C93" s="775">
        <v>35440</v>
      </c>
      <c r="D93" s="850">
        <v>37088</v>
      </c>
      <c r="E93" s="773">
        <v>37088</v>
      </c>
      <c r="F93" s="850">
        <v>37088</v>
      </c>
      <c r="G93" s="851">
        <v>37088</v>
      </c>
      <c r="H93" s="851">
        <v>37929</v>
      </c>
      <c r="I93" s="851">
        <v>37496.47</v>
      </c>
      <c r="J93" s="806">
        <v>45095</v>
      </c>
      <c r="K93" s="788"/>
      <c r="L93" s="840">
        <v>45703</v>
      </c>
      <c r="M93" s="852">
        <v>58671</v>
      </c>
      <c r="N93" s="808">
        <v>54760</v>
      </c>
      <c r="O93" s="788">
        <v>54760</v>
      </c>
      <c r="P93" s="810">
        <v>54760</v>
      </c>
      <c r="Q93" s="810">
        <v>54760</v>
      </c>
      <c r="R93" s="810">
        <v>54760</v>
      </c>
      <c r="S93" s="788"/>
      <c r="T93" s="788">
        <v>61390</v>
      </c>
      <c r="U93" s="788">
        <v>61390</v>
      </c>
      <c r="V93" s="810">
        <v>67618</v>
      </c>
      <c r="W93" s="788">
        <f>V93</f>
        <v>67618</v>
      </c>
      <c r="X93" s="810">
        <v>68955</v>
      </c>
      <c r="Y93" s="810">
        <v>68955</v>
      </c>
      <c r="Z93" s="810">
        <v>72979</v>
      </c>
      <c r="AA93" s="810">
        <f>Z93</f>
        <v>72979</v>
      </c>
      <c r="AB93" s="810">
        <v>74956</v>
      </c>
      <c r="AC93" s="810">
        <f>AB93</f>
        <v>74956</v>
      </c>
      <c r="AD93" s="810"/>
      <c r="AE93" s="810">
        <v>61672</v>
      </c>
      <c r="AF93" s="810"/>
      <c r="AG93" s="810">
        <v>63522.16</v>
      </c>
      <c r="AH93" s="810">
        <v>64647</v>
      </c>
      <c r="AI93" s="810">
        <v>66586.41</v>
      </c>
      <c r="AJ93" s="810">
        <v>68246</v>
      </c>
      <c r="AK93" s="810">
        <v>70293.38</v>
      </c>
      <c r="AL93" s="810">
        <v>69907</v>
      </c>
      <c r="AM93" s="810">
        <f>AL93*$AH$3</f>
        <v>71305.14</v>
      </c>
      <c r="AN93" s="810">
        <v>71306</v>
      </c>
      <c r="AO93" s="810">
        <v>73088.649999999994</v>
      </c>
      <c r="AP93" s="810">
        <v>72726</v>
      </c>
      <c r="AQ93" s="810">
        <f>AP93*$AH$3</f>
        <v>74180.52</v>
      </c>
      <c r="AR93" s="810">
        <v>74303</v>
      </c>
      <c r="AS93" s="1410">
        <f>AR93*$AH$3</f>
        <v>75789.06</v>
      </c>
      <c r="AT93" s="809">
        <f>'[1]BUDGET DETAIL'!$CX$253</f>
        <v>77585</v>
      </c>
      <c r="AU93" s="810">
        <f t="shared" si="39"/>
        <v>3282</v>
      </c>
      <c r="AV93" s="2274">
        <f t="shared" si="31"/>
        <v>4.4170491097263904E-2</v>
      </c>
      <c r="AW93" s="890"/>
      <c r="AX93" s="2016"/>
      <c r="AY93" s="2016"/>
      <c r="AZ93" s="2016"/>
      <c r="BA93" s="2016"/>
      <c r="BB93" s="2016"/>
      <c r="BC93" s="2027"/>
    </row>
    <row r="94" spans="1:55" ht="14" hidden="1" customHeight="1" outlineLevel="1" x14ac:dyDescent="0.25">
      <c r="A94" s="779" t="s">
        <v>551</v>
      </c>
      <c r="B94" s="775">
        <v>0</v>
      </c>
      <c r="C94" s="775">
        <v>0</v>
      </c>
      <c r="D94" s="775">
        <v>0</v>
      </c>
      <c r="E94" s="773">
        <v>0</v>
      </c>
      <c r="F94" s="775">
        <v>0</v>
      </c>
      <c r="G94" s="777"/>
      <c r="H94" s="777"/>
      <c r="I94" s="777">
        <v>0</v>
      </c>
      <c r="J94" s="806">
        <v>0</v>
      </c>
      <c r="K94" s="788">
        <v>0</v>
      </c>
      <c r="L94" s="812">
        <v>0</v>
      </c>
      <c r="M94" s="855">
        <v>23020</v>
      </c>
      <c r="N94" s="808">
        <v>14731</v>
      </c>
      <c r="O94" s="788">
        <v>14167</v>
      </c>
      <c r="P94" s="788">
        <v>14127</v>
      </c>
      <c r="Q94" s="788">
        <v>14127</v>
      </c>
      <c r="R94" s="788">
        <v>14127</v>
      </c>
      <c r="S94" s="788"/>
      <c r="T94" s="788">
        <v>13707</v>
      </c>
      <c r="U94" s="788">
        <v>13707</v>
      </c>
      <c r="V94" s="810">
        <v>13659</v>
      </c>
      <c r="W94" s="788">
        <f>V94</f>
        <v>13659</v>
      </c>
      <c r="X94" s="810">
        <v>14079</v>
      </c>
      <c r="Y94" s="810">
        <v>14079</v>
      </c>
      <c r="Z94" s="810">
        <v>14797</v>
      </c>
      <c r="AA94" s="810">
        <f>Z94+2959</f>
        <v>17756</v>
      </c>
      <c r="AB94" s="810">
        <v>18481</v>
      </c>
      <c r="AC94" s="810">
        <f>AB94</f>
        <v>18481</v>
      </c>
      <c r="AD94" s="810"/>
      <c r="AE94" s="810">
        <v>18749</v>
      </c>
      <c r="AF94" s="810"/>
      <c r="AG94" s="810">
        <v>19311.47</v>
      </c>
      <c r="AH94" s="810">
        <v>19647</v>
      </c>
      <c r="AI94" s="810">
        <v>20236.41</v>
      </c>
      <c r="AJ94" s="810">
        <v>24240</v>
      </c>
      <c r="AK94" s="810">
        <v>24967.200000000001</v>
      </c>
      <c r="AL94" s="810">
        <v>24786</v>
      </c>
      <c r="AM94" s="810">
        <f>AL94*$AH$3</f>
        <v>25281.72</v>
      </c>
      <c r="AN94" s="810">
        <v>25291</v>
      </c>
      <c r="AO94" s="810">
        <v>25923.274999999998</v>
      </c>
      <c r="AP94" s="810">
        <v>25681</v>
      </c>
      <c r="AQ94" s="810">
        <f>AP94*$AH$3</f>
        <v>26194.62</v>
      </c>
      <c r="AR94" s="810">
        <v>26363</v>
      </c>
      <c r="AS94" s="1410">
        <f>AR94*$AH$3</f>
        <v>26890.260000000002</v>
      </c>
      <c r="AT94" s="809">
        <f>'[1]BUDGET DETAIL'!$CX$257</f>
        <v>27036</v>
      </c>
      <c r="AU94" s="810">
        <f t="shared" si="39"/>
        <v>673</v>
      </c>
      <c r="AV94" s="2274">
        <f t="shared" si="31"/>
        <v>2.5528202404885635E-2</v>
      </c>
      <c r="AW94" s="853"/>
      <c r="AX94" s="2016"/>
      <c r="AY94" s="2016"/>
      <c r="AZ94" s="2016"/>
      <c r="BA94" s="2016"/>
      <c r="BB94" s="2016"/>
      <c r="BC94" s="2025"/>
    </row>
    <row r="95" spans="1:55" ht="14" hidden="1" customHeight="1" outlineLevel="1" x14ac:dyDescent="0.25">
      <c r="A95" s="779" t="s">
        <v>812</v>
      </c>
      <c r="B95" s="775">
        <v>1370</v>
      </c>
      <c r="C95" s="775">
        <v>1370</v>
      </c>
      <c r="D95" s="775">
        <v>0</v>
      </c>
      <c r="E95" s="773">
        <v>0</v>
      </c>
      <c r="F95" s="775">
        <v>0</v>
      </c>
      <c r="G95" s="777"/>
      <c r="H95" s="777">
        <v>0</v>
      </c>
      <c r="I95" s="777"/>
      <c r="J95" s="806">
        <v>0</v>
      </c>
      <c r="K95" s="788">
        <v>0</v>
      </c>
      <c r="L95" s="812">
        <v>0</v>
      </c>
      <c r="M95" s="812">
        <v>0</v>
      </c>
      <c r="N95" s="813"/>
      <c r="O95" s="788">
        <v>0</v>
      </c>
      <c r="P95" s="788">
        <v>0</v>
      </c>
      <c r="Q95" s="788">
        <f>0</f>
        <v>0</v>
      </c>
      <c r="R95" s="788">
        <f>0</f>
        <v>0</v>
      </c>
      <c r="S95" s="788"/>
      <c r="T95" s="788">
        <v>0</v>
      </c>
      <c r="U95" s="788">
        <v>0</v>
      </c>
      <c r="V95" s="788">
        <f>0</f>
        <v>0</v>
      </c>
      <c r="W95" s="788">
        <f>V95</f>
        <v>0</v>
      </c>
      <c r="X95" s="788">
        <f>0</f>
        <v>0</v>
      </c>
      <c r="Y95" s="788">
        <f>X95</f>
        <v>0</v>
      </c>
      <c r="Z95" s="810">
        <f>Y95*(1+$A$4/100)</f>
        <v>0</v>
      </c>
      <c r="AA95" s="788">
        <f>Z95</f>
        <v>0</v>
      </c>
      <c r="AB95" s="810">
        <f>AA95*(1+$A$4/100)</f>
        <v>0</v>
      </c>
      <c r="AC95" s="891">
        <f>AB95</f>
        <v>0</v>
      </c>
      <c r="AD95" s="891"/>
      <c r="AE95" s="891"/>
      <c r="AF95" s="810">
        <v>0</v>
      </c>
      <c r="AG95" s="810"/>
      <c r="AH95" s="810"/>
      <c r="AI95" s="788"/>
      <c r="AJ95" s="788"/>
      <c r="AK95" s="810">
        <v>0</v>
      </c>
      <c r="AL95" s="788"/>
      <c r="AM95" s="788">
        <f>AL95*$AH$4</f>
        <v>0</v>
      </c>
      <c r="AN95" s="788"/>
      <c r="AO95" s="788">
        <f>AN95*$AH$4</f>
        <v>0</v>
      </c>
      <c r="AP95" s="788"/>
      <c r="AQ95" s="788">
        <f>AP95*$AH$4</f>
        <v>0</v>
      </c>
      <c r="AR95" s="788"/>
      <c r="AS95" s="841">
        <f>AR95*$AH$4</f>
        <v>0</v>
      </c>
      <c r="AT95" s="891"/>
      <c r="AU95" s="788" t="str">
        <f t="shared" si="39"/>
        <v/>
      </c>
      <c r="AV95" s="2272" t="str">
        <f t="shared" si="31"/>
        <v/>
      </c>
      <c r="AW95" s="778"/>
      <c r="AX95" s="2016" t="str">
        <f t="shared" si="32"/>
        <v/>
      </c>
      <c r="AY95" s="2016"/>
      <c r="AZ95" s="2016"/>
      <c r="BA95" s="2016"/>
      <c r="BB95" s="2016"/>
      <c r="BC95" s="2332"/>
    </row>
    <row r="96" spans="1:55" ht="14" hidden="1" customHeight="1" outlineLevel="1" x14ac:dyDescent="0.25">
      <c r="A96" s="842" t="s">
        <v>813</v>
      </c>
      <c r="B96" s="781">
        <f>SUM(B93:B95)</f>
        <v>36810</v>
      </c>
      <c r="C96" s="781">
        <f>SUM(C93:C95)</f>
        <v>36810</v>
      </c>
      <c r="D96" s="781">
        <f t="shared" ref="D96:N96" si="40">SUM(D93:D95)</f>
        <v>37088</v>
      </c>
      <c r="E96" s="781">
        <f t="shared" si="40"/>
        <v>37088</v>
      </c>
      <c r="F96" s="781">
        <f t="shared" si="40"/>
        <v>37088</v>
      </c>
      <c r="G96" s="781">
        <f t="shared" si="40"/>
        <v>37088</v>
      </c>
      <c r="H96" s="781">
        <f t="shared" si="40"/>
        <v>37929</v>
      </c>
      <c r="I96" s="781">
        <f t="shared" si="40"/>
        <v>37496.47</v>
      </c>
      <c r="J96" s="784">
        <v>45095</v>
      </c>
      <c r="K96" s="785" t="s">
        <v>455</v>
      </c>
      <c r="L96" s="843">
        <f t="shared" si="40"/>
        <v>45703</v>
      </c>
      <c r="M96" s="843">
        <f t="shared" si="40"/>
        <v>81691</v>
      </c>
      <c r="N96" s="844">
        <f t="shared" si="40"/>
        <v>69491</v>
      </c>
      <c r="O96" s="785">
        <f>SUM(O93:O95)</f>
        <v>68927</v>
      </c>
      <c r="P96" s="785">
        <f>SUM(P93:P95)</f>
        <v>68887</v>
      </c>
      <c r="Q96" s="819">
        <f>IF(SUM(Q93:Q95)=0,P96,SUM(Q93:Q95))</f>
        <v>68887</v>
      </c>
      <c r="R96" s="785">
        <f>SUM(R93:R95)</f>
        <v>68887</v>
      </c>
      <c r="S96" s="820">
        <f>IF(SUM(S93:S95)=0,R96,SUM(S93:S95))</f>
        <v>68887</v>
      </c>
      <c r="T96" s="820">
        <v>75097</v>
      </c>
      <c r="U96" s="820">
        <v>75097</v>
      </c>
      <c r="V96" s="785">
        <f>SUM(V93:V95)</f>
        <v>81277</v>
      </c>
      <c r="W96" s="820">
        <f>IF(SUM(W93:W95)=0,V96,SUM(W93:W95))</f>
        <v>81277</v>
      </c>
      <c r="X96" s="785">
        <f>SUM(X93:X95)</f>
        <v>83034</v>
      </c>
      <c r="Y96" s="820">
        <f>IF(SUM(Y93:Y95)=0,X96,SUM(Y93:Y95))</f>
        <v>83034</v>
      </c>
      <c r="Z96" s="785">
        <f>SUM(Z93:Z95)</f>
        <v>87776</v>
      </c>
      <c r="AA96" s="820">
        <f>IF(SUM(AA93:AA95)=0,Z96,SUM(AA93:AA95))</f>
        <v>90735</v>
      </c>
      <c r="AB96" s="785">
        <f>SUM(AB93:AB95)</f>
        <v>93437</v>
      </c>
      <c r="AC96" s="819">
        <f>IF(SUM(AC93:AC95)=0,AB96,SUM(AC93:AC95))</f>
        <v>93437</v>
      </c>
      <c r="AD96" s="819"/>
      <c r="AE96" s="819">
        <v>80421</v>
      </c>
      <c r="AF96" s="819">
        <v>80421</v>
      </c>
      <c r="AG96" s="819">
        <v>82833.63</v>
      </c>
      <c r="AH96" s="819">
        <v>84294</v>
      </c>
      <c r="AI96" s="785">
        <v>86822.82</v>
      </c>
      <c r="AJ96" s="785">
        <v>92486</v>
      </c>
      <c r="AK96" s="785">
        <v>95260.58</v>
      </c>
      <c r="AL96" s="785">
        <v>94693</v>
      </c>
      <c r="AM96" s="785">
        <f>SUM(AM93:AM95)</f>
        <v>96586.86</v>
      </c>
      <c r="AN96" s="785">
        <f>SUM(AN93:AN95)</f>
        <v>96597</v>
      </c>
      <c r="AO96" s="785">
        <f>SUM(AO93:AO95)</f>
        <v>99011.924999999988</v>
      </c>
      <c r="AP96" s="785">
        <f>SUM(AP93:AP94)</f>
        <v>98407</v>
      </c>
      <c r="AQ96" s="785">
        <f>SUM(AQ93:AQ95)</f>
        <v>100375.14</v>
      </c>
      <c r="AR96" s="785">
        <f>SUM(AR93:AR95)</f>
        <v>100666</v>
      </c>
      <c r="AS96" s="820">
        <f>SUM(AS93:AS95)</f>
        <v>102679.32</v>
      </c>
      <c r="AT96" s="819">
        <f>SUM(AT93:AT95)</f>
        <v>104621</v>
      </c>
      <c r="AU96" s="785">
        <f t="shared" si="39"/>
        <v>3955</v>
      </c>
      <c r="AV96" s="2275">
        <f t="shared" si="31"/>
        <v>3.9288339657878528E-2</v>
      </c>
      <c r="AW96" s="789"/>
      <c r="AX96" s="2016"/>
      <c r="AY96" s="2016"/>
      <c r="AZ96" s="2016"/>
      <c r="BA96" s="2518">
        <f>POWER(AT96/AJ96,1/5)-1</f>
        <v>2.4963910720423144E-2</v>
      </c>
      <c r="BB96" s="2518">
        <f>POWER(AT96/AA96,1/9)-1</f>
        <v>1.5948183477341837E-2</v>
      </c>
      <c r="BC96" s="2332"/>
    </row>
    <row r="97" spans="1:55" ht="14" hidden="1" customHeight="1" outlineLevel="1" x14ac:dyDescent="0.25">
      <c r="A97" s="821"/>
      <c r="B97" s="793"/>
      <c r="C97" s="793"/>
      <c r="D97" s="892"/>
      <c r="E97" s="793"/>
      <c r="F97" s="892"/>
      <c r="G97" s="893"/>
      <c r="H97" s="893"/>
      <c r="I97" s="893"/>
      <c r="J97" s="846"/>
      <c r="K97" s="822"/>
      <c r="L97" s="829"/>
      <c r="M97" s="830"/>
      <c r="N97" s="829"/>
      <c r="O97" s="822"/>
      <c r="P97" s="822"/>
      <c r="Q97" s="822"/>
      <c r="R97" s="822"/>
      <c r="S97" s="822"/>
      <c r="T97" s="822"/>
      <c r="U97" s="822"/>
      <c r="V97" s="822"/>
      <c r="W97" s="822"/>
      <c r="X97" s="822"/>
      <c r="Y97" s="822"/>
      <c r="Z97" s="822"/>
      <c r="AA97" s="822"/>
      <c r="AB97" s="822"/>
      <c r="AC97" s="823"/>
      <c r="AD97" s="823"/>
      <c r="AE97" s="823"/>
      <c r="AF97" s="822"/>
      <c r="AG97" s="822"/>
      <c r="AH97" s="822"/>
      <c r="AI97" s="822"/>
      <c r="AJ97" s="822"/>
      <c r="AK97" s="822"/>
      <c r="AL97" s="822"/>
      <c r="AM97" s="822"/>
      <c r="AN97" s="822"/>
      <c r="AO97" s="822"/>
      <c r="AP97" s="822"/>
      <c r="AQ97" s="822"/>
      <c r="AR97" s="822"/>
      <c r="AS97" s="1160"/>
      <c r="AT97" s="823"/>
      <c r="AU97" s="822" t="str">
        <f t="shared" si="39"/>
        <v/>
      </c>
      <c r="AV97" s="2276" t="str">
        <f t="shared" si="31"/>
        <v/>
      </c>
      <c r="AW97" s="803"/>
      <c r="AX97" s="2016" t="str">
        <f t="shared" si="32"/>
        <v/>
      </c>
      <c r="AY97" s="2016"/>
      <c r="AZ97" s="2016"/>
      <c r="BA97" s="2016"/>
      <c r="BB97" s="2016"/>
    </row>
    <row r="98" spans="1:55" ht="14" hidden="1" customHeight="1" outlineLevel="1" x14ac:dyDescent="0.25">
      <c r="A98" s="779" t="s">
        <v>544</v>
      </c>
      <c r="B98" s="804"/>
      <c r="C98" s="804"/>
      <c r="D98" s="894"/>
      <c r="E98" s="804"/>
      <c r="F98" s="894"/>
      <c r="G98" s="895"/>
      <c r="H98" s="895"/>
      <c r="I98" s="895"/>
      <c r="J98" s="847"/>
      <c r="K98" s="825"/>
      <c r="L98" s="831"/>
      <c r="M98" s="831"/>
      <c r="N98" s="831"/>
      <c r="O98" s="825"/>
      <c r="P98" s="825"/>
      <c r="Q98" s="825"/>
      <c r="R98" s="825"/>
      <c r="S98" s="825"/>
      <c r="T98" s="825"/>
      <c r="U98" s="825"/>
      <c r="V98" s="825"/>
      <c r="W98" s="825"/>
      <c r="X98" s="825"/>
      <c r="Y98" s="825"/>
      <c r="Z98" s="825"/>
      <c r="AA98" s="825"/>
      <c r="AB98" s="825"/>
      <c r="AC98" s="825"/>
      <c r="AD98" s="825"/>
      <c r="AE98" s="825"/>
      <c r="AF98" s="825"/>
      <c r="AG98" s="825"/>
      <c r="AH98" s="825"/>
      <c r="AI98" s="825"/>
      <c r="AJ98" s="825"/>
      <c r="AK98" s="825"/>
      <c r="AL98" s="825"/>
      <c r="AM98" s="825"/>
      <c r="AN98" s="825"/>
      <c r="AO98" s="825"/>
      <c r="AP98" s="825"/>
      <c r="AQ98" s="825"/>
      <c r="AR98" s="825"/>
      <c r="AS98" s="825"/>
      <c r="AT98" s="825"/>
      <c r="AU98" s="825" t="str">
        <f t="shared" si="37"/>
        <v/>
      </c>
      <c r="AV98" s="2316" t="str">
        <f t="shared" si="31"/>
        <v/>
      </c>
      <c r="AW98" s="778"/>
      <c r="AX98" s="2016" t="str">
        <f t="shared" si="32"/>
        <v/>
      </c>
      <c r="AY98" s="2016"/>
      <c r="AZ98" s="2016"/>
      <c r="BA98" s="2016"/>
      <c r="BB98" s="2016"/>
      <c r="BC98" s="2011" t="s">
        <v>1072</v>
      </c>
    </row>
    <row r="99" spans="1:55" ht="14" hidden="1" customHeight="1" outlineLevel="1" x14ac:dyDescent="0.25">
      <c r="A99" s="779" t="s">
        <v>545</v>
      </c>
      <c r="B99" s="775">
        <v>0</v>
      </c>
      <c r="C99" s="775">
        <v>0</v>
      </c>
      <c r="D99" s="775">
        <v>0</v>
      </c>
      <c r="E99" s="773">
        <v>0</v>
      </c>
      <c r="F99" s="775">
        <v>0</v>
      </c>
      <c r="G99" s="777"/>
      <c r="H99" s="777">
        <v>0</v>
      </c>
      <c r="I99" s="777"/>
      <c r="J99" s="806">
        <v>0</v>
      </c>
      <c r="K99" s="788">
        <v>0</v>
      </c>
      <c r="L99" s="855"/>
      <c r="M99" s="855"/>
      <c r="N99" s="855"/>
      <c r="O99" s="788"/>
      <c r="P99" s="788"/>
      <c r="Q99" s="788"/>
      <c r="R99" s="788"/>
      <c r="S99" s="788"/>
      <c r="T99" s="788"/>
      <c r="U99" s="788"/>
      <c r="V99" s="788"/>
      <c r="W99" s="788"/>
      <c r="X99" s="788"/>
      <c r="Y99" s="788"/>
      <c r="Z99" s="788"/>
      <c r="AA99" s="788"/>
      <c r="AB99" s="788"/>
      <c r="AC99" s="788"/>
      <c r="AD99" s="788"/>
      <c r="AE99" s="788"/>
      <c r="AF99" s="810">
        <v>0</v>
      </c>
      <c r="AG99" s="810"/>
      <c r="AH99" s="810"/>
      <c r="AI99" s="788"/>
      <c r="AJ99" s="788"/>
      <c r="AK99" s="788"/>
      <c r="AL99" s="788"/>
      <c r="AM99" s="788"/>
      <c r="AN99" s="788"/>
      <c r="AO99" s="788"/>
      <c r="AP99" s="788"/>
      <c r="AQ99" s="788"/>
      <c r="AR99" s="788"/>
      <c r="AS99" s="788"/>
      <c r="AT99" s="788"/>
      <c r="AU99" s="788" t="str">
        <f t="shared" si="37"/>
        <v/>
      </c>
      <c r="AV99" s="2314" t="str">
        <f t="shared" si="31"/>
        <v/>
      </c>
      <c r="AW99" s="778"/>
      <c r="AX99" s="2016" t="str">
        <f t="shared" si="32"/>
        <v/>
      </c>
      <c r="AY99" s="2016"/>
      <c r="AZ99" s="2016"/>
      <c r="BA99" s="2016"/>
      <c r="BB99" s="2016"/>
      <c r="BC99" s="2011" t="s">
        <v>1072</v>
      </c>
    </row>
    <row r="100" spans="1:55" ht="14" hidden="1" customHeight="1" outlineLevel="1" x14ac:dyDescent="0.25">
      <c r="A100" s="842" t="s">
        <v>813</v>
      </c>
      <c r="B100" s="781">
        <f>SUM(B99)</f>
        <v>0</v>
      </c>
      <c r="C100" s="781">
        <f>SUM(C99:C99)</f>
        <v>0</v>
      </c>
      <c r="D100" s="781">
        <f>SUM(D98:D99)</f>
        <v>0</v>
      </c>
      <c r="E100" s="781">
        <f>SUM(E98:E99)</f>
        <v>0</v>
      </c>
      <c r="F100" s="781">
        <f>SUM(F99)</f>
        <v>0</v>
      </c>
      <c r="G100" s="781">
        <f>SUM(G99)</f>
        <v>0</v>
      </c>
      <c r="H100" s="781">
        <f>SUM(H99)</f>
        <v>0</v>
      </c>
      <c r="I100" s="781">
        <f>SUM(I99)</f>
        <v>0</v>
      </c>
      <c r="J100" s="784">
        <v>0</v>
      </c>
      <c r="K100" s="785">
        <v>0</v>
      </c>
      <c r="L100" s="896"/>
      <c r="M100" s="896"/>
      <c r="N100" s="896"/>
      <c r="O100" s="785"/>
      <c r="P100" s="785"/>
      <c r="Q100" s="785"/>
      <c r="R100" s="785"/>
      <c r="S100" s="785"/>
      <c r="T100" s="785"/>
      <c r="U100" s="785"/>
      <c r="V100" s="785"/>
      <c r="W100" s="785"/>
      <c r="X100" s="785"/>
      <c r="Y100" s="785"/>
      <c r="Z100" s="785"/>
      <c r="AA100" s="785"/>
      <c r="AB100" s="785"/>
      <c r="AC100" s="785"/>
      <c r="AD100" s="785"/>
      <c r="AE100" s="785"/>
      <c r="AF100" s="785"/>
      <c r="AG100" s="785"/>
      <c r="AH100" s="785"/>
      <c r="AI100" s="785"/>
      <c r="AJ100" s="785"/>
      <c r="AK100" s="785"/>
      <c r="AL100" s="785"/>
      <c r="AM100" s="785"/>
      <c r="AN100" s="785"/>
      <c r="AO100" s="785"/>
      <c r="AP100" s="785"/>
      <c r="AQ100" s="785"/>
      <c r="AR100" s="785"/>
      <c r="AS100" s="785"/>
      <c r="AT100" s="785"/>
      <c r="AU100" s="785" t="str">
        <f t="shared" si="37"/>
        <v/>
      </c>
      <c r="AV100" s="2317" t="str">
        <f t="shared" si="31"/>
        <v/>
      </c>
      <c r="AW100" s="789"/>
      <c r="AX100" s="2016" t="str">
        <f t="shared" si="32"/>
        <v/>
      </c>
      <c r="AY100" s="2016"/>
      <c r="AZ100" s="2016"/>
      <c r="BA100" s="2016"/>
      <c r="BB100" s="2016"/>
      <c r="BC100" s="2019" t="s">
        <v>1072</v>
      </c>
    </row>
    <row r="101" spans="1:55" ht="14" hidden="1" customHeight="1" outlineLevel="1" x14ac:dyDescent="0.25">
      <c r="A101" s="821"/>
      <c r="B101" s="793"/>
      <c r="C101" s="793"/>
      <c r="D101" s="892"/>
      <c r="E101" s="793"/>
      <c r="F101" s="892"/>
      <c r="G101" s="893"/>
      <c r="H101" s="893"/>
      <c r="I101" s="893"/>
      <c r="J101" s="846"/>
      <c r="K101" s="822"/>
      <c r="L101" s="829"/>
      <c r="M101" s="830"/>
      <c r="N101" s="829"/>
      <c r="O101" s="822"/>
      <c r="P101" s="822"/>
      <c r="Q101" s="822"/>
      <c r="R101" s="822"/>
      <c r="S101" s="822"/>
      <c r="T101" s="822"/>
      <c r="U101" s="822"/>
      <c r="V101" s="822"/>
      <c r="W101" s="822"/>
      <c r="X101" s="822"/>
      <c r="Y101" s="822"/>
      <c r="Z101" s="822"/>
      <c r="AA101" s="822"/>
      <c r="AB101" s="822"/>
      <c r="AC101" s="822"/>
      <c r="AD101" s="822"/>
      <c r="AE101" s="822"/>
      <c r="AF101" s="822"/>
      <c r="AG101" s="822"/>
      <c r="AH101" s="822"/>
      <c r="AI101" s="822"/>
      <c r="AJ101" s="822"/>
      <c r="AK101" s="822"/>
      <c r="AL101" s="822"/>
      <c r="AM101" s="822"/>
      <c r="AN101" s="822"/>
      <c r="AO101" s="822"/>
      <c r="AP101" s="822"/>
      <c r="AQ101" s="822"/>
      <c r="AR101" s="822"/>
      <c r="AS101" s="822"/>
      <c r="AT101" s="822"/>
      <c r="AU101" s="822" t="str">
        <f t="shared" si="37"/>
        <v/>
      </c>
      <c r="AV101" s="2318" t="str">
        <f t="shared" si="31"/>
        <v/>
      </c>
      <c r="AW101" s="803"/>
      <c r="AX101" s="2016" t="str">
        <f t="shared" si="32"/>
        <v/>
      </c>
      <c r="AY101" s="2016"/>
      <c r="AZ101" s="2016"/>
      <c r="BA101" s="2016"/>
      <c r="BB101" s="2016"/>
      <c r="BC101" s="2011" t="s">
        <v>1072</v>
      </c>
    </row>
    <row r="102" spans="1:55" ht="14" hidden="1" customHeight="1" outlineLevel="1" x14ac:dyDescent="0.25">
      <c r="A102" s="779" t="s">
        <v>740</v>
      </c>
      <c r="B102" s="804"/>
      <c r="C102" s="804"/>
      <c r="D102" s="894"/>
      <c r="E102" s="804"/>
      <c r="F102" s="894"/>
      <c r="G102" s="895"/>
      <c r="H102" s="895"/>
      <c r="I102" s="895"/>
      <c r="J102" s="847"/>
      <c r="K102" s="825"/>
      <c r="L102" s="831"/>
      <c r="M102" s="831"/>
      <c r="N102" s="831"/>
      <c r="O102" s="825"/>
      <c r="P102" s="825"/>
      <c r="Q102" s="825"/>
      <c r="R102" s="825"/>
      <c r="S102" s="825"/>
      <c r="T102" s="825"/>
      <c r="U102" s="825"/>
      <c r="V102" s="825"/>
      <c r="W102" s="825"/>
      <c r="X102" s="825"/>
      <c r="Y102" s="825"/>
      <c r="Z102" s="825"/>
      <c r="AA102" s="825"/>
      <c r="AB102" s="825"/>
      <c r="AC102" s="825"/>
      <c r="AD102" s="825"/>
      <c r="AE102" s="825"/>
      <c r="AF102" s="825"/>
      <c r="AG102" s="825"/>
      <c r="AH102" s="825"/>
      <c r="AI102" s="825"/>
      <c r="AJ102" s="825"/>
      <c r="AK102" s="825"/>
      <c r="AL102" s="825"/>
      <c r="AM102" s="825"/>
      <c r="AN102" s="825"/>
      <c r="AO102" s="825"/>
      <c r="AP102" s="825"/>
      <c r="AQ102" s="825"/>
      <c r="AR102" s="825"/>
      <c r="AS102" s="1110"/>
      <c r="AT102" s="1040"/>
      <c r="AU102" s="825" t="str">
        <f t="shared" ref="AU102:AU134" si="41">IF(AR102&gt;0,AT102-AR102,"")</f>
        <v/>
      </c>
      <c r="AV102" s="2274" t="str">
        <f t="shared" si="31"/>
        <v/>
      </c>
      <c r="AW102" s="778"/>
      <c r="AX102" s="2016" t="str">
        <f t="shared" si="32"/>
        <v/>
      </c>
      <c r="AY102" s="2016"/>
      <c r="AZ102" s="2016"/>
      <c r="BA102" s="2016"/>
      <c r="BB102" s="2016"/>
      <c r="BC102" s="2011" t="s">
        <v>1220</v>
      </c>
    </row>
    <row r="103" spans="1:55" ht="14" hidden="1" customHeight="1" outlineLevel="1" x14ac:dyDescent="0.25">
      <c r="A103" s="779" t="s">
        <v>560</v>
      </c>
      <c r="B103" s="775">
        <v>600</v>
      </c>
      <c r="C103" s="775">
        <v>600</v>
      </c>
      <c r="D103" s="850">
        <v>600</v>
      </c>
      <c r="E103" s="773">
        <v>600</v>
      </c>
      <c r="F103" s="850">
        <v>600</v>
      </c>
      <c r="G103" s="851">
        <v>600</v>
      </c>
      <c r="H103" s="851">
        <v>600</v>
      </c>
      <c r="I103" s="851">
        <v>600</v>
      </c>
      <c r="J103" s="806">
        <v>25073</v>
      </c>
      <c r="K103" s="788"/>
      <c r="L103" s="840">
        <v>550</v>
      </c>
      <c r="M103" s="807">
        <v>600</v>
      </c>
      <c r="N103" s="808">
        <v>5</v>
      </c>
      <c r="O103" s="788">
        <v>5</v>
      </c>
      <c r="P103" s="810">
        <f t="shared" ref="P103:R104" si="42">O103</f>
        <v>5</v>
      </c>
      <c r="Q103" s="810">
        <f t="shared" si="42"/>
        <v>5</v>
      </c>
      <c r="R103" s="810">
        <f t="shared" si="42"/>
        <v>5</v>
      </c>
      <c r="S103" s="788"/>
      <c r="T103" s="788">
        <v>5</v>
      </c>
      <c r="U103" s="788">
        <v>5</v>
      </c>
      <c r="V103" s="810">
        <v>5</v>
      </c>
      <c r="W103" s="788">
        <f>V103</f>
        <v>5</v>
      </c>
      <c r="X103" s="810">
        <v>5</v>
      </c>
      <c r="Y103" s="788">
        <v>5005</v>
      </c>
      <c r="Z103" s="810">
        <v>5105</v>
      </c>
      <c r="AA103" s="810">
        <f>Z103</f>
        <v>5105</v>
      </c>
      <c r="AB103" s="810">
        <v>5207</v>
      </c>
      <c r="AC103" s="810">
        <f>AB103</f>
        <v>5207</v>
      </c>
      <c r="AD103" s="810"/>
      <c r="AE103" s="810">
        <v>5</v>
      </c>
      <c r="AF103" s="810"/>
      <c r="AG103" s="810">
        <v>5</v>
      </c>
      <c r="AH103" s="810">
        <v>5</v>
      </c>
      <c r="AI103" s="788">
        <v>5</v>
      </c>
      <c r="AJ103" s="788">
        <v>5</v>
      </c>
      <c r="AK103" s="788">
        <v>5</v>
      </c>
      <c r="AL103" s="788">
        <v>5</v>
      </c>
      <c r="AM103" s="788">
        <v>5</v>
      </c>
      <c r="AN103" s="788">
        <v>5</v>
      </c>
      <c r="AO103" s="788">
        <v>5</v>
      </c>
      <c r="AP103" s="788">
        <v>5</v>
      </c>
      <c r="AQ103" s="788">
        <v>5</v>
      </c>
      <c r="AR103" s="788">
        <v>5</v>
      </c>
      <c r="AS103" s="841">
        <v>5</v>
      </c>
      <c r="AT103" s="891">
        <f>'[1]BUDGET DETAIL'!$CX$266</f>
        <v>5</v>
      </c>
      <c r="AU103" s="788">
        <f t="shared" si="41"/>
        <v>0</v>
      </c>
      <c r="AV103" s="2272">
        <f t="shared" si="31"/>
        <v>0</v>
      </c>
      <c r="AW103" s="778"/>
      <c r="AX103" s="2016" t="str">
        <f t="shared" si="32"/>
        <v/>
      </c>
      <c r="AY103" s="2016"/>
      <c r="AZ103" s="2016"/>
      <c r="BA103" s="2016"/>
      <c r="BB103" s="2016"/>
      <c r="BC103" s="2011" t="s">
        <v>1220</v>
      </c>
    </row>
    <row r="104" spans="1:55" ht="14" hidden="1" customHeight="1" outlineLevel="1" x14ac:dyDescent="0.25">
      <c r="A104" s="779" t="s">
        <v>551</v>
      </c>
      <c r="B104" s="775">
        <v>3949</v>
      </c>
      <c r="C104" s="775">
        <v>3860.66</v>
      </c>
      <c r="D104" s="850">
        <v>4072</v>
      </c>
      <c r="E104" s="773">
        <v>4227.6000000000004</v>
      </c>
      <c r="F104" s="850">
        <v>4072</v>
      </c>
      <c r="G104" s="851">
        <v>4072</v>
      </c>
      <c r="H104" s="851">
        <v>23090</v>
      </c>
      <c r="I104" s="851">
        <v>15684</v>
      </c>
      <c r="J104" s="806">
        <v>2141</v>
      </c>
      <c r="K104" s="788"/>
      <c r="L104" s="840">
        <v>0</v>
      </c>
      <c r="M104" s="807">
        <f>L104*(1+AV$8)</f>
        <v>0</v>
      </c>
      <c r="N104" s="808">
        <f>M104</f>
        <v>0</v>
      </c>
      <c r="O104" s="788">
        <v>0</v>
      </c>
      <c r="P104" s="788">
        <f t="shared" si="42"/>
        <v>0</v>
      </c>
      <c r="Q104" s="788">
        <f t="shared" si="42"/>
        <v>0</v>
      </c>
      <c r="R104" s="788">
        <f t="shared" si="42"/>
        <v>0</v>
      </c>
      <c r="S104" s="788"/>
      <c r="T104" s="788">
        <v>0</v>
      </c>
      <c r="U104" s="788">
        <v>0</v>
      </c>
      <c r="V104" s="788">
        <f>S104</f>
        <v>0</v>
      </c>
      <c r="W104" s="788">
        <f>V104</f>
        <v>0</v>
      </c>
      <c r="X104" s="788">
        <f>S104</f>
        <v>0</v>
      </c>
      <c r="Y104" s="788">
        <f>X104</f>
        <v>0</v>
      </c>
      <c r="Z104" s="810">
        <f>Y104*(1+$A$2/100)</f>
        <v>0</v>
      </c>
      <c r="AA104" s="810">
        <f>Z104</f>
        <v>0</v>
      </c>
      <c r="AB104" s="810"/>
      <c r="AC104" s="810">
        <f>AB104</f>
        <v>0</v>
      </c>
      <c r="AD104" s="810"/>
      <c r="AE104" s="897"/>
      <c r="AF104" s="810">
        <v>0</v>
      </c>
      <c r="AG104" s="810"/>
      <c r="AH104" s="810"/>
      <c r="AI104" s="897"/>
      <c r="AJ104" s="897"/>
      <c r="AK104" s="897"/>
      <c r="AL104" s="897"/>
      <c r="AM104" s="897"/>
      <c r="AN104" s="897"/>
      <c r="AO104" s="897"/>
      <c r="AP104" s="897"/>
      <c r="AQ104" s="897"/>
      <c r="AR104" s="897">
        <v>2840</v>
      </c>
      <c r="AS104" s="1410">
        <f>AR104*$AH$3</f>
        <v>2896.8</v>
      </c>
      <c r="AT104" s="2347">
        <f>'[1]BUDGET DETAIL'!$CX$270+AX104*AY104</f>
        <v>10218</v>
      </c>
      <c r="AU104" s="897">
        <f t="shared" si="41"/>
        <v>7378</v>
      </c>
      <c r="AV104" s="2279">
        <f t="shared" si="31"/>
        <v>2.5978873239436622</v>
      </c>
      <c r="AW104" s="778"/>
      <c r="AX104" s="2016">
        <f>'Vote track budget'!F104</f>
        <v>7315</v>
      </c>
      <c r="AY104" s="2016">
        <v>1</v>
      </c>
      <c r="AZ104" s="2016">
        <f>AX104*AY104</f>
        <v>7315</v>
      </c>
      <c r="BA104" s="2016"/>
      <c r="BB104" s="2016"/>
      <c r="BC104" s="2011" t="s">
        <v>1243</v>
      </c>
    </row>
    <row r="105" spans="1:55" ht="14" hidden="1" customHeight="1" outlineLevel="1" x14ac:dyDescent="0.25">
      <c r="A105" s="779" t="s">
        <v>812</v>
      </c>
      <c r="B105" s="775">
        <v>2080</v>
      </c>
      <c r="C105" s="775">
        <v>378.37</v>
      </c>
      <c r="D105" s="850">
        <v>1958</v>
      </c>
      <c r="E105" s="773">
        <v>431.88</v>
      </c>
      <c r="F105" s="850">
        <v>1958</v>
      </c>
      <c r="G105" s="851">
        <v>726.71</v>
      </c>
      <c r="H105" s="851">
        <v>1958</v>
      </c>
      <c r="I105" s="851">
        <v>1903</v>
      </c>
      <c r="J105" s="806">
        <v>1958</v>
      </c>
      <c r="K105" s="788"/>
      <c r="L105" s="812">
        <v>1980</v>
      </c>
      <c r="M105" s="812">
        <v>2018</v>
      </c>
      <c r="N105" s="813">
        <v>1754</v>
      </c>
      <c r="O105" s="788">
        <v>1754</v>
      </c>
      <c r="P105" s="788">
        <v>1754</v>
      </c>
      <c r="Q105" s="788">
        <v>1754</v>
      </c>
      <c r="R105" s="788">
        <v>1754</v>
      </c>
      <c r="S105" s="788"/>
      <c r="T105" s="788">
        <v>1754</v>
      </c>
      <c r="U105" s="788">
        <v>1754</v>
      </c>
      <c r="V105" s="810">
        <v>1709</v>
      </c>
      <c r="W105" s="788">
        <f>V105</f>
        <v>1709</v>
      </c>
      <c r="X105" s="810">
        <v>1742</v>
      </c>
      <c r="Y105" s="810">
        <v>1742</v>
      </c>
      <c r="Z105" s="810">
        <v>1791</v>
      </c>
      <c r="AA105" s="810">
        <f>Z105</f>
        <v>1791</v>
      </c>
      <c r="AB105" s="810">
        <v>1791</v>
      </c>
      <c r="AC105" s="810">
        <f>AB105</f>
        <v>1791</v>
      </c>
      <c r="AD105" s="810"/>
      <c r="AE105" s="810">
        <v>1791</v>
      </c>
      <c r="AF105" s="810"/>
      <c r="AG105" s="810">
        <v>1791</v>
      </c>
      <c r="AH105" s="810">
        <v>1791</v>
      </c>
      <c r="AI105" s="810">
        <v>1791</v>
      </c>
      <c r="AJ105" s="810">
        <v>1791</v>
      </c>
      <c r="AK105" s="810">
        <v>1791</v>
      </c>
      <c r="AL105" s="810">
        <v>1791</v>
      </c>
      <c r="AM105" s="810">
        <f>AL105*$AH$4</f>
        <v>1791</v>
      </c>
      <c r="AN105" s="810">
        <v>1791</v>
      </c>
      <c r="AO105" s="810">
        <v>1791</v>
      </c>
      <c r="AP105" s="810">
        <v>1750</v>
      </c>
      <c r="AQ105" s="810">
        <f>AP105*$AH$4</f>
        <v>1750</v>
      </c>
      <c r="AR105" s="810">
        <v>1750</v>
      </c>
      <c r="AS105" s="1410">
        <f>AR105*$AH$4</f>
        <v>1750</v>
      </c>
      <c r="AT105" s="809">
        <f>'[1]BUDGET DETAIL'!$CX$281</f>
        <v>1750</v>
      </c>
      <c r="AU105" s="810">
        <f t="shared" si="41"/>
        <v>0</v>
      </c>
      <c r="AV105" s="2274">
        <f t="shared" si="31"/>
        <v>0</v>
      </c>
      <c r="AW105" s="778"/>
      <c r="AX105" s="2016" t="str">
        <f t="shared" si="32"/>
        <v/>
      </c>
      <c r="AY105" s="2016"/>
      <c r="AZ105" s="2016"/>
      <c r="BA105" s="2016"/>
      <c r="BB105" s="2016"/>
      <c r="BC105" s="2332"/>
    </row>
    <row r="106" spans="1:55" ht="14" hidden="1" customHeight="1" outlineLevel="1" x14ac:dyDescent="0.25">
      <c r="A106" s="842" t="s">
        <v>813</v>
      </c>
      <c r="B106" s="781">
        <f>SUM(B103:B105)</f>
        <v>6629</v>
      </c>
      <c r="C106" s="868">
        <f t="shared" ref="C106:N106" si="43">SUM(C103:C105)</f>
        <v>4839.03</v>
      </c>
      <c r="D106" s="868">
        <f t="shared" si="43"/>
        <v>6630</v>
      </c>
      <c r="E106" s="868">
        <f t="shared" si="43"/>
        <v>5259.4800000000005</v>
      </c>
      <c r="F106" s="868">
        <f t="shared" si="43"/>
        <v>6630</v>
      </c>
      <c r="G106" s="868">
        <f t="shared" si="43"/>
        <v>5398.71</v>
      </c>
      <c r="H106" s="868">
        <f t="shared" si="43"/>
        <v>25648</v>
      </c>
      <c r="I106" s="868">
        <f t="shared" si="43"/>
        <v>18187</v>
      </c>
      <c r="J106" s="869">
        <v>29172</v>
      </c>
      <c r="K106" s="785" t="s">
        <v>455</v>
      </c>
      <c r="L106" s="879">
        <f t="shared" si="43"/>
        <v>2530</v>
      </c>
      <c r="M106" s="879">
        <f t="shared" si="43"/>
        <v>2618</v>
      </c>
      <c r="N106" s="880">
        <f t="shared" si="43"/>
        <v>1759</v>
      </c>
      <c r="O106" s="785">
        <f>SUM(O103:O105)</f>
        <v>1759</v>
      </c>
      <c r="P106" s="785">
        <f>SUM(P103:P105)</f>
        <v>1759</v>
      </c>
      <c r="Q106" s="819">
        <f>IF(SUM(Q103:Q105)=0,P106,SUM(Q103:Q105))</f>
        <v>1759</v>
      </c>
      <c r="R106" s="785">
        <f>SUM(R103:R105)</f>
        <v>1759</v>
      </c>
      <c r="S106" s="820">
        <f>IF(SUM(S103:S105)=0,R106,SUM(S103:S105))</f>
        <v>1759</v>
      </c>
      <c r="T106" s="785">
        <v>1759</v>
      </c>
      <c r="U106" s="819">
        <v>1759</v>
      </c>
      <c r="V106" s="819">
        <f>SUM(V103:V105)</f>
        <v>1714</v>
      </c>
      <c r="W106" s="819">
        <f>IF(SUM(W103:W105)=0,V106,SUM(W103:W105))</f>
        <v>1714</v>
      </c>
      <c r="X106" s="819">
        <f>SUM(X103:X105)</f>
        <v>1747</v>
      </c>
      <c r="Y106" s="819">
        <f>IF(SUM(Y103:Y105)=0,X106,SUM(Y103:Y105))</f>
        <v>6747</v>
      </c>
      <c r="Z106" s="819">
        <f>SUM(Z103:Z105)</f>
        <v>6896</v>
      </c>
      <c r="AA106" s="819">
        <f>IF(SUM(AA103:AA105)=0,Z106,SUM(AA103:AA105))</f>
        <v>6896</v>
      </c>
      <c r="AB106" s="819">
        <f>SUM(AB103:AB105)</f>
        <v>6998</v>
      </c>
      <c r="AC106" s="819">
        <f>IF(SUM(AC103:AC105)=0,AB106,SUM(AC103:AC105))</f>
        <v>6998</v>
      </c>
      <c r="AD106" s="819"/>
      <c r="AE106" s="819">
        <v>1796</v>
      </c>
      <c r="AF106" s="819">
        <v>1796</v>
      </c>
      <c r="AG106" s="819">
        <v>1796</v>
      </c>
      <c r="AH106" s="819">
        <v>1796</v>
      </c>
      <c r="AI106" s="785">
        <v>1796</v>
      </c>
      <c r="AJ106" s="785">
        <v>1796</v>
      </c>
      <c r="AK106" s="785">
        <v>1796</v>
      </c>
      <c r="AL106" s="785">
        <v>1796</v>
      </c>
      <c r="AM106" s="785">
        <f t="shared" ref="AM106:AR106" si="44">SUM(AM103:AM105)</f>
        <v>1796</v>
      </c>
      <c r="AN106" s="785">
        <f t="shared" si="44"/>
        <v>1796</v>
      </c>
      <c r="AO106" s="785">
        <f t="shared" si="44"/>
        <v>1796</v>
      </c>
      <c r="AP106" s="785">
        <f t="shared" si="44"/>
        <v>1755</v>
      </c>
      <c r="AQ106" s="785">
        <f t="shared" si="44"/>
        <v>1755</v>
      </c>
      <c r="AR106" s="785">
        <f t="shared" si="44"/>
        <v>4595</v>
      </c>
      <c r="AS106" s="820">
        <f t="shared" ref="AS106" si="45">SUM(AS103:AS105)</f>
        <v>4651.8</v>
      </c>
      <c r="AT106" s="819">
        <f>SUM(AT103:AT105)</f>
        <v>11973</v>
      </c>
      <c r="AU106" s="785">
        <f t="shared" si="41"/>
        <v>7378</v>
      </c>
      <c r="AV106" s="2275">
        <f t="shared" si="31"/>
        <v>1.605658324265506</v>
      </c>
      <c r="AW106" s="778"/>
      <c r="AX106" s="2016"/>
      <c r="AY106" s="2016"/>
      <c r="AZ106" s="2016"/>
      <c r="BA106" s="2518">
        <f>POWER(AT106/AJ106,1/5)-1</f>
        <v>0.46143441432333798</v>
      </c>
      <c r="BB106" s="2518">
        <f>POWER(AT106/AA106,1/9)-1</f>
        <v>6.3219318002219804E-2</v>
      </c>
      <c r="BC106" s="2332"/>
    </row>
    <row r="107" spans="1:55" ht="14" hidden="1" customHeight="1" outlineLevel="1" x14ac:dyDescent="0.25">
      <c r="A107" s="790"/>
      <c r="B107" s="793"/>
      <c r="C107" s="793"/>
      <c r="D107" s="892"/>
      <c r="E107" s="793"/>
      <c r="F107" s="892"/>
      <c r="G107" s="893"/>
      <c r="H107" s="893"/>
      <c r="I107" s="893"/>
      <c r="J107" s="846"/>
      <c r="K107" s="822"/>
      <c r="L107" s="829"/>
      <c r="M107" s="830"/>
      <c r="N107" s="824"/>
      <c r="O107" s="822"/>
      <c r="P107" s="822"/>
      <c r="Q107" s="822"/>
      <c r="R107" s="822"/>
      <c r="S107" s="822"/>
      <c r="T107" s="822"/>
      <c r="U107" s="822"/>
      <c r="V107" s="822"/>
      <c r="W107" s="822"/>
      <c r="X107" s="822"/>
      <c r="Y107" s="822"/>
      <c r="Z107" s="822"/>
      <c r="AA107" s="822"/>
      <c r="AB107" s="822"/>
      <c r="AC107" s="822"/>
      <c r="AD107" s="822"/>
      <c r="AE107" s="822"/>
      <c r="AF107" s="822"/>
      <c r="AG107" s="822"/>
      <c r="AH107" s="822"/>
      <c r="AI107" s="822"/>
      <c r="AJ107" s="822"/>
      <c r="AK107" s="822"/>
      <c r="AL107" s="822"/>
      <c r="AM107" s="822"/>
      <c r="AN107" s="822"/>
      <c r="AO107" s="822"/>
      <c r="AP107" s="822"/>
      <c r="AQ107" s="822"/>
      <c r="AR107" s="822"/>
      <c r="AS107" s="1160"/>
      <c r="AT107" s="823"/>
      <c r="AU107" s="822" t="str">
        <f t="shared" si="41"/>
        <v/>
      </c>
      <c r="AV107" s="2276" t="str">
        <f t="shared" si="31"/>
        <v/>
      </c>
      <c r="AW107" s="803"/>
      <c r="AX107" s="2016" t="str">
        <f t="shared" si="32"/>
        <v/>
      </c>
      <c r="AY107" s="2016"/>
      <c r="AZ107" s="2016"/>
      <c r="BA107" s="2016"/>
      <c r="BB107" s="2016"/>
    </row>
    <row r="108" spans="1:55" ht="14" hidden="1" customHeight="1" outlineLevel="1" x14ac:dyDescent="0.25">
      <c r="A108" s="779" t="s">
        <v>723</v>
      </c>
      <c r="B108" s="804"/>
      <c r="C108" s="804"/>
      <c r="D108" s="894"/>
      <c r="E108" s="804"/>
      <c r="F108" s="894"/>
      <c r="G108" s="895"/>
      <c r="H108" s="895"/>
      <c r="I108" s="895"/>
      <c r="J108" s="847"/>
      <c r="K108" s="825"/>
      <c r="L108" s="831"/>
      <c r="M108" s="831"/>
      <c r="N108" s="805"/>
      <c r="O108" s="825"/>
      <c r="P108" s="825"/>
      <c r="Q108" s="825"/>
      <c r="R108" s="825"/>
      <c r="S108" s="825"/>
      <c r="T108" s="825"/>
      <c r="U108" s="825"/>
      <c r="V108" s="825"/>
      <c r="W108" s="825"/>
      <c r="X108" s="825"/>
      <c r="Y108" s="825"/>
      <c r="Z108" s="825"/>
      <c r="AA108" s="825"/>
      <c r="AB108" s="825"/>
      <c r="AC108" s="825"/>
      <c r="AD108" s="825"/>
      <c r="AE108" s="825"/>
      <c r="AF108" s="825"/>
      <c r="AG108" s="825"/>
      <c r="AH108" s="825"/>
      <c r="AI108" s="825"/>
      <c r="AJ108" s="825"/>
      <c r="AK108" s="825"/>
      <c r="AL108" s="825"/>
      <c r="AM108" s="825"/>
      <c r="AN108" s="825"/>
      <c r="AO108" s="825"/>
      <c r="AP108" s="825"/>
      <c r="AQ108" s="825"/>
      <c r="AR108" s="825"/>
      <c r="AS108" s="1110"/>
      <c r="AT108" s="1040"/>
      <c r="AU108" s="825" t="str">
        <f t="shared" si="41"/>
        <v/>
      </c>
      <c r="AV108" s="2274" t="str">
        <f t="shared" si="31"/>
        <v/>
      </c>
      <c r="AW108" s="778"/>
      <c r="AX108" s="2016" t="str">
        <f t="shared" si="32"/>
        <v/>
      </c>
      <c r="AY108" s="2016"/>
      <c r="AZ108" s="2016"/>
      <c r="BA108" s="2016"/>
      <c r="BB108" s="2016"/>
      <c r="BC108" s="2011" t="s">
        <v>1220</v>
      </c>
    </row>
    <row r="109" spans="1:55" ht="14" hidden="1" customHeight="1" outlineLevel="1" x14ac:dyDescent="0.25">
      <c r="A109" s="779" t="s">
        <v>560</v>
      </c>
      <c r="B109" s="775">
        <v>0</v>
      </c>
      <c r="C109" s="775">
        <v>0</v>
      </c>
      <c r="D109" s="775">
        <v>0</v>
      </c>
      <c r="E109" s="775"/>
      <c r="F109" s="775"/>
      <c r="G109" s="777"/>
      <c r="H109" s="777"/>
      <c r="I109" s="777"/>
      <c r="J109" s="847">
        <v>0</v>
      </c>
      <c r="K109" s="825"/>
      <c r="L109" s="831"/>
      <c r="M109" s="831"/>
      <c r="N109" s="805"/>
      <c r="O109" s="825"/>
      <c r="P109" s="825"/>
      <c r="Q109" s="825"/>
      <c r="R109" s="825"/>
      <c r="S109" s="825"/>
      <c r="T109" s="825"/>
      <c r="U109" s="825"/>
      <c r="V109" s="825"/>
      <c r="W109" s="825"/>
      <c r="X109" s="825"/>
      <c r="Y109" s="825"/>
      <c r="Z109" s="825"/>
      <c r="AA109" s="825"/>
      <c r="AB109" s="825"/>
      <c r="AC109" s="825"/>
      <c r="AD109" s="825"/>
      <c r="AE109" s="825"/>
      <c r="AF109" s="825"/>
      <c r="AG109" s="825"/>
      <c r="AH109" s="825"/>
      <c r="AI109" s="825"/>
      <c r="AJ109" s="825"/>
      <c r="AK109" s="810">
        <v>0</v>
      </c>
      <c r="AL109" s="825"/>
      <c r="AM109" s="825">
        <f>AL109*$AH$3</f>
        <v>0</v>
      </c>
      <c r="AN109" s="825"/>
      <c r="AO109" s="825">
        <f>AN109*$AH$3</f>
        <v>0</v>
      </c>
      <c r="AP109" s="825"/>
      <c r="AQ109" s="825">
        <f>AP109*$AH$3</f>
        <v>0</v>
      </c>
      <c r="AR109" s="825"/>
      <c r="AS109" s="1110">
        <f>AR109*$AH$3</f>
        <v>0</v>
      </c>
      <c r="AT109" s="1040"/>
      <c r="AU109" s="825" t="str">
        <f t="shared" si="41"/>
        <v/>
      </c>
      <c r="AV109" s="2274" t="str">
        <f t="shared" si="31"/>
        <v/>
      </c>
      <c r="AW109" s="778"/>
      <c r="AX109" s="2016" t="str">
        <f t="shared" si="32"/>
        <v/>
      </c>
      <c r="AY109" s="2016"/>
      <c r="AZ109" s="2016"/>
      <c r="BA109" s="2016"/>
      <c r="BB109" s="2016"/>
    </row>
    <row r="110" spans="1:55" ht="14" hidden="1" customHeight="1" outlineLevel="1" x14ac:dyDescent="0.25">
      <c r="A110" s="779" t="s">
        <v>551</v>
      </c>
      <c r="B110" s="775">
        <v>745</v>
      </c>
      <c r="C110" s="775">
        <v>697.76</v>
      </c>
      <c r="D110" s="775">
        <v>745</v>
      </c>
      <c r="E110" s="775">
        <v>242.64</v>
      </c>
      <c r="F110" s="775">
        <v>745</v>
      </c>
      <c r="G110" s="777">
        <v>163.35</v>
      </c>
      <c r="H110" s="777">
        <v>745</v>
      </c>
      <c r="I110" s="777">
        <v>934.94</v>
      </c>
      <c r="J110" s="847">
        <v>2141</v>
      </c>
      <c r="K110" s="825"/>
      <c r="L110" s="840">
        <v>0</v>
      </c>
      <c r="M110" s="807">
        <f>L110*(1+AV$8)</f>
        <v>0</v>
      </c>
      <c r="N110" s="808"/>
      <c r="O110" s="825">
        <v>0</v>
      </c>
      <c r="P110" s="825"/>
      <c r="Q110" s="825"/>
      <c r="R110" s="825"/>
      <c r="S110" s="825"/>
      <c r="T110" s="825"/>
      <c r="U110" s="825"/>
      <c r="V110" s="825"/>
      <c r="W110" s="825"/>
      <c r="X110" s="825"/>
      <c r="Y110" s="825"/>
      <c r="Z110" s="825"/>
      <c r="AA110" s="825"/>
      <c r="AB110" s="825"/>
      <c r="AC110" s="825"/>
      <c r="AD110" s="825"/>
      <c r="AE110" s="825"/>
      <c r="AF110" s="825"/>
      <c r="AG110" s="825"/>
      <c r="AH110" s="825"/>
      <c r="AI110" s="825"/>
      <c r="AJ110" s="825"/>
      <c r="AK110" s="810">
        <v>0</v>
      </c>
      <c r="AL110" s="825"/>
      <c r="AM110" s="825">
        <f>AL110*$AH$3</f>
        <v>0</v>
      </c>
      <c r="AN110" s="825"/>
      <c r="AO110" s="825">
        <f>AN110*$AH$3</f>
        <v>0</v>
      </c>
      <c r="AP110" s="825"/>
      <c r="AQ110" s="825">
        <f>AP110*$AH$3</f>
        <v>0</v>
      </c>
      <c r="AR110" s="897">
        <v>11357</v>
      </c>
      <c r="AS110" s="1110">
        <f>AR110*$AH$3</f>
        <v>11584.14</v>
      </c>
      <c r="AT110" s="2347">
        <f>'[1]BUDGET DETAIL'!$CX$288+AX110*AY110</f>
        <v>11585</v>
      </c>
      <c r="AU110" s="897">
        <f t="shared" si="41"/>
        <v>228</v>
      </c>
      <c r="AV110" s="2279">
        <f t="shared" si="31"/>
        <v>2.0075724222946199E-2</v>
      </c>
      <c r="AW110" s="778"/>
      <c r="AX110" s="2016"/>
      <c r="AY110" s="2016"/>
      <c r="AZ110" s="2016">
        <f>AX110*AY110</f>
        <v>0</v>
      </c>
      <c r="BA110" s="2016"/>
      <c r="BB110" s="2016"/>
      <c r="BC110" s="2011" t="s">
        <v>1220</v>
      </c>
    </row>
    <row r="111" spans="1:55" ht="14" hidden="1" customHeight="1" outlineLevel="1" x14ac:dyDescent="0.25">
      <c r="A111" s="779" t="s">
        <v>812</v>
      </c>
      <c r="B111" s="775">
        <v>1100</v>
      </c>
      <c r="C111" s="775">
        <v>277.8</v>
      </c>
      <c r="D111" s="775">
        <v>1100</v>
      </c>
      <c r="E111" s="775">
        <v>1188.27</v>
      </c>
      <c r="F111" s="775">
        <v>1100</v>
      </c>
      <c r="G111" s="777">
        <v>1059.1199999999999</v>
      </c>
      <c r="H111" s="777">
        <v>1100</v>
      </c>
      <c r="I111" s="777">
        <v>0</v>
      </c>
      <c r="J111" s="847">
        <v>775</v>
      </c>
      <c r="K111" s="825"/>
      <c r="L111" s="898">
        <v>293</v>
      </c>
      <c r="M111" s="898">
        <v>805</v>
      </c>
      <c r="N111" s="805">
        <v>724</v>
      </c>
      <c r="O111" s="825">
        <v>724</v>
      </c>
      <c r="P111" s="825">
        <v>724</v>
      </c>
      <c r="Q111" s="825">
        <v>724</v>
      </c>
      <c r="R111" s="825">
        <v>724</v>
      </c>
      <c r="S111" s="825"/>
      <c r="T111" s="825">
        <v>724</v>
      </c>
      <c r="U111" s="825">
        <v>724</v>
      </c>
      <c r="V111" s="810">
        <v>724</v>
      </c>
      <c r="W111" s="825">
        <f>V111</f>
        <v>724</v>
      </c>
      <c r="X111" s="810">
        <v>724</v>
      </c>
      <c r="Y111" s="810">
        <v>724</v>
      </c>
      <c r="Z111" s="810">
        <v>745</v>
      </c>
      <c r="AA111" s="810">
        <f>Z111</f>
        <v>745</v>
      </c>
      <c r="AB111" s="810">
        <v>745</v>
      </c>
      <c r="AC111" s="810">
        <f>AB111</f>
        <v>745</v>
      </c>
      <c r="AD111" s="810"/>
      <c r="AE111" s="810">
        <v>745</v>
      </c>
      <c r="AF111" s="810"/>
      <c r="AG111" s="810">
        <v>745</v>
      </c>
      <c r="AH111" s="810">
        <v>745</v>
      </c>
      <c r="AI111" s="810">
        <v>745</v>
      </c>
      <c r="AJ111" s="810">
        <v>745</v>
      </c>
      <c r="AK111" s="810">
        <v>745</v>
      </c>
      <c r="AL111" s="810">
        <v>745</v>
      </c>
      <c r="AM111" s="810">
        <f>AL111*$AH$4</f>
        <v>745</v>
      </c>
      <c r="AN111" s="810">
        <v>745</v>
      </c>
      <c r="AO111" s="810">
        <v>745</v>
      </c>
      <c r="AP111" s="810">
        <v>750</v>
      </c>
      <c r="AQ111" s="810">
        <f>AP111*$AH$4</f>
        <v>750</v>
      </c>
      <c r="AR111" s="810">
        <v>750</v>
      </c>
      <c r="AS111" s="1410">
        <f>AR111*$AH$4</f>
        <v>750</v>
      </c>
      <c r="AT111" s="809">
        <f>'[1]BUDGET DETAIL'!$CX$297</f>
        <v>750</v>
      </c>
      <c r="AU111" s="810">
        <f t="shared" si="41"/>
        <v>0</v>
      </c>
      <c r="AV111" s="2274">
        <f t="shared" si="31"/>
        <v>0</v>
      </c>
      <c r="AW111" s="778"/>
      <c r="AX111" s="2016" t="str">
        <f t="shared" si="32"/>
        <v/>
      </c>
      <c r="AY111" s="2016"/>
      <c r="AZ111" s="2016"/>
      <c r="BA111" s="2016"/>
      <c r="BB111" s="2016"/>
    </row>
    <row r="112" spans="1:55" ht="14" hidden="1" customHeight="1" outlineLevel="1" x14ac:dyDescent="0.25">
      <c r="A112" s="842" t="s">
        <v>813</v>
      </c>
      <c r="B112" s="781">
        <f>SUM(B109:B111)</f>
        <v>1845</v>
      </c>
      <c r="C112" s="781">
        <f>SUM(C109:C111)</f>
        <v>975.56</v>
      </c>
      <c r="D112" s="781">
        <f t="shared" ref="D112:L112" si="46">SUM(D109:D111)</f>
        <v>1845</v>
      </c>
      <c r="E112" s="781">
        <f t="shared" si="46"/>
        <v>1430.9099999999999</v>
      </c>
      <c r="F112" s="781">
        <f t="shared" si="46"/>
        <v>1845</v>
      </c>
      <c r="G112" s="781">
        <f t="shared" si="46"/>
        <v>1222.4699999999998</v>
      </c>
      <c r="H112" s="781">
        <f t="shared" si="46"/>
        <v>1845</v>
      </c>
      <c r="I112" s="781">
        <f t="shared" si="46"/>
        <v>934.94</v>
      </c>
      <c r="J112" s="784">
        <f t="shared" si="46"/>
        <v>2916</v>
      </c>
      <c r="K112" s="785" t="s">
        <v>455</v>
      </c>
      <c r="L112" s="843">
        <f t="shared" si="46"/>
        <v>293</v>
      </c>
      <c r="M112" s="843">
        <f>SUM(M109:M111)</f>
        <v>805</v>
      </c>
      <c r="N112" s="844">
        <f>SUM(N109:N111)</f>
        <v>724</v>
      </c>
      <c r="O112" s="819">
        <f>SUM(O110:O111)</f>
        <v>724</v>
      </c>
      <c r="P112" s="785">
        <f>SUM(P109:P111)</f>
        <v>724</v>
      </c>
      <c r="Q112" s="819">
        <f>IF(SUM(Q109:Q111)=0,P112,SUM(Q109:Q111))</f>
        <v>724</v>
      </c>
      <c r="R112" s="785">
        <f>SUM(R109:R111)</f>
        <v>724</v>
      </c>
      <c r="S112" s="820">
        <f>IF(SUM(S109:S111)=0,R112,SUM(S109:S111))</f>
        <v>724</v>
      </c>
      <c r="T112" s="785">
        <v>724</v>
      </c>
      <c r="U112" s="819">
        <v>724</v>
      </c>
      <c r="V112" s="819">
        <f>SUM(V109:V111)</f>
        <v>724</v>
      </c>
      <c r="W112" s="819">
        <f>IF(SUM(W109:W111)=0,V112,SUM(W109:W111))</f>
        <v>724</v>
      </c>
      <c r="X112" s="819">
        <f>SUM(X109:X111)</f>
        <v>724</v>
      </c>
      <c r="Y112" s="819">
        <f>IF(SUM(Y109:Y111)=0,X112,SUM(Y109:Y111))</f>
        <v>724</v>
      </c>
      <c r="Z112" s="819">
        <f>SUM(Z109:Z111)</f>
        <v>745</v>
      </c>
      <c r="AA112" s="819">
        <f>IF(SUM(AA109:AA111)=0,Z112,SUM(AA109:AA111))</f>
        <v>745</v>
      </c>
      <c r="AB112" s="819">
        <f>SUM(AB109:AB111)</f>
        <v>745</v>
      </c>
      <c r="AC112" s="819">
        <f>IF(SUM(AC109:AC111)=0,AB112,SUM(AC109:AC111))</f>
        <v>745</v>
      </c>
      <c r="AD112" s="819"/>
      <c r="AE112" s="819">
        <v>745</v>
      </c>
      <c r="AF112" s="819">
        <v>745</v>
      </c>
      <c r="AG112" s="819">
        <v>745</v>
      </c>
      <c r="AH112" s="819">
        <v>745</v>
      </c>
      <c r="AI112" s="785">
        <v>745</v>
      </c>
      <c r="AJ112" s="785">
        <v>745</v>
      </c>
      <c r="AK112" s="785">
        <v>745</v>
      </c>
      <c r="AL112" s="785">
        <v>745</v>
      </c>
      <c r="AM112" s="785">
        <f>IF(SUM(AM109:AM111)=0,AL112,SUM(AM109:AM111))</f>
        <v>745</v>
      </c>
      <c r="AN112" s="785">
        <f>IF(SUM(AN109:AN111)=0,AM112,SUM(AN109:AN111))</f>
        <v>745</v>
      </c>
      <c r="AO112" s="785">
        <f>IF(SUM(AO109:AO111)=0,AN112,SUM(AO109:AO111))</f>
        <v>745</v>
      </c>
      <c r="AP112" s="785">
        <f>SUM(AP109:AP111)</f>
        <v>750</v>
      </c>
      <c r="AQ112" s="785">
        <f>IF(SUM(AQ109:AQ111)=0,AP112,SUM(AQ109:AQ111))</f>
        <v>750</v>
      </c>
      <c r="AR112" s="785">
        <f>IF(SUM(AR109:AR111)=0,AQ112,SUM(AR109:AR111))</f>
        <v>12107</v>
      </c>
      <c r="AS112" s="820">
        <f>IF(SUM(AS109:AS111)=0,AR112,SUM(AS109:AS111))</f>
        <v>12334.14</v>
      </c>
      <c r="AT112" s="819">
        <f>IF(SUM(AT109:AT111)=0,AS112,SUM(AT109:AT111))</f>
        <v>12335</v>
      </c>
      <c r="AU112" s="785">
        <f t="shared" si="41"/>
        <v>228</v>
      </c>
      <c r="AV112" s="2275">
        <f t="shared" si="31"/>
        <v>1.8832080614520526E-2</v>
      </c>
      <c r="AW112" s="778"/>
      <c r="AX112" s="2016"/>
      <c r="AY112" s="2016"/>
      <c r="AZ112" s="2016"/>
      <c r="BA112" s="2518">
        <f>POWER(AT112/AJ112,1/5)-1</f>
        <v>0.75305917557824165</v>
      </c>
      <c r="BB112" s="2518">
        <f>POWER(AT112/AA112,1/9)-1</f>
        <v>0.36597434376280047</v>
      </c>
      <c r="BC112" s="2332"/>
    </row>
    <row r="113" spans="1:55" ht="14" hidden="1" customHeight="1" outlineLevel="1" x14ac:dyDescent="0.25">
      <c r="A113" s="821"/>
      <c r="B113" s="791"/>
      <c r="C113" s="792"/>
      <c r="D113" s="792"/>
      <c r="E113" s="793"/>
      <c r="F113" s="792"/>
      <c r="G113" s="794"/>
      <c r="H113" s="794"/>
      <c r="I113" s="899"/>
      <c r="J113" s="846"/>
      <c r="K113" s="822"/>
      <c r="L113" s="829"/>
      <c r="M113" s="830"/>
      <c r="N113" s="824"/>
      <c r="O113" s="822"/>
      <c r="P113" s="822"/>
      <c r="Q113" s="822"/>
      <c r="R113" s="822"/>
      <c r="S113" s="822"/>
      <c r="T113" s="822"/>
      <c r="U113" s="822"/>
      <c r="V113" s="822"/>
      <c r="W113" s="822"/>
      <c r="X113" s="822"/>
      <c r="Y113" s="822"/>
      <c r="Z113" s="822"/>
      <c r="AA113" s="822"/>
      <c r="AB113" s="822"/>
      <c r="AC113" s="822"/>
      <c r="AD113" s="822"/>
      <c r="AE113" s="822"/>
      <c r="AF113" s="822"/>
      <c r="AG113" s="822"/>
      <c r="AH113" s="822"/>
      <c r="AI113" s="822"/>
      <c r="AJ113" s="822"/>
      <c r="AK113" s="822"/>
      <c r="AL113" s="822"/>
      <c r="AM113" s="822"/>
      <c r="AN113" s="822"/>
      <c r="AO113" s="822"/>
      <c r="AP113" s="822"/>
      <c r="AQ113" s="822"/>
      <c r="AR113" s="822"/>
      <c r="AS113" s="1160"/>
      <c r="AT113" s="823"/>
      <c r="AU113" s="822" t="str">
        <f t="shared" si="41"/>
        <v/>
      </c>
      <c r="AV113" s="2276" t="str">
        <f t="shared" si="31"/>
        <v/>
      </c>
      <c r="AW113" s="803"/>
      <c r="AX113" s="2016" t="str">
        <f t="shared" si="32"/>
        <v/>
      </c>
      <c r="AY113" s="2016"/>
      <c r="AZ113" s="2016"/>
      <c r="BA113" s="2016"/>
      <c r="BB113" s="2016"/>
    </row>
    <row r="114" spans="1:55" ht="14" customHeight="1" x14ac:dyDescent="0.25">
      <c r="A114" s="771" t="s">
        <v>103</v>
      </c>
      <c r="B114" s="772"/>
      <c r="C114" s="773"/>
      <c r="D114" s="773"/>
      <c r="E114" s="834"/>
      <c r="F114" s="834"/>
      <c r="G114" s="774"/>
      <c r="H114" s="774"/>
      <c r="J114" s="815"/>
      <c r="K114" s="827"/>
      <c r="L114" s="863"/>
      <c r="M114" s="863"/>
      <c r="N114" s="864"/>
      <c r="O114" s="827"/>
      <c r="P114" s="827"/>
      <c r="Q114" s="827"/>
      <c r="R114" s="827"/>
      <c r="S114" s="827"/>
      <c r="T114" s="827"/>
      <c r="U114" s="827"/>
      <c r="V114" s="827"/>
      <c r="W114" s="827"/>
      <c r="X114" s="827"/>
      <c r="Y114" s="827"/>
      <c r="Z114" s="827"/>
      <c r="AA114" s="827"/>
      <c r="AB114" s="827"/>
      <c r="AC114" s="827"/>
      <c r="AD114" s="827"/>
      <c r="AE114" s="827"/>
      <c r="AF114" s="827"/>
      <c r="AG114" s="827"/>
      <c r="AH114" s="827"/>
      <c r="AI114" s="827"/>
      <c r="AJ114" s="827"/>
      <c r="AK114" s="827"/>
      <c r="AL114" s="827"/>
      <c r="AM114" s="827"/>
      <c r="AN114" s="827"/>
      <c r="AO114" s="827"/>
      <c r="AP114" s="827"/>
      <c r="AQ114" s="827"/>
      <c r="AR114" s="827"/>
      <c r="AS114" s="1127"/>
      <c r="AT114" s="828"/>
      <c r="AU114" s="827" t="str">
        <f t="shared" si="41"/>
        <v/>
      </c>
      <c r="AV114" s="2277" t="str">
        <f t="shared" si="31"/>
        <v/>
      </c>
      <c r="AW114" s="865"/>
      <c r="AX114" s="2016" t="str">
        <f t="shared" si="32"/>
        <v/>
      </c>
      <c r="AY114" s="2016"/>
      <c r="AZ114" s="2016"/>
      <c r="BA114" s="2016"/>
      <c r="BB114" s="2016"/>
      <c r="BC114" s="2026"/>
    </row>
    <row r="115" spans="1:55" ht="14" customHeight="1" x14ac:dyDescent="0.25">
      <c r="A115" s="842" t="s">
        <v>560</v>
      </c>
      <c r="B115" s="781">
        <f>SUM($B$14+$B$17+$B$48+$B54+$B$60+$B$81+$B$87+$B$93+$B$103+$B$109)</f>
        <v>316097</v>
      </c>
      <c r="C115" s="781">
        <f>SUM($C$14+$C$17+$C$48+$C54+$C$60+$C$81+$C$87+$C$93+$C$103+$C$109)</f>
        <v>316097</v>
      </c>
      <c r="D115" s="900">
        <f>SUM($D$14+$D$17+$D$48+$D54+$D$60+$D$81+$D$87+$D$93+$D$103+$D$109)</f>
        <v>328343</v>
      </c>
      <c r="E115" s="781">
        <f>SUM($E$14+$E$17+$E$48+$E54+$E$60+$E$81+$E$87+$E$93+$E$103+$E$109)</f>
        <v>328343</v>
      </c>
      <c r="F115" s="900">
        <f>SUM($F$14+$F$17+$F$48+$F54+$F$60+$F$81+$F$87+$F$93+$F$103+$F$109)</f>
        <v>328343</v>
      </c>
      <c r="G115" s="781">
        <f>SUM($G$14+$G$17+$G$48+$G54+$G$60+$G$81+$G$87+$G$93+$G$103+$G$109)</f>
        <v>342131</v>
      </c>
      <c r="H115" s="781">
        <f>SUM($H$14+$H$17+$H$48+$H54+$H$60+$H$81+$H$87+$H$93+$H$103+$H$109)</f>
        <v>340677</v>
      </c>
      <c r="I115" s="782">
        <f>SUM($I$14+$I$17+$I$48+$I54+$I$60+$I$81+$I$87+$I$93+$I$103+$I$109)</f>
        <v>339176.47</v>
      </c>
      <c r="J115" s="784">
        <f t="shared" ref="J115:Q115" si="47">SUM(J$14+J$17+J$48+J54+J$60+J$81+J$87+J$93+J$103+J$109)</f>
        <v>427939</v>
      </c>
      <c r="K115" s="784" t="e">
        <f t="shared" si="47"/>
        <v>#VALUE!</v>
      </c>
      <c r="L115" s="843">
        <f t="shared" si="47"/>
        <v>449457.33</v>
      </c>
      <c r="M115" s="843">
        <f t="shared" si="47"/>
        <v>474034.489</v>
      </c>
      <c r="N115" s="844">
        <f t="shared" si="47"/>
        <v>472038</v>
      </c>
      <c r="O115" s="845">
        <f t="shared" si="47"/>
        <v>474647</v>
      </c>
      <c r="P115" s="845">
        <f t="shared" si="47"/>
        <v>468330</v>
      </c>
      <c r="Q115" s="845">
        <f t="shared" si="47"/>
        <v>468330</v>
      </c>
      <c r="R115" s="845">
        <f>SUM(R$14+R$17+R$48+R54+R$60+R$81+R$87+R$93+R$103+R$109)</f>
        <v>470479</v>
      </c>
      <c r="S115" s="845"/>
      <c r="T115" s="845">
        <v>495890</v>
      </c>
      <c r="U115" s="845">
        <v>495890</v>
      </c>
      <c r="V115" s="845">
        <f t="shared" ref="V115:AA115" si="48">SUM(V$14+V$17+V$48+V54+V$60+V$81+V$87+V$93+V$103+V$109)</f>
        <v>512623</v>
      </c>
      <c r="W115" s="845">
        <f t="shared" si="48"/>
        <v>506106</v>
      </c>
      <c r="X115" s="845">
        <f t="shared" si="48"/>
        <v>519736</v>
      </c>
      <c r="Y115" s="845">
        <f t="shared" si="48"/>
        <v>524736</v>
      </c>
      <c r="Z115" s="845">
        <f t="shared" si="48"/>
        <v>570505</v>
      </c>
      <c r="AA115" s="845">
        <f t="shared" si="48"/>
        <v>570505</v>
      </c>
      <c r="AB115" s="845">
        <f t="shared" ref="AB115" si="49">SUM(AB$14+AB$17+AB$48+AB54+AB$60+AB$81+AB$87+AB$93+AB$103+AB$109)</f>
        <v>582776</v>
      </c>
      <c r="AC115" s="845">
        <f>SUM(AC$14+AC$17+AC$48+AC54+AC$60+AC$81+AC$87+AC$93+AC$103+AC$109)</f>
        <v>582776</v>
      </c>
      <c r="AD115" s="845"/>
      <c r="AE115" s="845">
        <v>524767</v>
      </c>
      <c r="AF115" s="845">
        <v>0</v>
      </c>
      <c r="AG115" s="845">
        <v>540508.3600000001</v>
      </c>
      <c r="AH115" s="845">
        <v>613306</v>
      </c>
      <c r="AI115" s="888">
        <v>631703.53</v>
      </c>
      <c r="AJ115" s="888">
        <v>645503</v>
      </c>
      <c r="AK115" s="888">
        <v>664866.43999999994</v>
      </c>
      <c r="AL115" s="888">
        <v>660577</v>
      </c>
      <c r="AM115" s="888">
        <f t="shared" ref="AM115:AN115" si="50">SUM(AM$14+AM$17+AM$48+AM54+AM$60+AM$81+AM$87+AM$93+AM$103+AM$109)</f>
        <v>673787.44</v>
      </c>
      <c r="AN115" s="888">
        <f t="shared" si="50"/>
        <v>673633</v>
      </c>
      <c r="AO115" s="888">
        <f t="shared" ref="AO115:AP115" si="51">SUM(AO$14+AO$17+AO$48+AO54+AO$60+AO$81+AO$87+AO$93+AO$103+AO$109)</f>
        <v>690087.63</v>
      </c>
      <c r="AP115" s="888">
        <f t="shared" si="51"/>
        <v>696788</v>
      </c>
      <c r="AQ115" s="888">
        <f t="shared" ref="AQ115:AR115" si="52">SUM(AQ$14+AQ$17+AQ$48+AQ54+AQ$60+AQ$81+AQ$87+AQ$93+AQ$103+AQ$109)</f>
        <v>710722.66</v>
      </c>
      <c r="AR115" s="888">
        <f t="shared" si="52"/>
        <v>718317</v>
      </c>
      <c r="AS115" s="1626">
        <f t="shared" ref="AS115:AT115" si="53">SUM(AS$14+AS$17+AS$48+AS54+AS$60+AS$81+AS$87+AS$93+AS$103+AS$109)</f>
        <v>732682.23999999999</v>
      </c>
      <c r="AT115" s="845">
        <f t="shared" si="53"/>
        <v>721274</v>
      </c>
      <c r="AU115" s="888">
        <f t="shared" si="41"/>
        <v>2957</v>
      </c>
      <c r="AV115" s="2275">
        <f t="shared" si="31"/>
        <v>4.116566919619054E-3</v>
      </c>
      <c r="AW115" s="865"/>
      <c r="AX115" s="2016"/>
      <c r="AY115" s="2016"/>
      <c r="AZ115" s="2016"/>
      <c r="BA115" s="2016"/>
      <c r="BB115" s="2016"/>
      <c r="BC115" s="2026"/>
    </row>
    <row r="116" spans="1:55" ht="14" customHeight="1" x14ac:dyDescent="0.25">
      <c r="A116" s="842" t="s">
        <v>718</v>
      </c>
      <c r="B116" s="781">
        <f>SUM($B$18+$B$32+$B$49+$B$55+$B$61+$B$67++$B$76+$B82+$B$88+$B$94+$B$104+$B$110)</f>
        <v>230141</v>
      </c>
      <c r="C116" s="781">
        <f>SUM($C$18+$C$32+$C$49+$C$55+$C$61+$C$67+$C$76+$C$82+$C$88+$C$94+$C$104+$C$110)</f>
        <v>224814.6</v>
      </c>
      <c r="D116" s="781">
        <f>SUM($D$18+$D$32+$D$49+$D$55+$D$61+$D$67+$D$76+$D$82+$D$88+$D$94+$D$104+$D$110)</f>
        <v>257709</v>
      </c>
      <c r="E116" s="781">
        <f>SUM($E$18+$E$32+$E$49+$E$55+$E$61+$E$67+$E$76+$E$82+$E$88+$E$94+$E$104+$E$110)</f>
        <v>251257.82000000004</v>
      </c>
      <c r="F116" s="781">
        <f>SUM($F$18+$F$32+$F$38+$F$43+$F$49+$F$55+$F$61+$F$67+$F$76+$F$82+$F$88+$F$94+$F$104+$F$110)</f>
        <v>260043</v>
      </c>
      <c r="G116" s="781">
        <f>SUM($G$18+$G$32+$G$38+$G$43+$G$49+$G$55+$G$61+$G$67+$G$76+$G$82+$G$88+$G$94+$G$104+$G$110)</f>
        <v>256588.26</v>
      </c>
      <c r="H116" s="781">
        <f>SUM($H$18+$H$32+$H$38+$H$43+$H$49+$H$55+$H$61+$H$67+$H$76+$H$82+$H$88+$H$94+$H$104+$H$110)</f>
        <v>289369</v>
      </c>
      <c r="I116" s="782">
        <f>SUM($I$18+$I$32+$I$38+$I$43+$I$49+$I$55+$I$61+$I$67+$I$76+$I$82+$I$88+$I$94+$I$104+$I$110)</f>
        <v>271482.43</v>
      </c>
      <c r="J116" s="784">
        <f t="shared" ref="J116:AC116" si="54">SUM(J$18+J$32+J$38+J$43+J$49+J$55+J$61+J$67+J$76+J$82+J$88+J$94+J$104+J$110)</f>
        <v>259865.8</v>
      </c>
      <c r="K116" s="784">
        <f t="shared" si="54"/>
        <v>0</v>
      </c>
      <c r="L116" s="843">
        <f t="shared" si="54"/>
        <v>222031.50000000003</v>
      </c>
      <c r="M116" s="843">
        <f t="shared" si="54"/>
        <v>265406</v>
      </c>
      <c r="N116" s="844">
        <f t="shared" si="54"/>
        <v>215869</v>
      </c>
      <c r="O116" s="845">
        <f t="shared" si="54"/>
        <v>222649</v>
      </c>
      <c r="P116" s="845">
        <f t="shared" si="54"/>
        <v>203931</v>
      </c>
      <c r="Q116" s="845">
        <f t="shared" si="54"/>
        <v>203931</v>
      </c>
      <c r="R116" s="845">
        <f t="shared" si="54"/>
        <v>207002</v>
      </c>
      <c r="S116" s="845"/>
      <c r="T116" s="845">
        <v>219536</v>
      </c>
      <c r="U116" s="845">
        <v>219536</v>
      </c>
      <c r="V116" s="845">
        <f t="shared" si="54"/>
        <v>225913</v>
      </c>
      <c r="W116" s="845">
        <f t="shared" si="54"/>
        <v>225913</v>
      </c>
      <c r="X116" s="845">
        <f t="shared" si="54"/>
        <v>231417</v>
      </c>
      <c r="Y116" s="845">
        <f t="shared" si="54"/>
        <v>234860</v>
      </c>
      <c r="Z116" s="845">
        <f t="shared" si="54"/>
        <v>268788</v>
      </c>
      <c r="AA116" s="845">
        <f t="shared" si="54"/>
        <v>271747</v>
      </c>
      <c r="AB116" s="845">
        <f t="shared" si="54"/>
        <v>280725</v>
      </c>
      <c r="AC116" s="845">
        <f t="shared" si="54"/>
        <v>280725</v>
      </c>
      <c r="AD116" s="845"/>
      <c r="AE116" s="845">
        <v>352152</v>
      </c>
      <c r="AF116" s="845">
        <v>0</v>
      </c>
      <c r="AG116" s="845">
        <v>362716.56000000006</v>
      </c>
      <c r="AH116" s="845">
        <v>315309</v>
      </c>
      <c r="AI116" s="888">
        <v>324768.26999999996</v>
      </c>
      <c r="AJ116" s="888">
        <v>336211</v>
      </c>
      <c r="AK116" s="888">
        <v>346297.33</v>
      </c>
      <c r="AL116" s="888">
        <v>344972</v>
      </c>
      <c r="AM116" s="888">
        <f t="shared" ref="AM116:AT116" si="55">SUM(AM$18+AM$32+AM$38+AM$43+AM$49+AM$55+AM$61+AM$67+AM$76+AM$82+AM$88+AM$94+AM$104+AM$110)</f>
        <v>351871.44000000006</v>
      </c>
      <c r="AN116" s="888">
        <f t="shared" si="55"/>
        <v>357468</v>
      </c>
      <c r="AO116" s="888">
        <f t="shared" si="55"/>
        <v>366263.06</v>
      </c>
      <c r="AP116" s="888">
        <f t="shared" si="55"/>
        <v>379811</v>
      </c>
      <c r="AQ116" s="888">
        <f t="shared" si="55"/>
        <v>387407.22</v>
      </c>
      <c r="AR116" s="888">
        <f t="shared" si="55"/>
        <v>396445</v>
      </c>
      <c r="AS116" s="1626">
        <f t="shared" si="55"/>
        <v>404373.9</v>
      </c>
      <c r="AT116" s="845">
        <f t="shared" si="55"/>
        <v>437246</v>
      </c>
      <c r="AU116" s="888">
        <f t="shared" si="41"/>
        <v>40801</v>
      </c>
      <c r="AV116" s="2275">
        <f t="shared" si="31"/>
        <v>0.10291717640530212</v>
      </c>
      <c r="AW116" s="901"/>
      <c r="AX116" s="2016"/>
      <c r="AY116" s="2016"/>
      <c r="AZ116" s="2016"/>
      <c r="BA116" s="2016"/>
      <c r="BB116" s="2016"/>
      <c r="BC116" s="2028"/>
    </row>
    <row r="117" spans="1:55" ht="14" customHeight="1" x14ac:dyDescent="0.25">
      <c r="A117" s="842" t="s">
        <v>812</v>
      </c>
      <c r="B117" s="781">
        <f>SUM($B$19+$B$24+$B$28+$B$33+$B$39+$B$50+$B$56+$B$62+$B$68+$B$72+$B$77+$B$83+$B$89+$B$95+$B$99+$B$105+$B$111)</f>
        <v>248535</v>
      </c>
      <c r="C117" s="781">
        <f>SUM($C$19+$C$24+$C$28+$C$33+$C$39+$C$50+$C$56+$C$62+$C$68+$C$72+$C$77+$C$83+$C$89+$C$95+$C$99+$C$105+$C$111)</f>
        <v>205434.74000000002</v>
      </c>
      <c r="D117" s="781">
        <f>SUM($D$19+$D$24+$D$28+$D$33+$D$39+$D$50+$D$56+$D$62+$D$68+$D$72+$D$77+$D$83+$D$89+$D$95+$D$99+$D$105+$D$111)</f>
        <v>239588</v>
      </c>
      <c r="E117" s="781">
        <f>SUM($E$19+$E$24+$E$28+$E$33+$E$39+$E$44+$E$50+$E$56+$E$62+$E$68+$E$72+$E$77+$E$83+$E$89+$E$95+$E$99+$E$105+$E$111)</f>
        <v>299438.49000000005</v>
      </c>
      <c r="F117" s="781">
        <f>SUM($F$19+$F$24+$F$28+$F$33+$F$39+$F$44+$F$50+$F$56+$F$62+$F$68+$F$72+$F$77+$F$83+$F$89+$F$95+$F$99+$F$105+$F$111)</f>
        <v>258168</v>
      </c>
      <c r="G117" s="781">
        <f>SUM($G$19+$G$24+$G$28+$G$33+$G$39+$G$44+$G$50+$G$56+$G$62+$G$68+$G$72+$G$77+$G$83+$G$89+$G$95+$G$99+$G$105+$G$111)</f>
        <v>288402.47999999992</v>
      </c>
      <c r="H117" s="781">
        <f>SUM($H$19+$H$24+$H$28+$H$33+$H$39+$H$44+$H$50+$H$56+$H$62+$H$68+$H$72+$H$77+$H$83+$H$89+$H$95+$H$99+$H$105+$H$111)</f>
        <v>272492</v>
      </c>
      <c r="I117" s="782">
        <f>SUM(I$19+$I$24+$I$28+$I$33+$I$39+$I$44+$I$50+$I$56+$I$62+$I$68+$I$72+$I$77+$I$83+$I$89+$I$95+$I$100+$I$105+$I$111)</f>
        <v>191208.09999999998</v>
      </c>
      <c r="J117" s="782">
        <f>SUM(J$19+J$24+J$28+J$33+J$39+J$44+J$50+J$56+J$62+J$68+J$72+J$77+J$83+J$89+J$95+J$100+J$105+J$111)</f>
        <v>285963</v>
      </c>
      <c r="K117" s="782" t="e">
        <f>SUM(K$19+K$24+K$28+K$33+K$39+K$44+K$50+K$56+K$62+K$68+K$72+K$77+K$83+K$89+K$95+K$100+K$105+K$111)</f>
        <v>#VALUE!</v>
      </c>
      <c r="L117" s="782">
        <f>SUM(L$19+L$24+L$28+L$33+L$39+L$44+L$50+L$56+L$62+L$68+L$72+L$77+L$83+L$89+L$95+L$100+L$105+L$111)</f>
        <v>326483.42000000004</v>
      </c>
      <c r="M117" s="782">
        <f>SUM(M$19+M$24+M$28+M$33+M$39+M$44+M$50+M$56+M$62+M63+M$68+M$72+M$77+M$83+M$89+M$95+M$100+M$105+M$111)</f>
        <v>302540</v>
      </c>
      <c r="N117" s="880">
        <f>SUM(N$19+N$24+N$28+N$33+N$39+N$44+N$50+N$56+N$62+N$68+N$72+N$77+N$83+N$89+N$95+N$100+N$105+N$111)</f>
        <v>289178</v>
      </c>
      <c r="O117" s="888">
        <f>SUM(O$19+O$24+O$28+O$33+O$39+O$44+O$50+O$56+O$62+O$68+O$72+O$77+O$83+O$89+O$95+O$100+O$105+O$111)</f>
        <v>293590</v>
      </c>
      <c r="P117" s="888">
        <f>SUM(P$19+P$24+P$28+P$33+P$39+P$44+P$50+P$56+P$62+P$68+P$72+P$77+P$83+P$89+P$95+P$100+P$105+P$111)</f>
        <v>321596</v>
      </c>
      <c r="Q117" s="888">
        <f>SUM(Q$19+Q$24+Q$28+Q$33+Q$39+Q$44+Q$50+Q$56+Q$62+Q$68+Q$72+Q$77+Q$83+Q$89+Q$95+Q$100+Q$105+Q$111)</f>
        <v>321596</v>
      </c>
      <c r="R117" s="888">
        <f>SUM(R$19+R$24+R$28+R$33+R$39+R$44+R$50+R$56+R$62+R$68+R$72+R$77+R$83+R$89+R$95+R$100+R$105+R$111)</f>
        <v>320024</v>
      </c>
      <c r="S117" s="888"/>
      <c r="T117" s="888">
        <v>328872</v>
      </c>
      <c r="U117" s="888">
        <v>331968</v>
      </c>
      <c r="V117" s="888">
        <f t="shared" ref="V117:AC117" si="56">SUM(V$19+V$24+V$28+V$33+V$39+V$44+V$50+V$56+V$62+V$68+V$72+V$77+V$83+V$89+V$95+V$100+V$105+V$111)</f>
        <v>333616</v>
      </c>
      <c r="W117" s="888">
        <f t="shared" si="56"/>
        <v>338616</v>
      </c>
      <c r="X117" s="888">
        <f t="shared" si="56"/>
        <v>357083</v>
      </c>
      <c r="Y117" s="888">
        <f t="shared" si="56"/>
        <v>369177</v>
      </c>
      <c r="Z117" s="888">
        <f t="shared" si="56"/>
        <v>369969</v>
      </c>
      <c r="AA117" s="888">
        <f t="shared" si="56"/>
        <v>369969</v>
      </c>
      <c r="AB117" s="888">
        <f t="shared" si="56"/>
        <v>393476</v>
      </c>
      <c r="AC117" s="888">
        <f t="shared" si="56"/>
        <v>393476</v>
      </c>
      <c r="AD117" s="888"/>
      <c r="AE117" s="888">
        <v>442505.01</v>
      </c>
      <c r="AF117" s="888">
        <v>0</v>
      </c>
      <c r="AG117" s="888">
        <v>442505.01</v>
      </c>
      <c r="AH117" s="888">
        <v>456655</v>
      </c>
      <c r="AI117" s="888">
        <v>456655.01</v>
      </c>
      <c r="AJ117" s="888">
        <v>559095</v>
      </c>
      <c r="AK117" s="888">
        <v>559095</v>
      </c>
      <c r="AL117" s="888">
        <v>558705</v>
      </c>
      <c r="AM117" s="888">
        <f t="shared" ref="AM117:AT117" si="57">SUM(AM$19+AM$24+AM$28+AM$33+AM$39+AM$44+AM$50+AM$56+AM$62+AM$63+AM$68+AM$72+AM$77+AM$83+AM$89+AM$95+AM$100+AM$105+AM$111)</f>
        <v>566355</v>
      </c>
      <c r="AN117" s="888">
        <f t="shared" si="57"/>
        <v>574859</v>
      </c>
      <c r="AO117" s="888">
        <f t="shared" si="57"/>
        <v>582509</v>
      </c>
      <c r="AP117" s="888">
        <f t="shared" si="57"/>
        <v>582343</v>
      </c>
      <c r="AQ117" s="888">
        <f t="shared" si="57"/>
        <v>574243</v>
      </c>
      <c r="AR117" s="888">
        <f t="shared" si="57"/>
        <v>575624</v>
      </c>
      <c r="AS117" s="1626">
        <f t="shared" si="57"/>
        <v>584124</v>
      </c>
      <c r="AT117" s="845">
        <f t="shared" si="57"/>
        <v>580169</v>
      </c>
      <c r="AU117" s="888">
        <f t="shared" si="41"/>
        <v>4545</v>
      </c>
      <c r="AV117" s="2275">
        <f t="shared" si="31"/>
        <v>7.8957791891929446E-3</v>
      </c>
      <c r="AW117" s="865"/>
      <c r="AX117" s="2016"/>
      <c r="AY117" s="2016"/>
      <c r="AZ117" s="2016"/>
      <c r="BA117" s="2016"/>
      <c r="BB117" s="2016"/>
      <c r="BC117" s="2026"/>
    </row>
    <row r="118" spans="1:55" ht="14" customHeight="1" x14ac:dyDescent="0.25">
      <c r="A118" s="842" t="s">
        <v>911</v>
      </c>
      <c r="B118" s="780"/>
      <c r="C118" s="781"/>
      <c r="D118" s="781"/>
      <c r="E118" s="781"/>
      <c r="F118" s="781"/>
      <c r="G118" s="781"/>
      <c r="H118" s="781"/>
      <c r="I118" s="782"/>
      <c r="J118" s="782"/>
      <c r="K118" s="782"/>
      <c r="L118" s="782"/>
      <c r="M118" s="782"/>
      <c r="N118" s="880"/>
      <c r="O118" s="888"/>
      <c r="P118" s="888"/>
      <c r="Q118" s="888"/>
      <c r="R118" s="888"/>
      <c r="S118" s="888"/>
      <c r="T118" s="888"/>
      <c r="U118" s="888"/>
      <c r="V118" s="888"/>
      <c r="W118" s="888"/>
      <c r="X118" s="888"/>
      <c r="Y118" s="888"/>
      <c r="Z118" s="888"/>
      <c r="AA118" s="888"/>
      <c r="AB118" s="888"/>
      <c r="AC118" s="888"/>
      <c r="AD118" s="888"/>
      <c r="AE118" s="888">
        <v>100000</v>
      </c>
      <c r="AF118" s="888">
        <v>0</v>
      </c>
      <c r="AG118" s="888">
        <v>100000</v>
      </c>
      <c r="AH118" s="888">
        <v>100000</v>
      </c>
      <c r="AI118" s="888">
        <v>100000</v>
      </c>
      <c r="AJ118" s="888">
        <v>100000</v>
      </c>
      <c r="AK118" s="888">
        <v>100000</v>
      </c>
      <c r="AL118" s="888">
        <v>100000</v>
      </c>
      <c r="AM118" s="888">
        <f t="shared" ref="AM118:AN118" si="58">AM34</f>
        <v>100000</v>
      </c>
      <c r="AN118" s="888">
        <f t="shared" si="58"/>
        <v>100000</v>
      </c>
      <c r="AO118" s="888">
        <f t="shared" ref="AO118:AP118" si="59">AO34</f>
        <v>100000</v>
      </c>
      <c r="AP118" s="888">
        <f t="shared" si="59"/>
        <v>100000</v>
      </c>
      <c r="AQ118" s="888">
        <f t="shared" ref="AQ118:AR118" si="60">AQ34</f>
        <v>100000</v>
      </c>
      <c r="AR118" s="888">
        <f t="shared" si="60"/>
        <v>100000</v>
      </c>
      <c r="AS118" s="1626">
        <f t="shared" ref="AS118:AT118" si="61">AS34</f>
        <v>100000</v>
      </c>
      <c r="AT118" s="845">
        <f t="shared" si="61"/>
        <v>100000</v>
      </c>
      <c r="AU118" s="888">
        <f t="shared" si="41"/>
        <v>0</v>
      </c>
      <c r="AV118" s="2275">
        <f t="shared" si="31"/>
        <v>0</v>
      </c>
      <c r="AW118" s="865"/>
      <c r="AX118" s="2016" t="str">
        <f t="shared" si="32"/>
        <v/>
      </c>
      <c r="AY118" s="2016"/>
      <c r="AZ118" s="2016"/>
      <c r="BA118" s="2016"/>
      <c r="BB118" s="2016"/>
      <c r="BC118" s="2026"/>
    </row>
    <row r="119" spans="1:55" ht="14" customHeight="1" x14ac:dyDescent="0.3">
      <c r="A119" s="842" t="s">
        <v>288</v>
      </c>
      <c r="B119" s="780"/>
      <c r="C119" s="781"/>
      <c r="D119" s="781"/>
      <c r="E119" s="781"/>
      <c r="F119" s="781"/>
      <c r="G119" s="781"/>
      <c r="H119" s="781"/>
      <c r="I119" s="782"/>
      <c r="J119" s="782"/>
      <c r="K119" s="782"/>
      <c r="L119" s="782">
        <f>L63</f>
        <v>15000</v>
      </c>
      <c r="M119" s="782">
        <f>M63</f>
        <v>0</v>
      </c>
      <c r="N119" s="880">
        <f>N63</f>
        <v>8500</v>
      </c>
      <c r="O119" s="888">
        <f>O63</f>
        <v>0</v>
      </c>
      <c r="P119" s="888">
        <f>P63</f>
        <v>0</v>
      </c>
      <c r="Q119" s="888">
        <v>0</v>
      </c>
      <c r="R119" s="888">
        <f>R63</f>
        <v>8500</v>
      </c>
      <c r="S119" s="888"/>
      <c r="T119" s="888"/>
      <c r="U119" s="888"/>
      <c r="V119" s="888">
        <v>8500</v>
      </c>
      <c r="W119" s="888">
        <f>V119</f>
        <v>8500</v>
      </c>
      <c r="X119" s="888">
        <f t="shared" ref="X119:AC119" si="62">X63</f>
        <v>0</v>
      </c>
      <c r="Y119" s="888">
        <f t="shared" si="62"/>
        <v>0</v>
      </c>
      <c r="Z119" s="888">
        <f t="shared" si="62"/>
        <v>7000</v>
      </c>
      <c r="AA119" s="888">
        <f t="shared" si="62"/>
        <v>7000</v>
      </c>
      <c r="AB119" s="888">
        <f t="shared" si="62"/>
        <v>0</v>
      </c>
      <c r="AC119" s="888">
        <f t="shared" si="62"/>
        <v>0</v>
      </c>
      <c r="AD119" s="888"/>
      <c r="AE119" s="888">
        <v>7000</v>
      </c>
      <c r="AF119" s="888">
        <v>0</v>
      </c>
      <c r="AG119" s="888">
        <v>0</v>
      </c>
      <c r="AH119" s="888">
        <v>0</v>
      </c>
      <c r="AI119" s="888">
        <v>7650</v>
      </c>
      <c r="AJ119" s="888">
        <v>7650</v>
      </c>
      <c r="AK119" s="888"/>
      <c r="AL119" s="888"/>
      <c r="AM119" s="888"/>
      <c r="AN119" s="888"/>
      <c r="AO119" s="888"/>
      <c r="AP119" s="888"/>
      <c r="AQ119" s="888"/>
      <c r="AR119" s="888"/>
      <c r="AS119" s="1626"/>
      <c r="AT119" s="2348">
        <v>8500</v>
      </c>
      <c r="AU119" s="888" t="str">
        <f t="shared" si="41"/>
        <v/>
      </c>
      <c r="AV119" s="2275" t="str">
        <f t="shared" si="31"/>
        <v/>
      </c>
      <c r="AW119" s="865"/>
      <c r="AX119" s="2016" t="str">
        <f t="shared" si="32"/>
        <v/>
      </c>
      <c r="AY119" s="2016"/>
      <c r="AZ119" s="2016"/>
      <c r="BA119" s="2016"/>
      <c r="BB119" s="2016"/>
      <c r="BC119" s="2026"/>
    </row>
    <row r="120" spans="1:55" ht="14" customHeight="1" collapsed="1" thickBot="1" x14ac:dyDescent="0.3">
      <c r="A120" s="902" t="s">
        <v>724</v>
      </c>
      <c r="B120" s="903">
        <f>SUM(B115:B117)</f>
        <v>794773</v>
      </c>
      <c r="C120" s="904">
        <f>SUM(C114:C117)</f>
        <v>746346.34</v>
      </c>
      <c r="D120" s="904">
        <f>SUM(D114:D117)</f>
        <v>825640</v>
      </c>
      <c r="E120" s="904">
        <f>SUM(E114:E117)</f>
        <v>879039.31</v>
      </c>
      <c r="F120" s="904">
        <f t="shared" ref="F120:K120" si="63">SUM(F115:F117)</f>
        <v>846554</v>
      </c>
      <c r="G120" s="904">
        <f t="shared" si="63"/>
        <v>887121.74</v>
      </c>
      <c r="H120" s="904">
        <f t="shared" si="63"/>
        <v>902538</v>
      </c>
      <c r="I120" s="905">
        <f t="shared" si="63"/>
        <v>801866.99999999988</v>
      </c>
      <c r="J120" s="906">
        <f t="shared" si="63"/>
        <v>973767.8</v>
      </c>
      <c r="K120" s="906" t="e">
        <f t="shared" si="63"/>
        <v>#VALUE!</v>
      </c>
      <c r="L120" s="907">
        <f>SUM(L115:L119)</f>
        <v>1012972.2500000001</v>
      </c>
      <c r="M120" s="907">
        <f>SUM(M115:M119)</f>
        <v>1041980.4890000001</v>
      </c>
      <c r="N120" s="908">
        <f>SUM(N115:N119)</f>
        <v>985585</v>
      </c>
      <c r="O120" s="909">
        <f>SUM(O115:O119)</f>
        <v>990886</v>
      </c>
      <c r="P120" s="909">
        <f>SUM(P115:P119)</f>
        <v>993857</v>
      </c>
      <c r="Q120" s="909">
        <f>IF(SUM(Q115:Q117)=0,P120,SUM(Q115:Q119))</f>
        <v>993857</v>
      </c>
      <c r="R120" s="909">
        <f>SUM(R115:R119)</f>
        <v>1006005</v>
      </c>
      <c r="S120" s="909">
        <f>IF(SUM(S115:S117)=0,R120,SUM(S115:S119))</f>
        <v>1006005</v>
      </c>
      <c r="T120" s="909">
        <v>1044298</v>
      </c>
      <c r="U120" s="909">
        <v>1047394</v>
      </c>
      <c r="V120" s="909">
        <f>SUM(V115:V119)</f>
        <v>1080652</v>
      </c>
      <c r="W120" s="909">
        <f>IF(SUM(W115:W117)=0,V120,SUM(W115:W119))</f>
        <v>1079135</v>
      </c>
      <c r="X120" s="909">
        <f>SUM(X115:X119)</f>
        <v>1108236</v>
      </c>
      <c r="Y120" s="909">
        <f>IF(SUM(Y115:Y117)=0,X120,SUM(Y115:Y119))</f>
        <v>1128773</v>
      </c>
      <c r="Z120" s="909">
        <f>SUM(Z115:Z119)</f>
        <v>1216262</v>
      </c>
      <c r="AA120" s="909">
        <f>IF(SUM(AA115:AA117)=0,Z120,SUM(AA115:AA119))</f>
        <v>1219221</v>
      </c>
      <c r="AB120" s="909">
        <f>SUM(AB115:AB119)</f>
        <v>1256977</v>
      </c>
      <c r="AC120" s="909">
        <f>SUM(AC115:AC119)</f>
        <v>1256977</v>
      </c>
      <c r="AD120" s="909"/>
      <c r="AE120" s="909">
        <v>1426424.01</v>
      </c>
      <c r="AF120" s="909">
        <v>0</v>
      </c>
      <c r="AG120" s="909">
        <v>1445729.9300000002</v>
      </c>
      <c r="AH120" s="909">
        <v>1485270</v>
      </c>
      <c r="AI120" s="909">
        <v>1520776.81</v>
      </c>
      <c r="AJ120" s="909">
        <v>1648459</v>
      </c>
      <c r="AK120" s="909">
        <v>1670258.77</v>
      </c>
      <c r="AL120" s="909">
        <v>1664254</v>
      </c>
      <c r="AM120" s="909">
        <f t="shared" ref="AM120:AR120" si="64">SUM(AM115:AM119)</f>
        <v>1692013.88</v>
      </c>
      <c r="AN120" s="909">
        <f t="shared" si="64"/>
        <v>1705960</v>
      </c>
      <c r="AO120" s="909">
        <f t="shared" si="64"/>
        <v>1738859.69</v>
      </c>
      <c r="AP120" s="909">
        <f t="shared" si="64"/>
        <v>1758942</v>
      </c>
      <c r="AQ120" s="909">
        <f t="shared" si="64"/>
        <v>1772372.88</v>
      </c>
      <c r="AR120" s="909">
        <f t="shared" si="64"/>
        <v>1790386</v>
      </c>
      <c r="AS120" s="1627">
        <f t="shared" ref="AS120" si="65">SUM(AS115:AS119)</f>
        <v>1821180.1400000001</v>
      </c>
      <c r="AT120" s="2266">
        <f>SUM(AT115:AT118)</f>
        <v>1838689</v>
      </c>
      <c r="AU120" s="909">
        <f t="shared" si="41"/>
        <v>48303</v>
      </c>
      <c r="AV120" s="2280">
        <f t="shared" si="31"/>
        <v>2.6979098362029195E-2</v>
      </c>
      <c r="AW120" s="910" t="s">
        <v>725</v>
      </c>
      <c r="AX120" s="2016"/>
      <c r="AY120" s="2016"/>
      <c r="AZ120" s="2016"/>
      <c r="BA120" s="2518">
        <f>POWER(AT120/AJ120,1/5)-1</f>
        <v>2.208267223664806E-2</v>
      </c>
      <c r="BB120" s="2518">
        <f>POWER(AT120/AA120,1/9)-1</f>
        <v>4.6706915982900776E-2</v>
      </c>
      <c r="BC120" s="2332"/>
    </row>
    <row r="121" spans="1:55" ht="14" hidden="1" customHeight="1" outlineLevel="1" thickTop="1" x14ac:dyDescent="0.25">
      <c r="A121" s="771" t="s">
        <v>726</v>
      </c>
      <c r="B121" s="772"/>
      <c r="C121" s="773"/>
      <c r="D121" s="773"/>
      <c r="E121" s="773"/>
      <c r="F121" s="773"/>
      <c r="G121" s="773"/>
      <c r="H121" s="774"/>
      <c r="J121" s="847"/>
      <c r="K121" s="825"/>
      <c r="L121" s="831"/>
      <c r="M121" s="831"/>
      <c r="N121" s="831"/>
      <c r="O121" s="825"/>
      <c r="P121" s="825"/>
      <c r="Q121" s="825"/>
      <c r="R121" s="825"/>
      <c r="S121" s="825"/>
      <c r="T121" s="825"/>
      <c r="U121" s="825"/>
      <c r="V121" s="825"/>
      <c r="W121" s="825"/>
      <c r="X121" s="825"/>
      <c r="Y121" s="825"/>
      <c r="Z121" s="825"/>
      <c r="AA121" s="825"/>
      <c r="AB121" s="825"/>
      <c r="AC121" s="825"/>
      <c r="AD121" s="825"/>
      <c r="AE121" s="825"/>
      <c r="AF121" s="825"/>
      <c r="AG121" s="825"/>
      <c r="AH121" s="825"/>
      <c r="AI121" s="825"/>
      <c r="AJ121" s="825"/>
      <c r="AK121" s="825"/>
      <c r="AL121" s="825"/>
      <c r="AM121" s="825"/>
      <c r="AN121" s="825"/>
      <c r="AO121" s="825"/>
      <c r="AP121" s="825"/>
      <c r="AQ121" s="825"/>
      <c r="AR121" s="825"/>
      <c r="AS121" s="1110"/>
      <c r="AT121" s="1040"/>
      <c r="AU121" s="825" t="str">
        <f t="shared" si="41"/>
        <v/>
      </c>
      <c r="AV121" s="2274" t="str">
        <f t="shared" si="31"/>
        <v/>
      </c>
      <c r="AW121" s="778"/>
      <c r="AX121" s="2016"/>
      <c r="AY121" s="2016"/>
      <c r="AZ121" s="2016"/>
      <c r="BA121" s="2016"/>
      <c r="BB121" s="2016"/>
    </row>
    <row r="122" spans="1:55" ht="14" hidden="1" customHeight="1" outlineLevel="1" collapsed="1" x14ac:dyDescent="0.25">
      <c r="A122" s="779" t="s">
        <v>727</v>
      </c>
      <c r="B122" s="772"/>
      <c r="C122" s="773"/>
      <c r="D122" s="773"/>
      <c r="E122" s="773"/>
      <c r="F122" s="773"/>
      <c r="G122" s="773"/>
      <c r="H122" s="774"/>
      <c r="J122" s="847"/>
      <c r="K122" s="825"/>
      <c r="L122" s="831"/>
      <c r="M122" s="831"/>
      <c r="N122" s="831"/>
      <c r="O122" s="825"/>
      <c r="P122" s="825"/>
      <c r="Q122" s="825"/>
      <c r="R122" s="825"/>
      <c r="S122" s="825"/>
      <c r="T122" s="825"/>
      <c r="U122" s="825"/>
      <c r="V122" s="825"/>
      <c r="W122" s="825"/>
      <c r="X122" s="825"/>
      <c r="Y122" s="825"/>
      <c r="Z122" s="825"/>
      <c r="AA122" s="825"/>
      <c r="AB122" s="825"/>
      <c r="AC122" s="825"/>
      <c r="AD122" s="825"/>
      <c r="AE122" s="825"/>
      <c r="AF122" s="825"/>
      <c r="AG122" s="825"/>
      <c r="AH122" s="825"/>
      <c r="AI122" s="825"/>
      <c r="AJ122" s="825"/>
      <c r="AK122" s="825"/>
      <c r="AL122" s="825"/>
      <c r="AM122" s="825"/>
      <c r="AN122" s="825"/>
      <c r="AO122" s="825"/>
      <c r="AP122" s="825"/>
      <c r="AQ122" s="825"/>
      <c r="AR122" s="825"/>
      <c r="AS122" s="1110"/>
      <c r="AT122" s="1040"/>
      <c r="AU122" s="825" t="str">
        <f t="shared" si="41"/>
        <v/>
      </c>
      <c r="AV122" s="2274" t="str">
        <f t="shared" si="31"/>
        <v/>
      </c>
      <c r="AW122" s="778"/>
      <c r="AX122" s="2016"/>
      <c r="AY122" s="2016"/>
      <c r="AZ122" s="2016"/>
      <c r="BA122" s="2016"/>
      <c r="BB122" s="2016"/>
      <c r="BC122" s="2011" t="s">
        <v>1220</v>
      </c>
    </row>
    <row r="123" spans="1:55" ht="14" hidden="1" customHeight="1" outlineLevel="1" x14ac:dyDescent="0.25">
      <c r="A123" s="779" t="s">
        <v>717</v>
      </c>
      <c r="B123" s="775">
        <v>127334</v>
      </c>
      <c r="C123" s="773">
        <v>127334</v>
      </c>
      <c r="D123" s="850">
        <v>133862</v>
      </c>
      <c r="E123" s="773">
        <v>133862</v>
      </c>
      <c r="F123" s="850">
        <v>133862</v>
      </c>
      <c r="G123" s="850">
        <v>133862</v>
      </c>
      <c r="H123" s="851">
        <v>141754</v>
      </c>
      <c r="I123" s="851">
        <f>97956+41798+2000</f>
        <v>141754</v>
      </c>
      <c r="J123" s="806">
        <v>146303</v>
      </c>
      <c r="K123" s="788"/>
      <c r="L123" s="911">
        <v>142524</v>
      </c>
      <c r="M123" s="807">
        <v>145838</v>
      </c>
      <c r="N123" s="808">
        <v>148886</v>
      </c>
      <c r="O123" s="788">
        <v>142219</v>
      </c>
      <c r="P123" s="788">
        <v>144202</v>
      </c>
      <c r="Q123" s="788">
        <v>144202</v>
      </c>
      <c r="R123" s="788">
        <v>145113</v>
      </c>
      <c r="S123" s="788"/>
      <c r="T123" s="788">
        <v>149530</v>
      </c>
      <c r="U123" s="788">
        <v>148671</v>
      </c>
      <c r="V123" s="810">
        <v>149530</v>
      </c>
      <c r="W123" s="788">
        <f>V123</f>
        <v>149530</v>
      </c>
      <c r="X123" s="810">
        <v>157062</v>
      </c>
      <c r="Y123" s="810">
        <v>157062</v>
      </c>
      <c r="Z123" s="810">
        <v>161789</v>
      </c>
      <c r="AA123" s="810">
        <f>Z123</f>
        <v>161789</v>
      </c>
      <c r="AB123" s="810">
        <v>115315</v>
      </c>
      <c r="AC123" s="810">
        <f>AB123</f>
        <v>115315</v>
      </c>
      <c r="AD123" s="810"/>
      <c r="AE123" s="810">
        <v>115965</v>
      </c>
      <c r="AF123" s="810"/>
      <c r="AG123" s="810">
        <v>119443.95</v>
      </c>
      <c r="AH123" s="810">
        <v>128150</v>
      </c>
      <c r="AI123" s="810">
        <v>131994.5</v>
      </c>
      <c r="AJ123" s="810">
        <v>130700</v>
      </c>
      <c r="AK123" s="810">
        <v>134621</v>
      </c>
      <c r="AL123" s="810">
        <v>244300</v>
      </c>
      <c r="AM123" s="810">
        <f>AL123*$AH$3</f>
        <v>249186</v>
      </c>
      <c r="AN123" s="810">
        <v>249150</v>
      </c>
      <c r="AO123" s="810">
        <v>255378.74999999997</v>
      </c>
      <c r="AP123" s="810">
        <v>247150</v>
      </c>
      <c r="AQ123" s="810">
        <f>AP123*$AH$3</f>
        <v>252093</v>
      </c>
      <c r="AR123" s="810">
        <v>249432</v>
      </c>
      <c r="AS123" s="1410">
        <f>AR123*$AH$3</f>
        <v>254420.64</v>
      </c>
      <c r="AT123" s="809">
        <f>'[1]BUDGET DETAIL'!$CX$311</f>
        <v>273430</v>
      </c>
      <c r="AU123" s="810">
        <f t="shared" si="41"/>
        <v>23998</v>
      </c>
      <c r="AV123" s="2274">
        <f t="shared" si="31"/>
        <v>9.6210590461528592E-2</v>
      </c>
      <c r="AW123" s="1423"/>
      <c r="AX123" s="2016"/>
      <c r="AY123" s="2016"/>
      <c r="AZ123" s="2016"/>
      <c r="BA123" s="2016"/>
      <c r="BB123" s="2016"/>
      <c r="BC123" s="2011"/>
    </row>
    <row r="124" spans="1:55" ht="14" hidden="1" customHeight="1" outlineLevel="1" x14ac:dyDescent="0.25">
      <c r="A124" s="779" t="s">
        <v>551</v>
      </c>
      <c r="B124" s="775">
        <v>801343</v>
      </c>
      <c r="C124" s="773">
        <v>823185.48</v>
      </c>
      <c r="D124" s="850">
        <v>805747</v>
      </c>
      <c r="E124" s="773">
        <v>833839.4</v>
      </c>
      <c r="F124" s="850">
        <v>817091</v>
      </c>
      <c r="G124" s="850">
        <v>883197.5</v>
      </c>
      <c r="H124" s="851">
        <v>889546</v>
      </c>
      <c r="I124" s="851">
        <v>868619.19</v>
      </c>
      <c r="J124" s="806">
        <v>945764</v>
      </c>
      <c r="K124" s="788"/>
      <c r="L124" s="911">
        <v>982437.28</v>
      </c>
      <c r="M124" s="852">
        <v>1039345</v>
      </c>
      <c r="N124" s="808">
        <v>899998</v>
      </c>
      <c r="O124" s="788">
        <f>1045005+8102</f>
        <v>1053107</v>
      </c>
      <c r="P124" s="788">
        <v>1122374</v>
      </c>
      <c r="Q124" s="788">
        <f>P124</f>
        <v>1122374</v>
      </c>
      <c r="R124" s="788">
        <v>1098522</v>
      </c>
      <c r="S124" s="788"/>
      <c r="T124" s="788">
        <v>1109378</v>
      </c>
      <c r="U124" s="788">
        <v>1109378</v>
      </c>
      <c r="V124" s="810">
        <v>972519</v>
      </c>
      <c r="W124" s="788">
        <f>V124+18940</f>
        <v>991459</v>
      </c>
      <c r="X124" s="810">
        <v>1008953</v>
      </c>
      <c r="Y124" s="810">
        <v>1015293</v>
      </c>
      <c r="Z124" s="810">
        <v>1168805</v>
      </c>
      <c r="AA124" s="810">
        <f>Z124</f>
        <v>1168805</v>
      </c>
      <c r="AB124" s="810">
        <v>1269281</v>
      </c>
      <c r="AC124" s="810">
        <f>AB124+7506</f>
        <v>1276787</v>
      </c>
      <c r="AD124" s="810"/>
      <c r="AE124" s="810">
        <v>1274887</v>
      </c>
      <c r="AF124" s="810"/>
      <c r="AG124" s="810">
        <v>1313133.6100000001</v>
      </c>
      <c r="AH124" s="1424">
        <v>1320848</v>
      </c>
      <c r="AI124" s="810">
        <v>1360473.44</v>
      </c>
      <c r="AJ124" s="810">
        <v>1318927.46</v>
      </c>
      <c r="AK124" s="810">
        <v>1358495.2838000001</v>
      </c>
      <c r="AL124" s="810">
        <v>1319101</v>
      </c>
      <c r="AM124" s="810">
        <f>AL124*$AN$2</f>
        <v>1319101</v>
      </c>
      <c r="AN124" s="810">
        <v>1311020</v>
      </c>
      <c r="AO124" s="810">
        <v>1337240.3999999999</v>
      </c>
      <c r="AP124" s="810">
        <v>1297492</v>
      </c>
      <c r="AQ124" s="810">
        <f>AP124*$AN$2</f>
        <v>1297492</v>
      </c>
      <c r="AR124" s="810">
        <v>1301825</v>
      </c>
      <c r="AS124" s="1410">
        <f>AR124*$AN$2</f>
        <v>1301825</v>
      </c>
      <c r="AT124" s="809">
        <f>'[1]BUDGET DETAIL'!$CX$334</f>
        <v>1298175</v>
      </c>
      <c r="AU124" s="810">
        <f t="shared" si="41"/>
        <v>-3650</v>
      </c>
      <c r="AV124" s="2274">
        <f t="shared" si="31"/>
        <v>-2.8037562652430243E-3</v>
      </c>
      <c r="AW124" s="1577"/>
      <c r="AX124" s="2016"/>
      <c r="AY124" s="2122"/>
      <c r="AZ124" s="2122"/>
      <c r="BA124" s="2122"/>
      <c r="BB124" s="2122"/>
      <c r="BC124" s="2239"/>
    </row>
    <row r="125" spans="1:55" ht="14" hidden="1" customHeight="1" outlineLevel="1" x14ac:dyDescent="0.4">
      <c r="A125" s="779" t="s">
        <v>883</v>
      </c>
      <c r="B125" s="775"/>
      <c r="C125" s="773"/>
      <c r="D125" s="850"/>
      <c r="E125" s="773"/>
      <c r="F125" s="850"/>
      <c r="G125" s="850"/>
      <c r="H125" s="851"/>
      <c r="I125" s="851"/>
      <c r="J125" s="806"/>
      <c r="K125" s="788"/>
      <c r="L125" s="912"/>
      <c r="M125" s="807">
        <v>15300</v>
      </c>
      <c r="N125" s="808">
        <v>17453</v>
      </c>
      <c r="O125" s="788">
        <v>0</v>
      </c>
      <c r="P125" s="788">
        <v>0</v>
      </c>
      <c r="Q125" s="788">
        <v>0</v>
      </c>
      <c r="R125" s="788">
        <v>0</v>
      </c>
      <c r="S125" s="788"/>
      <c r="T125" s="788">
        <v>0</v>
      </c>
      <c r="U125" s="788">
        <v>0</v>
      </c>
      <c r="V125" s="788">
        <v>0</v>
      </c>
      <c r="W125" s="788">
        <f>V125</f>
        <v>0</v>
      </c>
      <c r="X125" s="788">
        <v>0</v>
      </c>
      <c r="Y125" s="788">
        <v>0</v>
      </c>
      <c r="Z125" s="788">
        <v>0</v>
      </c>
      <c r="AA125" s="810">
        <f>Z125</f>
        <v>0</v>
      </c>
      <c r="AB125" s="788">
        <v>0</v>
      </c>
      <c r="AC125" s="810">
        <f>AB125</f>
        <v>0</v>
      </c>
      <c r="AD125" s="810"/>
      <c r="AE125" s="810"/>
      <c r="AF125" s="810">
        <v>0</v>
      </c>
      <c r="AG125" s="810"/>
      <c r="AH125" s="810"/>
      <c r="AI125" s="810"/>
      <c r="AJ125" s="810"/>
      <c r="AK125" s="810"/>
      <c r="AL125" s="810"/>
      <c r="AM125" s="810"/>
      <c r="AN125" s="810"/>
      <c r="AO125" s="810"/>
      <c r="AP125" s="810"/>
      <c r="AQ125" s="810"/>
      <c r="AR125" s="810"/>
      <c r="AS125" s="1410"/>
      <c r="AT125" s="809"/>
      <c r="AU125" s="810" t="str">
        <f t="shared" si="41"/>
        <v/>
      </c>
      <c r="AV125" s="2274" t="str">
        <f t="shared" si="31"/>
        <v/>
      </c>
      <c r="AW125" s="778"/>
      <c r="AX125" s="2016"/>
      <c r="AY125" s="2016"/>
      <c r="AZ125" s="2016"/>
      <c r="BA125" s="2016"/>
      <c r="BB125" s="2016"/>
    </row>
    <row r="126" spans="1:55" ht="14" hidden="1" customHeight="1" outlineLevel="1" x14ac:dyDescent="0.25">
      <c r="A126" s="779" t="s">
        <v>812</v>
      </c>
      <c r="B126" s="775">
        <v>90575</v>
      </c>
      <c r="C126" s="773">
        <v>90492.74</v>
      </c>
      <c r="D126" s="850">
        <v>88220</v>
      </c>
      <c r="E126" s="773">
        <v>88197.03</v>
      </c>
      <c r="F126" s="850">
        <v>98303</v>
      </c>
      <c r="G126" s="850">
        <f>97961.63+76.52</f>
        <v>98038.150000000009</v>
      </c>
      <c r="H126" s="851">
        <v>102330</v>
      </c>
      <c r="I126" s="851">
        <f>105122.11+76.52</f>
        <v>105198.63</v>
      </c>
      <c r="J126" s="806">
        <v>128295</v>
      </c>
      <c r="K126" s="785" t="s">
        <v>1</v>
      </c>
      <c r="L126" s="913">
        <f>108694.26+4251.03</f>
        <v>112945.29</v>
      </c>
      <c r="M126" s="855">
        <v>103670</v>
      </c>
      <c r="N126" s="813">
        <v>106270</v>
      </c>
      <c r="O126" s="788">
        <v>106270</v>
      </c>
      <c r="P126" s="788">
        <v>109653</v>
      </c>
      <c r="Q126" s="788">
        <f>109653</f>
        <v>109653</v>
      </c>
      <c r="R126" s="788">
        <v>113372</v>
      </c>
      <c r="S126" s="788"/>
      <c r="T126" s="788">
        <v>116080</v>
      </c>
      <c r="U126" s="788">
        <v>116080</v>
      </c>
      <c r="V126" s="810">
        <v>130421</v>
      </c>
      <c r="W126" s="788">
        <f>V126+3628</f>
        <v>134049</v>
      </c>
      <c r="X126" s="810">
        <v>138929</v>
      </c>
      <c r="Y126" s="810">
        <v>138929</v>
      </c>
      <c r="Z126" s="810">
        <v>142990</v>
      </c>
      <c r="AA126" s="810">
        <f>Z126</f>
        <v>142990</v>
      </c>
      <c r="AB126" s="810">
        <v>147300</v>
      </c>
      <c r="AC126" s="810">
        <f>AB126</f>
        <v>147300</v>
      </c>
      <c r="AD126" s="810"/>
      <c r="AE126" s="810">
        <v>150900</v>
      </c>
      <c r="AF126" s="810"/>
      <c r="AG126" s="810">
        <v>150900</v>
      </c>
      <c r="AH126" s="810">
        <v>135900</v>
      </c>
      <c r="AI126" s="810">
        <v>135900</v>
      </c>
      <c r="AJ126" s="810">
        <v>134150</v>
      </c>
      <c r="AK126" s="810">
        <v>134150</v>
      </c>
      <c r="AL126" s="810">
        <v>135388</v>
      </c>
      <c r="AM126" s="810">
        <f>AL126*$AH$4</f>
        <v>135388</v>
      </c>
      <c r="AN126" s="810">
        <v>125488</v>
      </c>
      <c r="AO126" s="810">
        <v>125488</v>
      </c>
      <c r="AP126" s="810">
        <v>122188</v>
      </c>
      <c r="AQ126" s="810">
        <f>AP126*$AH$4</f>
        <v>122188</v>
      </c>
      <c r="AR126" s="810">
        <v>125714</v>
      </c>
      <c r="AS126" s="1410">
        <f>AR126*$AH$4</f>
        <v>125714</v>
      </c>
      <c r="AT126" s="809">
        <f>'[1]BUDGET DETAIL'!$CX$375+AY126*AX126</f>
        <v>146654</v>
      </c>
      <c r="AU126" s="810">
        <f t="shared" si="41"/>
        <v>20940</v>
      </c>
      <c r="AV126" s="2274">
        <f t="shared" si="31"/>
        <v>0.16656856038309178</v>
      </c>
      <c r="AW126" s="1423"/>
      <c r="AX126" s="2016">
        <f>'Vote track budget'!F126</f>
        <v>11000</v>
      </c>
      <c r="AY126" s="2016">
        <v>1</v>
      </c>
      <c r="AZ126" s="2016">
        <f>AX126*AY126</f>
        <v>11000</v>
      </c>
      <c r="BA126" s="2016"/>
      <c r="BB126" s="2016"/>
      <c r="BC126" s="2011" t="s">
        <v>1220</v>
      </c>
    </row>
    <row r="127" spans="1:55" ht="14" hidden="1" customHeight="1" outlineLevel="1" x14ac:dyDescent="0.25">
      <c r="A127" s="842" t="s">
        <v>813</v>
      </c>
      <c r="B127" s="781">
        <f t="shared" ref="B127:O127" si="66">SUM(B123:B126)</f>
        <v>1019252</v>
      </c>
      <c r="C127" s="900">
        <f t="shared" si="66"/>
        <v>1041012.22</v>
      </c>
      <c r="D127" s="900">
        <f t="shared" si="66"/>
        <v>1027829</v>
      </c>
      <c r="E127" s="900">
        <f t="shared" si="66"/>
        <v>1055898.43</v>
      </c>
      <c r="F127" s="900">
        <f t="shared" si="66"/>
        <v>1049256</v>
      </c>
      <c r="G127" s="900">
        <f t="shared" si="66"/>
        <v>1115097.6499999999</v>
      </c>
      <c r="H127" s="900">
        <f t="shared" si="66"/>
        <v>1133630</v>
      </c>
      <c r="I127" s="900">
        <f t="shared" si="66"/>
        <v>1115571.8199999998</v>
      </c>
      <c r="J127" s="784">
        <f t="shared" si="66"/>
        <v>1220362</v>
      </c>
      <c r="K127" s="819" t="s">
        <v>2</v>
      </c>
      <c r="L127" s="914">
        <f t="shared" si="66"/>
        <v>1237906.57</v>
      </c>
      <c r="M127" s="914">
        <f t="shared" si="66"/>
        <v>1304153</v>
      </c>
      <c r="N127" s="844">
        <f t="shared" si="66"/>
        <v>1172607</v>
      </c>
      <c r="O127" s="845">
        <f t="shared" si="66"/>
        <v>1301596</v>
      </c>
      <c r="P127" s="845">
        <f>SUM(P123:P126)</f>
        <v>1376229</v>
      </c>
      <c r="Q127" s="819">
        <f>IF(SUM(Q123:Q126)=0,P127,SUM(Q123:Q126))</f>
        <v>1376229</v>
      </c>
      <c r="R127" s="845">
        <f>SUM(R123:R126)</f>
        <v>1357007</v>
      </c>
      <c r="S127" s="819">
        <f>IF(SUM(S123:S126)=0,R127,SUM(S123:S126))</f>
        <v>1357007</v>
      </c>
      <c r="T127" s="819">
        <v>1374129</v>
      </c>
      <c r="U127" s="819">
        <v>1374129</v>
      </c>
      <c r="V127" s="845">
        <f>SUM(V123:V126)</f>
        <v>1252470</v>
      </c>
      <c r="W127" s="819">
        <f>IF(SUM(W123:W126)=0,V127,SUM(W123:W126))</f>
        <v>1275038</v>
      </c>
      <c r="X127" s="845">
        <f>SUM(X123:X126)</f>
        <v>1304944</v>
      </c>
      <c r="Y127" s="819">
        <f>IF(SUM(Y123:Y126)=0,X127,SUM(Y123:Y126))</f>
        <v>1311284</v>
      </c>
      <c r="Z127" s="845">
        <f>SUM(Z123:Z126)</f>
        <v>1473584</v>
      </c>
      <c r="AA127" s="819">
        <f>IF(SUM(AA123:AA126)=0,Z127,SUM(AA123:AA126))</f>
        <v>1473584</v>
      </c>
      <c r="AB127" s="845">
        <f>SUM(AB123:AB126)</f>
        <v>1531896</v>
      </c>
      <c r="AC127" s="819">
        <f>IF(SUM(AC123:AC126)=0,AB127,SUM(AC123:AC126))</f>
        <v>1539402</v>
      </c>
      <c r="AD127" s="819"/>
      <c r="AE127" s="819">
        <v>1541752</v>
      </c>
      <c r="AF127" s="819">
        <v>1541752</v>
      </c>
      <c r="AG127" s="819">
        <v>1583477.56</v>
      </c>
      <c r="AH127" s="819">
        <v>1584898</v>
      </c>
      <c r="AI127" s="785">
        <v>1628367.94</v>
      </c>
      <c r="AJ127" s="785">
        <v>1583777.46</v>
      </c>
      <c r="AK127" s="785">
        <v>1627266.2838000001</v>
      </c>
      <c r="AL127" s="785">
        <v>1698789</v>
      </c>
      <c r="AM127" s="785">
        <f>SUM(AM123:AM126)</f>
        <v>1703675</v>
      </c>
      <c r="AN127" s="785">
        <f>SUM(AN123:AN126)</f>
        <v>1685658</v>
      </c>
      <c r="AO127" s="785">
        <f>SUM(AO123:AO126)</f>
        <v>1718107.15</v>
      </c>
      <c r="AP127" s="785">
        <f>SUM(AP122:AP126)</f>
        <v>1666830</v>
      </c>
      <c r="AQ127" s="785">
        <f>SUM(AQ123:AQ126)</f>
        <v>1671773</v>
      </c>
      <c r="AR127" s="785">
        <f>SUM(AR123:AR126)</f>
        <v>1676971</v>
      </c>
      <c r="AS127" s="820">
        <f>SUM(AS123:AS126)</f>
        <v>1681959.6400000001</v>
      </c>
      <c r="AT127" s="819">
        <f>SUM(AT123:AT126)</f>
        <v>1718259</v>
      </c>
      <c r="AU127" s="785">
        <f t="shared" si="41"/>
        <v>41288</v>
      </c>
      <c r="AV127" s="2275">
        <f t="shared" si="31"/>
        <v>2.4620580797163456E-2</v>
      </c>
      <c r="AW127" s="778"/>
      <c r="AX127" s="2016"/>
      <c r="AY127" s="2016"/>
      <c r="AZ127" s="2016"/>
      <c r="BA127" s="2518">
        <f>POWER(AT127/AJ127,1/5)-1</f>
        <v>1.6433321284121005E-2</v>
      </c>
      <c r="BB127" s="2518">
        <f>POWER(AT127/AA127,1/9)-1</f>
        <v>1.7214721149715118E-2</v>
      </c>
      <c r="BC127" s="2332"/>
    </row>
    <row r="128" spans="1:55" ht="14" hidden="1" customHeight="1" outlineLevel="1" x14ac:dyDescent="0.25">
      <c r="A128" s="790"/>
      <c r="B128" s="857"/>
      <c r="C128" s="857"/>
      <c r="D128" s="915"/>
      <c r="E128" s="857"/>
      <c r="F128" s="915"/>
      <c r="G128" s="915"/>
      <c r="H128" s="916"/>
      <c r="I128" s="916"/>
      <c r="J128" s="858"/>
      <c r="K128" s="917">
        <v>38796</v>
      </c>
      <c r="L128" s="918"/>
      <c r="M128" s="919"/>
      <c r="N128" s="920"/>
      <c r="O128" s="800"/>
      <c r="P128" s="800"/>
      <c r="Q128" s="800"/>
      <c r="R128" s="800"/>
      <c r="S128" s="800"/>
      <c r="T128" s="800"/>
      <c r="U128" s="800"/>
      <c r="V128" s="800"/>
      <c r="W128" s="800"/>
      <c r="X128" s="800"/>
      <c r="Y128" s="800"/>
      <c r="Z128" s="800"/>
      <c r="AA128" s="800"/>
      <c r="AB128" s="800"/>
      <c r="AC128" s="800"/>
      <c r="AD128" s="800"/>
      <c r="AE128" s="800"/>
      <c r="AF128" s="800"/>
      <c r="AG128" s="800"/>
      <c r="AH128" s="800"/>
      <c r="AI128" s="800"/>
      <c r="AJ128" s="800"/>
      <c r="AK128" s="800"/>
      <c r="AL128" s="800"/>
      <c r="AM128" s="800"/>
      <c r="AN128" s="800"/>
      <c r="AO128" s="800"/>
      <c r="AP128" s="800"/>
      <c r="AQ128" s="800"/>
      <c r="AR128" s="800"/>
      <c r="AS128" s="1621"/>
      <c r="AT128" s="921"/>
      <c r="AU128" s="800" t="str">
        <f t="shared" si="41"/>
        <v/>
      </c>
      <c r="AV128" s="2273" t="str">
        <f t="shared" si="31"/>
        <v/>
      </c>
      <c r="AW128" s="862"/>
      <c r="AX128" s="2016"/>
      <c r="AY128" s="2016"/>
      <c r="AZ128" s="2016"/>
      <c r="BA128" s="2016"/>
      <c r="BB128" s="2016"/>
      <c r="BC128" s="2026"/>
    </row>
    <row r="129" spans="1:55" ht="14" hidden="1" customHeight="1" outlineLevel="1" collapsed="1" x14ac:dyDescent="0.25">
      <c r="A129" s="779" t="s">
        <v>825</v>
      </c>
      <c r="B129" s="804"/>
      <c r="C129" s="804"/>
      <c r="D129" s="894"/>
      <c r="E129" s="804"/>
      <c r="F129" s="894"/>
      <c r="G129" s="894"/>
      <c r="H129" s="895"/>
      <c r="I129" s="895"/>
      <c r="J129" s="847"/>
      <c r="K129" s="825"/>
      <c r="L129" s="831"/>
      <c r="M129" s="831"/>
      <c r="N129" s="805"/>
      <c r="O129" s="825"/>
      <c r="P129" s="825"/>
      <c r="Q129" s="825"/>
      <c r="R129" s="825"/>
      <c r="S129" s="825"/>
      <c r="T129" s="825"/>
      <c r="U129" s="825"/>
      <c r="V129" s="825"/>
      <c r="W129" s="825"/>
      <c r="X129" s="825"/>
      <c r="Y129" s="825"/>
      <c r="Z129" s="825"/>
      <c r="AA129" s="825"/>
      <c r="AB129" s="825"/>
      <c r="AC129" s="825"/>
      <c r="AD129" s="825"/>
      <c r="AE129" s="825"/>
      <c r="AF129" s="825"/>
      <c r="AG129" s="825"/>
      <c r="AH129" s="825"/>
      <c r="AI129" s="825"/>
      <c r="AJ129" s="825"/>
      <c r="AK129" s="825"/>
      <c r="AL129" s="825"/>
      <c r="AM129" s="825"/>
      <c r="AN129" s="825"/>
      <c r="AO129" s="825"/>
      <c r="AP129" s="825"/>
      <c r="AQ129" s="825"/>
      <c r="AR129" s="825"/>
      <c r="AS129" s="1110"/>
      <c r="AT129" s="1040"/>
      <c r="AU129" s="825" t="str">
        <f t="shared" si="41"/>
        <v/>
      </c>
      <c r="AV129" s="2274" t="str">
        <f t="shared" si="31"/>
        <v/>
      </c>
      <c r="AW129" s="778"/>
      <c r="AX129" s="2016"/>
      <c r="AY129" s="2016"/>
      <c r="AZ129" s="2016"/>
      <c r="BA129" s="2016"/>
      <c r="BB129" s="2016"/>
      <c r="BC129" s="2011" t="s">
        <v>1220</v>
      </c>
    </row>
    <row r="130" spans="1:55" ht="14" hidden="1" customHeight="1" outlineLevel="1" x14ac:dyDescent="0.25">
      <c r="A130" s="779" t="s">
        <v>560</v>
      </c>
      <c r="B130" s="775">
        <v>70618</v>
      </c>
      <c r="C130" s="773">
        <v>70618</v>
      </c>
      <c r="D130" s="773">
        <v>81899</v>
      </c>
      <c r="E130" s="773">
        <v>81899</v>
      </c>
      <c r="F130" s="773">
        <v>89364</v>
      </c>
      <c r="G130" s="773">
        <v>89364</v>
      </c>
      <c r="H130" s="774">
        <v>89364</v>
      </c>
      <c r="I130" s="774">
        <f>87314+1050+323.44</f>
        <v>88687.44</v>
      </c>
      <c r="J130" s="806">
        <v>94424</v>
      </c>
      <c r="K130" s="785"/>
      <c r="L130" s="840">
        <v>94588</v>
      </c>
      <c r="M130" s="807">
        <v>96458</v>
      </c>
      <c r="N130" s="808">
        <v>98366</v>
      </c>
      <c r="O130" s="785">
        <v>98366</v>
      </c>
      <c r="P130" s="788">
        <v>97316</v>
      </c>
      <c r="Q130" s="788">
        <v>97316</v>
      </c>
      <c r="R130" s="788">
        <f>97316+4000</f>
        <v>101316</v>
      </c>
      <c r="S130" s="785"/>
      <c r="T130" s="785">
        <v>101316</v>
      </c>
      <c r="U130" s="785">
        <v>101316</v>
      </c>
      <c r="V130" s="810">
        <v>101316</v>
      </c>
      <c r="W130" s="788">
        <f>V130</f>
        <v>101316</v>
      </c>
      <c r="X130" s="810">
        <v>103262</v>
      </c>
      <c r="Y130" s="810">
        <v>103262</v>
      </c>
      <c r="Z130" s="810">
        <v>103262</v>
      </c>
      <c r="AA130" s="810">
        <f>Z130</f>
        <v>103262</v>
      </c>
      <c r="AB130" s="810">
        <v>117692</v>
      </c>
      <c r="AC130" s="810">
        <f>AB130</f>
        <v>117692</v>
      </c>
      <c r="AD130" s="810"/>
      <c r="AE130" s="810">
        <v>117692</v>
      </c>
      <c r="AF130" s="810"/>
      <c r="AG130" s="810">
        <v>121222.76000000001</v>
      </c>
      <c r="AH130" s="810">
        <v>120052</v>
      </c>
      <c r="AI130" s="810">
        <v>123653.56</v>
      </c>
      <c r="AJ130" s="810">
        <v>122768</v>
      </c>
      <c r="AK130" s="810">
        <v>126451.04000000001</v>
      </c>
      <c r="AL130" s="810">
        <v>125224</v>
      </c>
      <c r="AM130" s="810">
        <f>AL130*$AH$3</f>
        <v>127728.48</v>
      </c>
      <c r="AN130" s="810">
        <v>127755</v>
      </c>
      <c r="AO130" s="810">
        <v>130948.87499999999</v>
      </c>
      <c r="AP130" s="810">
        <v>130305</v>
      </c>
      <c r="AQ130" s="810">
        <f>AP130*$AH$3</f>
        <v>132911.1</v>
      </c>
      <c r="AR130" s="810">
        <v>130305</v>
      </c>
      <c r="AS130" s="1410">
        <f>AR130*$AH$3</f>
        <v>132911.1</v>
      </c>
      <c r="AT130" s="809">
        <f>'[1]BUDGET DETAIL'!$CX$385</f>
        <v>146720</v>
      </c>
      <c r="AU130" s="810">
        <f t="shared" si="41"/>
        <v>16415</v>
      </c>
      <c r="AV130" s="2274">
        <f t="shared" si="31"/>
        <v>0.12597367714208971</v>
      </c>
      <c r="AW130" s="1423"/>
      <c r="AX130" s="2016"/>
      <c r="AY130" s="2016"/>
      <c r="AZ130" s="2016"/>
      <c r="BA130" s="2518">
        <f t="shared" ref="BA130:BA133" si="67">POWER(AT130/AJ130,1/5)-1</f>
        <v>3.6288855074721349E-2</v>
      </c>
      <c r="BB130" s="2518">
        <f>POWER(AT130/AA130,1/9)-1</f>
        <v>3.9800124539482784E-2</v>
      </c>
    </row>
    <row r="131" spans="1:55" ht="14" hidden="1" customHeight="1" outlineLevel="1" x14ac:dyDescent="0.25">
      <c r="A131" s="779" t="s">
        <v>551</v>
      </c>
      <c r="B131" s="775">
        <v>278758</v>
      </c>
      <c r="C131" s="773">
        <v>282658.8</v>
      </c>
      <c r="D131" s="773">
        <v>290928</v>
      </c>
      <c r="E131" s="773">
        <v>305297.21000000002</v>
      </c>
      <c r="F131" s="773">
        <v>310566</v>
      </c>
      <c r="G131" s="773">
        <v>291721.40000000002</v>
      </c>
      <c r="H131" s="774">
        <v>372698</v>
      </c>
      <c r="I131" s="774">
        <v>343252</v>
      </c>
      <c r="J131" s="806">
        <v>437021</v>
      </c>
      <c r="K131" s="785" t="s">
        <v>455</v>
      </c>
      <c r="L131" s="840">
        <v>408834.4</v>
      </c>
      <c r="M131" s="807">
        <v>428142</v>
      </c>
      <c r="N131" s="808">
        <v>365734</v>
      </c>
      <c r="O131" s="785">
        <v>400735</v>
      </c>
      <c r="P131" s="785">
        <v>401785</v>
      </c>
      <c r="Q131" s="788">
        <v>401785</v>
      </c>
      <c r="R131" s="788">
        <f>401785</f>
        <v>401785</v>
      </c>
      <c r="S131" s="785"/>
      <c r="T131" s="785">
        <v>402683</v>
      </c>
      <c r="U131" s="785">
        <v>402683</v>
      </c>
      <c r="V131" s="810">
        <v>407417</v>
      </c>
      <c r="W131" s="788">
        <f>V131+5031</f>
        <v>412448</v>
      </c>
      <c r="X131" s="810">
        <v>458837</v>
      </c>
      <c r="Y131" s="810">
        <v>458837</v>
      </c>
      <c r="Z131" s="810">
        <v>497510</v>
      </c>
      <c r="AA131" s="810">
        <f>Z131+9360</f>
        <v>506870</v>
      </c>
      <c r="AB131" s="810">
        <v>530351</v>
      </c>
      <c r="AC131" s="810">
        <f>AB131</f>
        <v>530351</v>
      </c>
      <c r="AD131" s="810"/>
      <c r="AE131" s="810">
        <v>537987</v>
      </c>
      <c r="AF131" s="810"/>
      <c r="AG131" s="810">
        <v>554126.61</v>
      </c>
      <c r="AH131" s="810">
        <v>613145</v>
      </c>
      <c r="AI131" s="810">
        <v>631539.35</v>
      </c>
      <c r="AJ131" s="810">
        <v>669091</v>
      </c>
      <c r="AK131" s="810">
        <v>689163.73</v>
      </c>
      <c r="AL131" s="810">
        <v>734181</v>
      </c>
      <c r="AM131" s="810">
        <f>AL131*$AN$3</f>
        <v>748864.62</v>
      </c>
      <c r="AN131" s="810">
        <v>773679</v>
      </c>
      <c r="AO131" s="810">
        <v>789152.58</v>
      </c>
      <c r="AP131" s="810">
        <v>919989</v>
      </c>
      <c r="AQ131" s="810">
        <f>AP131*$AN$3</f>
        <v>938388.78</v>
      </c>
      <c r="AR131" s="810">
        <v>919841</v>
      </c>
      <c r="AS131" s="1410">
        <f>AR131*$AN$3</f>
        <v>938237.82000000007</v>
      </c>
      <c r="AT131" s="809">
        <f>'[1]BUDGET DETAIL'!$CX$399+AX131*AY131</f>
        <v>955526</v>
      </c>
      <c r="AU131" s="810">
        <f t="shared" si="41"/>
        <v>35685</v>
      </c>
      <c r="AV131" s="2274">
        <f t="shared" si="31"/>
        <v>3.8794748222790679E-2</v>
      </c>
      <c r="AW131" s="1423"/>
      <c r="AX131" s="2016">
        <f>'Vote track budget'!F131</f>
        <v>15025</v>
      </c>
      <c r="AY131" s="2016">
        <v>1</v>
      </c>
      <c r="AZ131" s="2016">
        <f>AX131*AY131</f>
        <v>15025</v>
      </c>
      <c r="BA131" s="2518">
        <f t="shared" si="67"/>
        <v>7.3869392136288958E-2</v>
      </c>
      <c r="BB131" s="2518">
        <f t="shared" ref="BB131:BB132" si="68">POWER(AT131/AA131,1/9)-1</f>
        <v>7.2985841369767934E-2</v>
      </c>
      <c r="BC131" s="2011" t="s">
        <v>1220</v>
      </c>
    </row>
    <row r="132" spans="1:55" ht="14" hidden="1" customHeight="1" outlineLevel="1" x14ac:dyDescent="0.25">
      <c r="A132" s="779" t="s">
        <v>812</v>
      </c>
      <c r="B132" s="775">
        <v>73647</v>
      </c>
      <c r="C132" s="773">
        <f>SUM(80564.96+135)</f>
        <v>80699.960000000006</v>
      </c>
      <c r="D132" s="773">
        <f>35190+17385+22800</f>
        <v>75375</v>
      </c>
      <c r="E132" s="773">
        <v>74053.62</v>
      </c>
      <c r="F132" s="773">
        <v>79305</v>
      </c>
      <c r="G132" s="773">
        <f>76771.22+10904.62</f>
        <v>87675.839999999997</v>
      </c>
      <c r="H132" s="774">
        <v>82410</v>
      </c>
      <c r="I132" s="774">
        <v>97730</v>
      </c>
      <c r="J132" s="806">
        <v>86435</v>
      </c>
      <c r="K132" s="816">
        <v>38789</v>
      </c>
      <c r="L132" s="812">
        <v>121085.41</v>
      </c>
      <c r="M132" s="812">
        <v>99041</v>
      </c>
      <c r="N132" s="813">
        <v>97488</v>
      </c>
      <c r="O132" s="785">
        <v>86866</v>
      </c>
      <c r="P132" s="788">
        <v>86866</v>
      </c>
      <c r="Q132" s="788">
        <v>86866</v>
      </c>
      <c r="R132" s="788">
        <f>86866-1500</f>
        <v>85366</v>
      </c>
      <c r="S132" s="785"/>
      <c r="T132" s="785">
        <v>87073</v>
      </c>
      <c r="U132" s="785">
        <v>87073</v>
      </c>
      <c r="V132" s="810">
        <v>91510</v>
      </c>
      <c r="W132" s="788">
        <f>V132</f>
        <v>91510</v>
      </c>
      <c r="X132" s="810">
        <v>104255</v>
      </c>
      <c r="Y132" s="810">
        <f>118255-14000</f>
        <v>104255</v>
      </c>
      <c r="Z132" s="810">
        <v>108007</v>
      </c>
      <c r="AA132" s="810">
        <f>Z132</f>
        <v>108007</v>
      </c>
      <c r="AB132" s="810">
        <v>109180</v>
      </c>
      <c r="AC132" s="810">
        <f>AB132</f>
        <v>109180</v>
      </c>
      <c r="AD132" s="810"/>
      <c r="AE132" s="810">
        <v>111363</v>
      </c>
      <c r="AF132" s="810"/>
      <c r="AG132" s="810">
        <v>111363</v>
      </c>
      <c r="AH132" s="810">
        <v>109858</v>
      </c>
      <c r="AI132" s="810">
        <v>109858</v>
      </c>
      <c r="AJ132" s="810">
        <v>123558</v>
      </c>
      <c r="AK132" s="810">
        <v>123558</v>
      </c>
      <c r="AL132" s="810">
        <v>130058</v>
      </c>
      <c r="AM132" s="810">
        <f>AL132*$AH$4</f>
        <v>130058</v>
      </c>
      <c r="AN132" s="810">
        <v>142183</v>
      </c>
      <c r="AO132" s="810">
        <v>142183</v>
      </c>
      <c r="AP132" s="810">
        <v>156283</v>
      </c>
      <c r="AQ132" s="810">
        <f>AP132*$AH$4</f>
        <v>156283</v>
      </c>
      <c r="AR132" s="810">
        <v>164233</v>
      </c>
      <c r="AS132" s="1410">
        <f>AR132*$AH$4</f>
        <v>164233</v>
      </c>
      <c r="AT132" s="809">
        <f>'[1]BUDGET DETAIL'!$CX$441</f>
        <v>170518</v>
      </c>
      <c r="AU132" s="810">
        <f t="shared" si="41"/>
        <v>6285</v>
      </c>
      <c r="AV132" s="2274">
        <f t="shared" si="31"/>
        <v>3.8268801032679184E-2</v>
      </c>
      <c r="AW132" s="1423"/>
      <c r="AX132" s="2016"/>
      <c r="AY132" s="2122"/>
      <c r="AZ132" s="2122"/>
      <c r="BA132" s="2518">
        <f t="shared" si="67"/>
        <v>6.6546689597983377E-2</v>
      </c>
      <c r="BB132" s="2518">
        <f t="shared" si="68"/>
        <v>5.2047550810749632E-2</v>
      </c>
      <c r="BC132" s="2239"/>
    </row>
    <row r="133" spans="1:55" ht="14.25" hidden="1" customHeight="1" outlineLevel="1" x14ac:dyDescent="0.25">
      <c r="A133" s="842" t="s">
        <v>813</v>
      </c>
      <c r="B133" s="781">
        <f>SUM(B130:B132)</f>
        <v>423023</v>
      </c>
      <c r="C133" s="781">
        <f>SUM(C130:C132)</f>
        <v>433976.76</v>
      </c>
      <c r="D133" s="781">
        <f t="shared" ref="D133:I133" si="69">SUM(D130:D132)</f>
        <v>448202</v>
      </c>
      <c r="E133" s="781">
        <f t="shared" si="69"/>
        <v>461249.83</v>
      </c>
      <c r="F133" s="781">
        <f t="shared" si="69"/>
        <v>479235</v>
      </c>
      <c r="G133" s="781">
        <f t="shared" si="69"/>
        <v>468761.24</v>
      </c>
      <c r="H133" s="781">
        <f t="shared" si="69"/>
        <v>544472</v>
      </c>
      <c r="I133" s="781">
        <f t="shared" si="69"/>
        <v>529669.43999999994</v>
      </c>
      <c r="J133" s="784">
        <f>SUM(J130:J132)</f>
        <v>617880</v>
      </c>
      <c r="K133" s="785"/>
      <c r="L133" s="843">
        <f>SUM(L130:L132)</f>
        <v>624507.81000000006</v>
      </c>
      <c r="M133" s="843">
        <f>SUM(M130:M132)</f>
        <v>623641</v>
      </c>
      <c r="N133" s="844">
        <f>SUM(N130:N132)</f>
        <v>561588</v>
      </c>
      <c r="O133" s="785">
        <f>SUM(O130:O132)</f>
        <v>585967</v>
      </c>
      <c r="P133" s="785">
        <f>SUM(P130:P132)</f>
        <v>585967</v>
      </c>
      <c r="Q133" s="819">
        <f>IF(SUM(Q130:Q132)=0,P133,SUM(Q130:Q132))</f>
        <v>585967</v>
      </c>
      <c r="R133" s="785">
        <f>SUM(R130:R132)</f>
        <v>588467</v>
      </c>
      <c r="S133" s="820">
        <f>IF(SUM(S130:S132)=0,R133,SUM(S130:S132))</f>
        <v>588467</v>
      </c>
      <c r="T133" s="820">
        <v>591072</v>
      </c>
      <c r="U133" s="820">
        <v>591072</v>
      </c>
      <c r="V133" s="785">
        <f>SUM(V130:V132)</f>
        <v>600243</v>
      </c>
      <c r="W133" s="820">
        <f>IF(SUM(W130:W132)=0,V133,SUM(W130:W132))</f>
        <v>605274</v>
      </c>
      <c r="X133" s="819">
        <f>SUM(X130:X132)</f>
        <v>666354</v>
      </c>
      <c r="Y133" s="819">
        <f>IF(SUM(Y130:Y132)=0,X133,SUM(Y130:Y132))</f>
        <v>666354</v>
      </c>
      <c r="Z133" s="819">
        <f>SUM(Z130:Z132)</f>
        <v>708779</v>
      </c>
      <c r="AA133" s="819">
        <f>IF(SUM(AA130:AA132)=0,Z133,SUM(AA130:AA132))</f>
        <v>718139</v>
      </c>
      <c r="AB133" s="819">
        <f>SUM(AB130:AB132)</f>
        <v>757223</v>
      </c>
      <c r="AC133" s="819">
        <f>IF(SUM(AC130:AC132)=0,AB133,SUM(AC130:AC132))</f>
        <v>757223</v>
      </c>
      <c r="AD133" s="819"/>
      <c r="AE133" s="819">
        <v>767042</v>
      </c>
      <c r="AF133" s="819">
        <v>767042</v>
      </c>
      <c r="AG133" s="819">
        <v>786712.37</v>
      </c>
      <c r="AH133" s="819">
        <v>843055</v>
      </c>
      <c r="AI133" s="785">
        <v>865050.90999999992</v>
      </c>
      <c r="AJ133" s="785">
        <v>915417</v>
      </c>
      <c r="AK133" s="785">
        <v>939172.77</v>
      </c>
      <c r="AL133" s="785">
        <v>989463</v>
      </c>
      <c r="AM133" s="785">
        <f t="shared" ref="AM133:AT133" si="70">SUM(AM130:AM132)</f>
        <v>1006651.1</v>
      </c>
      <c r="AN133" s="785">
        <f t="shared" si="70"/>
        <v>1043617</v>
      </c>
      <c r="AO133" s="785">
        <f t="shared" si="70"/>
        <v>1062284.4550000001</v>
      </c>
      <c r="AP133" s="785">
        <f t="shared" si="70"/>
        <v>1206577</v>
      </c>
      <c r="AQ133" s="785">
        <f t="shared" si="70"/>
        <v>1227582.8800000001</v>
      </c>
      <c r="AR133" s="785">
        <f t="shared" si="70"/>
        <v>1214379</v>
      </c>
      <c r="AS133" s="820">
        <f t="shared" ref="AS133" si="71">SUM(AS130:AS132)</f>
        <v>1235381.9200000002</v>
      </c>
      <c r="AT133" s="819">
        <f t="shared" si="70"/>
        <v>1272764</v>
      </c>
      <c r="AU133" s="785">
        <f t="shared" si="41"/>
        <v>58385</v>
      </c>
      <c r="AV133" s="2275">
        <f t="shared" si="31"/>
        <v>4.8078071178767091E-2</v>
      </c>
      <c r="AW133" s="789"/>
      <c r="AX133" s="2016"/>
      <c r="AY133" s="2016"/>
      <c r="AZ133" s="2016"/>
      <c r="BA133" s="2519">
        <f t="shared" si="67"/>
        <v>6.8134104506309301E-2</v>
      </c>
      <c r="BB133" s="2519">
        <f>POWER(AT133/AA133,1/9)-1</f>
        <v>6.5652199299419456E-2</v>
      </c>
      <c r="BC133" s="2332"/>
    </row>
    <row r="134" spans="1:55" ht="14" hidden="1" customHeight="1" outlineLevel="1" collapsed="1" x14ac:dyDescent="0.25">
      <c r="A134" s="790"/>
      <c r="B134" s="857"/>
      <c r="C134" s="857"/>
      <c r="D134" s="915"/>
      <c r="E134" s="857"/>
      <c r="F134" s="915"/>
      <c r="G134" s="915"/>
      <c r="H134" s="916"/>
      <c r="I134" s="916"/>
      <c r="J134" s="858"/>
      <c r="K134" s="921"/>
      <c r="L134" s="860"/>
      <c r="M134" s="860"/>
      <c r="N134" s="922"/>
      <c r="O134" s="921"/>
      <c r="P134" s="921"/>
      <c r="Q134" s="921"/>
      <c r="R134" s="921"/>
      <c r="S134" s="921"/>
      <c r="T134" s="921"/>
      <c r="U134" s="921"/>
      <c r="V134" s="921"/>
      <c r="W134" s="921"/>
      <c r="X134" s="921"/>
      <c r="Y134" s="921"/>
      <c r="Z134" s="921"/>
      <c r="AA134" s="921"/>
      <c r="AB134" s="921"/>
      <c r="AC134" s="921"/>
      <c r="AD134" s="921"/>
      <c r="AE134" s="921"/>
      <c r="AF134" s="921"/>
      <c r="AG134" s="921"/>
      <c r="AH134" s="921"/>
      <c r="AI134" s="921"/>
      <c r="AJ134" s="921"/>
      <c r="AK134" s="921"/>
      <c r="AL134" s="921"/>
      <c r="AM134" s="921"/>
      <c r="AN134" s="921"/>
      <c r="AO134" s="921"/>
      <c r="AP134" s="921"/>
      <c r="AQ134" s="921"/>
      <c r="AR134" s="921"/>
      <c r="AS134" s="1628"/>
      <c r="AT134" s="921"/>
      <c r="AU134" s="800" t="str">
        <f t="shared" si="41"/>
        <v/>
      </c>
      <c r="AV134" s="2281" t="str">
        <f t="shared" si="31"/>
        <v/>
      </c>
      <c r="AW134" s="803"/>
      <c r="AX134" s="2016"/>
      <c r="AY134" s="2016"/>
      <c r="AZ134" s="2016"/>
      <c r="BA134" s="2016"/>
      <c r="BB134" s="2016"/>
    </row>
    <row r="135" spans="1:55" ht="14" hidden="1" customHeight="1" outlineLevel="1" x14ac:dyDescent="0.25">
      <c r="A135" s="779" t="s">
        <v>826</v>
      </c>
      <c r="B135" s="804"/>
      <c r="C135" s="804"/>
      <c r="D135" s="894"/>
      <c r="E135" s="804"/>
      <c r="F135" s="894"/>
      <c r="G135" s="894"/>
      <c r="H135" s="895"/>
      <c r="I135" s="895"/>
      <c r="J135" s="847"/>
      <c r="K135" s="825"/>
      <c r="L135" s="831"/>
      <c r="M135" s="831"/>
      <c r="N135" s="805"/>
      <c r="O135" s="825"/>
      <c r="P135" s="825"/>
      <c r="Q135" s="825"/>
      <c r="R135" s="825"/>
      <c r="S135" s="825"/>
      <c r="T135" s="825"/>
      <c r="U135" s="825"/>
      <c r="V135" s="825"/>
      <c r="W135" s="825"/>
      <c r="X135" s="825"/>
      <c r="Y135" s="825"/>
      <c r="Z135" s="825"/>
      <c r="AA135" s="825"/>
      <c r="AB135" s="825"/>
      <c r="AC135" s="825"/>
      <c r="AD135" s="825"/>
      <c r="AE135" s="825"/>
      <c r="AF135" s="825"/>
      <c r="AG135" s="825"/>
      <c r="AH135" s="825"/>
      <c r="AI135" s="825"/>
      <c r="AJ135" s="825"/>
      <c r="AK135" s="825"/>
      <c r="AL135" s="825"/>
      <c r="AM135" s="825"/>
      <c r="AN135" s="825"/>
      <c r="AO135" s="825"/>
      <c r="AP135" s="825"/>
      <c r="AQ135" s="825"/>
      <c r="AR135" s="825"/>
      <c r="AS135" s="825"/>
      <c r="AT135" s="825"/>
      <c r="AU135" s="825" t="str">
        <f t="shared" ref="AU135:AU138" si="72">IF(AL135&gt;0,AN135-AL135,"")</f>
        <v/>
      </c>
      <c r="AV135" s="2316" t="str">
        <f t="shared" si="31"/>
        <v/>
      </c>
      <c r="AW135" s="778"/>
      <c r="AX135" s="2016"/>
      <c r="AY135" s="2016"/>
      <c r="AZ135" s="2016"/>
      <c r="BA135" s="2016"/>
      <c r="BB135" s="2016"/>
      <c r="BC135" s="2011" t="s">
        <v>1072</v>
      </c>
    </row>
    <row r="136" spans="1:55" ht="14" hidden="1" customHeight="1" outlineLevel="1" x14ac:dyDescent="0.25">
      <c r="A136" s="779" t="s">
        <v>545</v>
      </c>
      <c r="B136" s="775">
        <v>40000</v>
      </c>
      <c r="C136" s="773">
        <v>40000</v>
      </c>
      <c r="D136" s="850">
        <v>42500</v>
      </c>
      <c r="E136" s="773">
        <v>42500</v>
      </c>
      <c r="F136" s="850">
        <v>45200</v>
      </c>
      <c r="G136" s="850">
        <v>45000</v>
      </c>
      <c r="H136" s="851">
        <v>47500</v>
      </c>
      <c r="I136" s="851">
        <v>47500</v>
      </c>
      <c r="J136" s="806">
        <v>50000</v>
      </c>
      <c r="K136" s="788"/>
      <c r="L136" s="812">
        <v>52000</v>
      </c>
      <c r="M136" s="812">
        <v>54000</v>
      </c>
      <c r="N136" s="813">
        <v>54000</v>
      </c>
      <c r="O136" s="788">
        <v>54000</v>
      </c>
      <c r="P136" s="788">
        <v>0</v>
      </c>
      <c r="Q136" s="788">
        <v>0</v>
      </c>
      <c r="R136" s="788">
        <v>0</v>
      </c>
      <c r="S136" s="788"/>
      <c r="T136" s="788">
        <v>0</v>
      </c>
      <c r="U136" s="788"/>
      <c r="V136" s="788">
        <v>0</v>
      </c>
      <c r="W136" s="788"/>
      <c r="X136" s="788">
        <v>0</v>
      </c>
      <c r="Y136" s="788"/>
      <c r="Z136" s="810">
        <f>Y136*(1+$A$4/100)</f>
        <v>0</v>
      </c>
      <c r="AA136" s="788"/>
      <c r="AB136" s="810">
        <f>AA136*(1+$A$4/100)</f>
        <v>0</v>
      </c>
      <c r="AC136" s="788"/>
      <c r="AD136" s="788"/>
      <c r="AE136" s="788"/>
      <c r="AF136" s="810">
        <v>0</v>
      </c>
      <c r="AG136" s="810"/>
      <c r="AH136" s="810"/>
      <c r="AI136" s="788"/>
      <c r="AJ136" s="788"/>
      <c r="AK136" s="788"/>
      <c r="AL136" s="788"/>
      <c r="AM136" s="788"/>
      <c r="AN136" s="788"/>
      <c r="AO136" s="788"/>
      <c r="AP136" s="788"/>
      <c r="AQ136" s="788"/>
      <c r="AR136" s="788"/>
      <c r="AS136" s="788"/>
      <c r="AT136" s="788"/>
      <c r="AU136" s="788" t="str">
        <f t="shared" si="72"/>
        <v/>
      </c>
      <c r="AV136" s="2314" t="str">
        <f t="shared" si="31"/>
        <v/>
      </c>
      <c r="AW136" s="789"/>
      <c r="AX136" s="2016"/>
      <c r="AY136" s="2016"/>
      <c r="AZ136" s="2016"/>
      <c r="BA136" s="2016"/>
      <c r="BB136" s="2016"/>
      <c r="BC136" s="2019" t="s">
        <v>1072</v>
      </c>
    </row>
    <row r="137" spans="1:55" ht="14" hidden="1" customHeight="1" outlineLevel="1" x14ac:dyDescent="0.25">
      <c r="A137" s="771" t="s">
        <v>813</v>
      </c>
      <c r="B137" s="814">
        <f>SUM(B136)</f>
        <v>40000</v>
      </c>
      <c r="C137" s="814">
        <f>SUM(C135:C136)</f>
        <v>40000</v>
      </c>
      <c r="D137" s="923">
        <f>SUM(D136)</f>
        <v>42500</v>
      </c>
      <c r="E137" s="923">
        <f t="shared" ref="E137:O137" si="73">SUM(E136)</f>
        <v>42500</v>
      </c>
      <c r="F137" s="923">
        <f t="shared" si="73"/>
        <v>45200</v>
      </c>
      <c r="G137" s="923">
        <f t="shared" si="73"/>
        <v>45000</v>
      </c>
      <c r="H137" s="923">
        <f t="shared" si="73"/>
        <v>47500</v>
      </c>
      <c r="I137" s="923">
        <f t="shared" si="73"/>
        <v>47500</v>
      </c>
      <c r="J137" s="815">
        <f t="shared" si="73"/>
        <v>50000</v>
      </c>
      <c r="K137" s="827" t="s">
        <v>455</v>
      </c>
      <c r="L137" s="817">
        <f t="shared" si="73"/>
        <v>52000</v>
      </c>
      <c r="M137" s="817">
        <f t="shared" si="73"/>
        <v>54000</v>
      </c>
      <c r="N137" s="818">
        <f t="shared" si="73"/>
        <v>54000</v>
      </c>
      <c r="O137" s="818">
        <f t="shared" si="73"/>
        <v>54000</v>
      </c>
      <c r="P137" s="924">
        <f>SUM(P136)</f>
        <v>0</v>
      </c>
      <c r="Q137" s="828">
        <f>IF(SUM(Q136)=0,P137,Q136)</f>
        <v>0</v>
      </c>
      <c r="R137" s="924">
        <f>SUM(R136)</f>
        <v>0</v>
      </c>
      <c r="S137" s="828">
        <f>IF(SUM(S136)=0,R137,S136)</f>
        <v>0</v>
      </c>
      <c r="T137" s="925">
        <v>0</v>
      </c>
      <c r="U137" s="925">
        <v>0</v>
      </c>
      <c r="V137" s="924">
        <f>SUM(V136)</f>
        <v>0</v>
      </c>
      <c r="W137" s="828">
        <f>IF(SUM(W136)=0,V137,W136)</f>
        <v>0</v>
      </c>
      <c r="X137" s="924">
        <f>SUM(X136)</f>
        <v>0</v>
      </c>
      <c r="Y137" s="828">
        <f>IF(SUM(Y136)=0,X137,Y136)</f>
        <v>0</v>
      </c>
      <c r="Z137" s="924">
        <f>SUM(Z136)</f>
        <v>0</v>
      </c>
      <c r="AA137" s="828">
        <f>IF(SUM(AA136)=0,Z137,AA136)</f>
        <v>0</v>
      </c>
      <c r="AB137" s="924">
        <f>SUM(AB136)</f>
        <v>0</v>
      </c>
      <c r="AC137" s="828">
        <f>IF(SUM(AC136)=0,AB137,AC136)</f>
        <v>0</v>
      </c>
      <c r="AD137" s="828"/>
      <c r="AE137" s="828"/>
      <c r="AF137" s="827"/>
      <c r="AG137" s="827"/>
      <c r="AH137" s="827"/>
      <c r="AI137" s="827"/>
      <c r="AJ137" s="827"/>
      <c r="AK137" s="827"/>
      <c r="AL137" s="827"/>
      <c r="AM137" s="827"/>
      <c r="AN137" s="827"/>
      <c r="AO137" s="827"/>
      <c r="AP137" s="827"/>
      <c r="AQ137" s="827"/>
      <c r="AR137" s="827"/>
      <c r="AS137" s="827"/>
      <c r="AT137" s="827"/>
      <c r="AU137" s="827" t="str">
        <f t="shared" si="72"/>
        <v/>
      </c>
      <c r="AV137" s="2323" t="str">
        <f t="shared" si="31"/>
        <v/>
      </c>
      <c r="AW137" s="789"/>
      <c r="AX137" s="2016"/>
      <c r="AY137" s="2016"/>
      <c r="AZ137" s="2016"/>
      <c r="BA137" s="2016"/>
      <c r="BB137" s="2016"/>
      <c r="BC137" s="2019" t="s">
        <v>1072</v>
      </c>
    </row>
    <row r="138" spans="1:55" ht="14" hidden="1" customHeight="1" outlineLevel="1" x14ac:dyDescent="0.25">
      <c r="A138" s="821"/>
      <c r="B138" s="793"/>
      <c r="C138" s="793"/>
      <c r="D138" s="892"/>
      <c r="E138" s="793"/>
      <c r="F138" s="892"/>
      <c r="G138" s="892"/>
      <c r="H138" s="893"/>
      <c r="I138" s="893"/>
      <c r="J138" s="846"/>
      <c r="K138" s="823"/>
      <c r="L138" s="830"/>
      <c r="M138" s="830"/>
      <c r="N138" s="926"/>
      <c r="O138" s="823"/>
      <c r="P138" s="823"/>
      <c r="Q138" s="823"/>
      <c r="R138" s="823"/>
      <c r="S138" s="823"/>
      <c r="T138" s="823"/>
      <c r="U138" s="823"/>
      <c r="V138" s="823"/>
      <c r="W138" s="823"/>
      <c r="X138" s="823"/>
      <c r="Y138" s="823"/>
      <c r="Z138" s="823"/>
      <c r="AA138" s="823"/>
      <c r="AB138" s="823"/>
      <c r="AC138" s="823"/>
      <c r="AD138" s="823"/>
      <c r="AE138" s="823"/>
      <c r="AF138" s="823"/>
      <c r="AG138" s="823"/>
      <c r="AH138" s="823"/>
      <c r="AI138" s="823"/>
      <c r="AJ138" s="823"/>
      <c r="AK138" s="823"/>
      <c r="AL138" s="823"/>
      <c r="AM138" s="823"/>
      <c r="AN138" s="823"/>
      <c r="AO138" s="823"/>
      <c r="AP138" s="823"/>
      <c r="AQ138" s="823"/>
      <c r="AR138" s="823"/>
      <c r="AS138" s="823"/>
      <c r="AT138" s="823"/>
      <c r="AU138" s="823" t="str">
        <f t="shared" si="72"/>
        <v/>
      </c>
      <c r="AV138" s="2324" t="str">
        <f t="shared" si="31"/>
        <v/>
      </c>
      <c r="AW138" s="803"/>
      <c r="AX138" s="2016"/>
      <c r="AY138" s="2016"/>
      <c r="AZ138" s="2016"/>
      <c r="BA138" s="2016"/>
      <c r="BB138" s="2016"/>
      <c r="BC138" s="2011" t="s">
        <v>1072</v>
      </c>
    </row>
    <row r="139" spans="1:55" ht="14" hidden="1" customHeight="1" outlineLevel="1" collapsed="1" x14ac:dyDescent="0.25">
      <c r="A139" s="779" t="s">
        <v>598</v>
      </c>
      <c r="B139" s="804"/>
      <c r="C139" s="804"/>
      <c r="D139" s="894"/>
      <c r="E139" s="804"/>
      <c r="F139" s="894"/>
      <c r="G139" s="894"/>
      <c r="H139" s="895"/>
      <c r="I139" s="895"/>
      <c r="J139" s="847"/>
      <c r="K139" s="825"/>
      <c r="L139" s="831"/>
      <c r="M139" s="831"/>
      <c r="N139" s="805"/>
      <c r="O139" s="825"/>
      <c r="P139" s="825"/>
      <c r="Q139" s="825"/>
      <c r="R139" s="825"/>
      <c r="S139" s="825"/>
      <c r="T139" s="825"/>
      <c r="U139" s="825"/>
      <c r="V139" s="825"/>
      <c r="W139" s="825"/>
      <c r="X139" s="825"/>
      <c r="Y139" s="825"/>
      <c r="Z139" s="825"/>
      <c r="AA139" s="825"/>
      <c r="AB139" s="825"/>
      <c r="AC139" s="825"/>
      <c r="AD139" s="825"/>
      <c r="AE139" s="825"/>
      <c r="AF139" s="825"/>
      <c r="AG139" s="825"/>
      <c r="AH139" s="825"/>
      <c r="AI139" s="825"/>
      <c r="AJ139" s="825"/>
      <c r="AK139" s="825"/>
      <c r="AL139" s="825"/>
      <c r="AM139" s="825"/>
      <c r="AN139" s="825"/>
      <c r="AO139" s="825"/>
      <c r="AP139" s="825"/>
      <c r="AQ139" s="825"/>
      <c r="AR139" s="825"/>
      <c r="AS139" s="1110"/>
      <c r="AT139" s="1040"/>
      <c r="AU139" s="825" t="str">
        <f t="shared" ref="AU139:AU184" si="74">IF(AR139&gt;0,AT139-AR139,"")</f>
        <v/>
      </c>
      <c r="AV139" s="2274" t="str">
        <f t="shared" si="31"/>
        <v/>
      </c>
      <c r="AW139" s="778"/>
      <c r="AX139" s="2016"/>
      <c r="AY139" s="2016"/>
      <c r="AZ139" s="2016"/>
      <c r="BA139" s="2016"/>
      <c r="BB139" s="2016"/>
      <c r="BC139" s="2011" t="s">
        <v>1220</v>
      </c>
    </row>
    <row r="140" spans="1:55" ht="14" hidden="1" customHeight="1" outlineLevel="1" x14ac:dyDescent="0.25">
      <c r="A140" s="779" t="s">
        <v>809</v>
      </c>
      <c r="B140" s="775">
        <v>57146</v>
      </c>
      <c r="C140" s="773">
        <v>57146</v>
      </c>
      <c r="D140" s="850">
        <v>59520</v>
      </c>
      <c r="E140" s="773">
        <v>59047.839999999997</v>
      </c>
      <c r="F140" s="850">
        <v>59520</v>
      </c>
      <c r="G140" s="850">
        <v>58753.22</v>
      </c>
      <c r="H140" s="851">
        <v>62164</v>
      </c>
      <c r="I140" s="851">
        <f>42402+2607.61+4701.64+12009.8</f>
        <v>61721.05</v>
      </c>
      <c r="J140" s="927">
        <v>66268</v>
      </c>
      <c r="K140" s="785" t="s">
        <v>4</v>
      </c>
      <c r="L140" s="840">
        <v>66629.289999999994</v>
      </c>
      <c r="M140" s="807">
        <v>71775</v>
      </c>
      <c r="N140" s="808">
        <v>68149</v>
      </c>
      <c r="O140" s="804">
        <v>71775</v>
      </c>
      <c r="P140" s="788">
        <v>71775</v>
      </c>
      <c r="Q140" s="788">
        <v>71775</v>
      </c>
      <c r="R140" s="788">
        <f>71775+2675</f>
        <v>74450</v>
      </c>
      <c r="S140" s="852"/>
      <c r="T140" s="852">
        <v>76776</v>
      </c>
      <c r="U140" s="852">
        <v>76776</v>
      </c>
      <c r="V140" s="810">
        <v>78300</v>
      </c>
      <c r="W140" s="788">
        <f>V140</f>
        <v>78300</v>
      </c>
      <c r="X140" s="810">
        <v>79854</v>
      </c>
      <c r="Y140" s="810">
        <v>88259</v>
      </c>
      <c r="Z140" s="810">
        <v>96718</v>
      </c>
      <c r="AA140" s="810">
        <f>Z140</f>
        <v>96718</v>
      </c>
      <c r="AB140" s="810">
        <v>99834</v>
      </c>
      <c r="AC140" s="810">
        <f>AB140</f>
        <v>99834</v>
      </c>
      <c r="AD140" s="810"/>
      <c r="AE140" s="810">
        <v>103056</v>
      </c>
      <c r="AF140" s="810"/>
      <c r="AG140" s="810">
        <v>106147.68000000001</v>
      </c>
      <c r="AH140" s="810">
        <v>106852</v>
      </c>
      <c r="AI140" s="810">
        <v>110057.56</v>
      </c>
      <c r="AJ140" s="810">
        <v>110145</v>
      </c>
      <c r="AK140" s="810">
        <v>113449.35</v>
      </c>
      <c r="AL140" s="810">
        <v>83093</v>
      </c>
      <c r="AM140" s="810">
        <f>AL140*$AH$3</f>
        <v>84754.86</v>
      </c>
      <c r="AN140" s="810">
        <v>107141</v>
      </c>
      <c r="AO140" s="810">
        <v>109819.52499999999</v>
      </c>
      <c r="AP140" s="810">
        <v>121150</v>
      </c>
      <c r="AQ140" s="810">
        <f>AP140*$AH$3</f>
        <v>123573</v>
      </c>
      <c r="AR140" s="810">
        <v>111968</v>
      </c>
      <c r="AS140" s="1410">
        <f>AR140*$AH$3</f>
        <v>114207.36</v>
      </c>
      <c r="AT140" s="809">
        <f>'[1]BUDGET DETAIL'!$CX$453+AX140*AY140</f>
        <v>114615</v>
      </c>
      <c r="AU140" s="810">
        <f t="shared" si="74"/>
        <v>2647</v>
      </c>
      <c r="AV140" s="2274">
        <f t="shared" si="31"/>
        <v>2.3640683052300656E-2</v>
      </c>
      <c r="AW140" s="778"/>
      <c r="AX140" s="2016">
        <f>'Vote track budget'!F140</f>
        <v>0</v>
      </c>
      <c r="AY140" s="2016">
        <v>1</v>
      </c>
      <c r="AZ140" s="2016">
        <f>AX140*AY140</f>
        <v>0</v>
      </c>
      <c r="BA140" s="2016"/>
      <c r="BB140" s="2016"/>
      <c r="BC140" s="2011" t="s">
        <v>1220</v>
      </c>
    </row>
    <row r="141" spans="1:55" ht="14" hidden="1" customHeight="1" outlineLevel="1" x14ac:dyDescent="0.25">
      <c r="A141" s="779" t="s">
        <v>551</v>
      </c>
      <c r="B141" s="775">
        <v>16195</v>
      </c>
      <c r="C141" s="773">
        <v>15074.28</v>
      </c>
      <c r="D141" s="850">
        <v>16376</v>
      </c>
      <c r="E141" s="773">
        <v>15343.76</v>
      </c>
      <c r="F141" s="850">
        <v>16376</v>
      </c>
      <c r="G141" s="850">
        <v>16647.21</v>
      </c>
      <c r="H141" s="851">
        <v>17785</v>
      </c>
      <c r="I141" s="851">
        <v>16837.75</v>
      </c>
      <c r="J141" s="806">
        <v>18164</v>
      </c>
      <c r="K141" s="788"/>
      <c r="L141" s="840">
        <v>18241.45</v>
      </c>
      <c r="M141" s="807">
        <v>19227</v>
      </c>
      <c r="N141" s="808">
        <v>16397</v>
      </c>
      <c r="O141" s="804">
        <v>18462</v>
      </c>
      <c r="P141" s="852">
        <v>18462</v>
      </c>
      <c r="Q141" s="852">
        <v>18462</v>
      </c>
      <c r="R141" s="810">
        <f>18462+345</f>
        <v>18807</v>
      </c>
      <c r="S141" s="852"/>
      <c r="T141" s="852">
        <v>20243</v>
      </c>
      <c r="U141" s="852">
        <v>20243</v>
      </c>
      <c r="V141" s="810">
        <v>20715</v>
      </c>
      <c r="W141" s="788">
        <f>V141</f>
        <v>20715</v>
      </c>
      <c r="X141" s="810">
        <v>21132</v>
      </c>
      <c r="Y141" s="810">
        <v>26734</v>
      </c>
      <c r="Z141" s="810">
        <v>29326</v>
      </c>
      <c r="AA141" s="810">
        <f>Z141</f>
        <v>29326</v>
      </c>
      <c r="AB141" s="810">
        <v>32142</v>
      </c>
      <c r="AC141" s="810">
        <f>AB141</f>
        <v>32142</v>
      </c>
      <c r="AD141" s="810"/>
      <c r="AE141" s="810">
        <v>33545</v>
      </c>
      <c r="AF141" s="810"/>
      <c r="AG141" s="810">
        <v>34551.35</v>
      </c>
      <c r="AH141" s="810">
        <v>35065</v>
      </c>
      <c r="AI141" s="810">
        <v>36116.950000000004</v>
      </c>
      <c r="AJ141" s="810">
        <v>33355</v>
      </c>
      <c r="AK141" s="810">
        <v>34355.65</v>
      </c>
      <c r="AL141" s="810">
        <v>44800</v>
      </c>
      <c r="AM141" s="810">
        <f>AL141*$AH$3</f>
        <v>45696</v>
      </c>
      <c r="AN141" s="810">
        <v>34947</v>
      </c>
      <c r="AO141" s="810">
        <v>35820.674999999996</v>
      </c>
      <c r="AP141" s="810">
        <v>36897</v>
      </c>
      <c r="AQ141" s="810">
        <f>AP141*$AH$3</f>
        <v>37634.94</v>
      </c>
      <c r="AR141" s="810">
        <v>43880</v>
      </c>
      <c r="AS141" s="1410">
        <f>AR141*$AH$3</f>
        <v>44757.599999999999</v>
      </c>
      <c r="AT141" s="809">
        <f>'[1]BUDGET DETAIL'!$CX$459</f>
        <v>43880</v>
      </c>
      <c r="AU141" s="810">
        <f t="shared" si="74"/>
        <v>0</v>
      </c>
      <c r="AV141" s="2274">
        <f t="shared" si="31"/>
        <v>0</v>
      </c>
      <c r="AW141" s="778"/>
      <c r="AX141" s="2016"/>
      <c r="AY141" s="2122"/>
      <c r="AZ141" s="2122"/>
      <c r="BA141" s="2122"/>
      <c r="BB141" s="2122"/>
      <c r="BC141" s="2239"/>
    </row>
    <row r="142" spans="1:55" ht="14" hidden="1" customHeight="1" outlineLevel="1" x14ac:dyDescent="0.25">
      <c r="A142" s="779" t="s">
        <v>812</v>
      </c>
      <c r="B142" s="775">
        <v>5239</v>
      </c>
      <c r="C142" s="773">
        <v>5061.3500000000004</v>
      </c>
      <c r="D142" s="850">
        <v>4789</v>
      </c>
      <c r="E142" s="773">
        <v>4549.0200000000004</v>
      </c>
      <c r="F142" s="850">
        <v>4789</v>
      </c>
      <c r="G142" s="850">
        <f>4632.38+124.56</f>
        <v>4756.9400000000005</v>
      </c>
      <c r="H142" s="851">
        <v>5114</v>
      </c>
      <c r="I142" s="851">
        <f>5026.52+124.56</f>
        <v>5151.0800000000008</v>
      </c>
      <c r="J142" s="806">
        <v>5504</v>
      </c>
      <c r="K142" s="785" t="s">
        <v>455</v>
      </c>
      <c r="L142" s="812">
        <v>5573.75</v>
      </c>
      <c r="M142" s="812">
        <v>6709</v>
      </c>
      <c r="N142" s="813">
        <v>4267</v>
      </c>
      <c r="O142" s="855">
        <v>5519</v>
      </c>
      <c r="P142" s="788">
        <v>5519</v>
      </c>
      <c r="Q142" s="788">
        <v>5519</v>
      </c>
      <c r="R142" s="788">
        <v>5519</v>
      </c>
      <c r="S142" s="928"/>
      <c r="T142" s="928">
        <v>5631</v>
      </c>
      <c r="U142" s="928">
        <v>5631</v>
      </c>
      <c r="V142" s="809">
        <v>5743</v>
      </c>
      <c r="W142" s="788">
        <f>V142</f>
        <v>5743</v>
      </c>
      <c r="X142" s="810">
        <v>5913</v>
      </c>
      <c r="Y142" s="810">
        <v>5913</v>
      </c>
      <c r="Z142" s="810">
        <v>6089</v>
      </c>
      <c r="AA142" s="810">
        <f>Z142</f>
        <v>6089</v>
      </c>
      <c r="AB142" s="810">
        <v>6289</v>
      </c>
      <c r="AC142" s="810">
        <f>AB142</f>
        <v>6289</v>
      </c>
      <c r="AD142" s="810"/>
      <c r="AE142" s="810">
        <v>6415</v>
      </c>
      <c r="AF142" s="810"/>
      <c r="AG142" s="810">
        <v>6415</v>
      </c>
      <c r="AH142" s="810">
        <v>6415</v>
      </c>
      <c r="AI142" s="810">
        <v>6415</v>
      </c>
      <c r="AJ142" s="810">
        <v>16415</v>
      </c>
      <c r="AK142" s="810">
        <v>16415</v>
      </c>
      <c r="AL142" s="810">
        <v>17165</v>
      </c>
      <c r="AM142" s="810">
        <f>AL142*$AH$4</f>
        <v>17165</v>
      </c>
      <c r="AN142" s="810">
        <v>17165</v>
      </c>
      <c r="AO142" s="810">
        <v>17165</v>
      </c>
      <c r="AP142" s="1424">
        <v>13465</v>
      </c>
      <c r="AQ142" s="810">
        <f>AP142*$AH$4</f>
        <v>13465</v>
      </c>
      <c r="AR142" s="1424">
        <v>13965</v>
      </c>
      <c r="AS142" s="1410">
        <f>AR142*$AH$4</f>
        <v>13965</v>
      </c>
      <c r="AT142" s="2349">
        <f>'[1]BUDGET DETAIL'!$CX$472</f>
        <v>15465</v>
      </c>
      <c r="AU142" s="1424">
        <f t="shared" si="74"/>
        <v>1500</v>
      </c>
      <c r="AV142" s="2282">
        <f t="shared" si="31"/>
        <v>0.10741138560687433</v>
      </c>
      <c r="AW142" s="1423"/>
      <c r="AX142" s="2016"/>
      <c r="AY142" s="2122"/>
      <c r="AZ142" s="2122"/>
      <c r="BA142" s="2122"/>
      <c r="BB142" s="2122"/>
      <c r="BC142" s="2239"/>
    </row>
    <row r="143" spans="1:55" ht="14" hidden="1" customHeight="1" outlineLevel="1" x14ac:dyDescent="0.25">
      <c r="A143" s="842" t="s">
        <v>813</v>
      </c>
      <c r="B143" s="781">
        <f t="shared" ref="B143:P143" si="75">SUM(B140:B142)</f>
        <v>78580</v>
      </c>
      <c r="C143" s="781">
        <f t="shared" si="75"/>
        <v>77281.63</v>
      </c>
      <c r="D143" s="900">
        <f t="shared" si="75"/>
        <v>80685</v>
      </c>
      <c r="E143" s="781">
        <f t="shared" si="75"/>
        <v>78940.62</v>
      </c>
      <c r="F143" s="900">
        <f>SUM(F140:F142)</f>
        <v>80685</v>
      </c>
      <c r="G143" s="900">
        <f>SUM(G140:G142)</f>
        <v>80157.37</v>
      </c>
      <c r="H143" s="868">
        <f>SUM(H140:H142)</f>
        <v>85063</v>
      </c>
      <c r="I143" s="868">
        <f>SUM(I140:I142)</f>
        <v>83709.88</v>
      </c>
      <c r="J143" s="784">
        <f t="shared" si="75"/>
        <v>89936</v>
      </c>
      <c r="K143" s="816">
        <v>38796</v>
      </c>
      <c r="L143" s="843">
        <f t="shared" si="75"/>
        <v>90444.489999999991</v>
      </c>
      <c r="M143" s="843">
        <f t="shared" si="75"/>
        <v>97711</v>
      </c>
      <c r="N143" s="844">
        <f t="shared" si="75"/>
        <v>88813</v>
      </c>
      <c r="O143" s="845">
        <f t="shared" si="75"/>
        <v>95756</v>
      </c>
      <c r="P143" s="845">
        <f t="shared" si="75"/>
        <v>95756</v>
      </c>
      <c r="Q143" s="820">
        <f>IF(SUM(Q140:Q142)=0,P143,SUM(Q140:Q142))</f>
        <v>95756</v>
      </c>
      <c r="R143" s="845">
        <f>SUM(R140:R142)</f>
        <v>98776</v>
      </c>
      <c r="S143" s="819">
        <f>IF(SUM(S140:S142)=0,R143,SUM(S140:S142))</f>
        <v>98776</v>
      </c>
      <c r="T143" s="819">
        <v>102650</v>
      </c>
      <c r="U143" s="819">
        <v>102650</v>
      </c>
      <c r="V143" s="845">
        <f>SUM(V140:V142)</f>
        <v>104758</v>
      </c>
      <c r="W143" s="820">
        <f>IF(SUM(W140:W142)=0,V143,SUM(W140:W142))</f>
        <v>104758</v>
      </c>
      <c r="X143" s="845">
        <f>SUM(X140:X142)</f>
        <v>106899</v>
      </c>
      <c r="Y143" s="819">
        <f>IF(SUM(Y140:Y142)=0,X143,SUM(Y140:Y142))</f>
        <v>120906</v>
      </c>
      <c r="Z143" s="845">
        <f>SUM(Z140:Z142)</f>
        <v>132133</v>
      </c>
      <c r="AA143" s="819">
        <f>IF(SUM(AA140:AA142)=0,Z143,SUM(AA140:AA142))</f>
        <v>132133</v>
      </c>
      <c r="AB143" s="845">
        <f>SUM(AB140:AB142)</f>
        <v>138265</v>
      </c>
      <c r="AC143" s="819">
        <f>IF(SUM(AC140:AC142)=0,AB143,SUM(AC140:AC142))</f>
        <v>138265</v>
      </c>
      <c r="AD143" s="819"/>
      <c r="AE143" s="819">
        <v>143016</v>
      </c>
      <c r="AF143" s="819">
        <v>143016</v>
      </c>
      <c r="AG143" s="819">
        <v>147114.03</v>
      </c>
      <c r="AH143" s="819">
        <v>148332</v>
      </c>
      <c r="AI143" s="785">
        <v>152589.51</v>
      </c>
      <c r="AJ143" s="785">
        <v>159915</v>
      </c>
      <c r="AK143" s="785">
        <v>164220</v>
      </c>
      <c r="AL143" s="785">
        <v>145058</v>
      </c>
      <c r="AM143" s="785">
        <f t="shared" ref="AM143:AR143" si="76">SUM(AM140:AM142)</f>
        <v>147615.85999999999</v>
      </c>
      <c r="AN143" s="785">
        <f t="shared" si="76"/>
        <v>159253</v>
      </c>
      <c r="AO143" s="785">
        <f t="shared" si="76"/>
        <v>162805.19999999998</v>
      </c>
      <c r="AP143" s="785">
        <f t="shared" si="76"/>
        <v>171512</v>
      </c>
      <c r="AQ143" s="785">
        <f t="shared" si="76"/>
        <v>174672.94</v>
      </c>
      <c r="AR143" s="785">
        <f t="shared" si="76"/>
        <v>169813</v>
      </c>
      <c r="AS143" s="820">
        <f t="shared" ref="AS143" si="77">SUM(AS140:AS142)</f>
        <v>172929.96</v>
      </c>
      <c r="AT143" s="819">
        <f>SUM(AT140:AT142)</f>
        <v>173960</v>
      </c>
      <c r="AU143" s="785">
        <f t="shared" si="74"/>
        <v>4147</v>
      </c>
      <c r="AV143" s="2275">
        <f t="shared" ref="AV143:AV206" si="78">IF(AR143&gt;0,AU143/AR143,"")</f>
        <v>2.4420980725857265E-2</v>
      </c>
      <c r="AW143" s="778"/>
      <c r="AX143" s="2016"/>
      <c r="AY143" s="2016"/>
      <c r="AZ143" s="2016"/>
      <c r="BA143" s="2518">
        <f>POWER(AT143/AJ143,1/5)-1</f>
        <v>1.6979126965869451E-2</v>
      </c>
      <c r="BB143" s="2518">
        <f>POWER(AT143/AA143,1/9)-1</f>
        <v>3.1029046123284942E-2</v>
      </c>
      <c r="BC143" s="2332"/>
    </row>
    <row r="144" spans="1:55" ht="14" hidden="1" customHeight="1" outlineLevel="1" x14ac:dyDescent="0.25">
      <c r="A144" s="929"/>
      <c r="B144" s="930"/>
      <c r="C144" s="930"/>
      <c r="D144" s="931"/>
      <c r="E144" s="930"/>
      <c r="F144" s="931"/>
      <c r="G144" s="931"/>
      <c r="H144" s="932"/>
      <c r="I144" s="932"/>
      <c r="J144" s="933"/>
      <c r="K144" s="934"/>
      <c r="L144" s="935"/>
      <c r="M144" s="936"/>
      <c r="N144" s="937"/>
      <c r="O144" s="938"/>
      <c r="P144" s="938"/>
      <c r="Q144" s="939"/>
      <c r="R144" s="938"/>
      <c r="S144" s="940"/>
      <c r="T144" s="940"/>
      <c r="U144" s="940"/>
      <c r="V144" s="941"/>
      <c r="W144" s="940"/>
      <c r="X144" s="938"/>
      <c r="Y144" s="942"/>
      <c r="Z144" s="938"/>
      <c r="AA144" s="942"/>
      <c r="AB144" s="938"/>
      <c r="AC144" s="942"/>
      <c r="AD144" s="942"/>
      <c r="AE144" s="942"/>
      <c r="AF144" s="942"/>
      <c r="AG144" s="942"/>
      <c r="AH144" s="942"/>
      <c r="AI144" s="942"/>
      <c r="AJ144" s="942"/>
      <c r="AK144" s="942"/>
      <c r="AL144" s="942"/>
      <c r="AM144" s="942"/>
      <c r="AN144" s="942"/>
      <c r="AO144" s="942"/>
      <c r="AP144" s="942"/>
      <c r="AQ144" s="942"/>
      <c r="AR144" s="942"/>
      <c r="AS144" s="939"/>
      <c r="AT144" s="940"/>
      <c r="AU144" s="942" t="str">
        <f t="shared" si="74"/>
        <v/>
      </c>
      <c r="AV144" s="2283" t="str">
        <f t="shared" si="78"/>
        <v/>
      </c>
      <c r="AW144" s="803"/>
      <c r="AX144" s="2016"/>
      <c r="AY144" s="2016"/>
      <c r="AZ144" s="2016"/>
      <c r="BA144" s="2016"/>
      <c r="BB144" s="2016"/>
    </row>
    <row r="145" spans="1:55" ht="14" hidden="1" customHeight="1" outlineLevel="1" collapsed="1" x14ac:dyDescent="0.25">
      <c r="A145" s="779" t="s">
        <v>498</v>
      </c>
      <c r="B145" s="781"/>
      <c r="C145" s="781"/>
      <c r="D145" s="900"/>
      <c r="E145" s="781"/>
      <c r="F145" s="900"/>
      <c r="G145" s="900"/>
      <c r="H145" s="868"/>
      <c r="I145" s="868"/>
      <c r="J145" s="784"/>
      <c r="K145" s="816"/>
      <c r="L145" s="879"/>
      <c r="M145" s="843"/>
      <c r="N145" s="880"/>
      <c r="O145" s="888"/>
      <c r="P145" s="888"/>
      <c r="Q145" s="820"/>
      <c r="R145" s="888"/>
      <c r="S145" s="819"/>
      <c r="T145" s="819"/>
      <c r="U145" s="819"/>
      <c r="V145" s="845"/>
      <c r="W145" s="819"/>
      <c r="X145" s="888"/>
      <c r="Y145" s="785"/>
      <c r="Z145" s="888"/>
      <c r="AA145" s="785"/>
      <c r="AB145" s="888"/>
      <c r="AC145" s="785"/>
      <c r="AD145" s="785"/>
      <c r="AE145" s="785"/>
      <c r="AF145" s="785"/>
      <c r="AG145" s="785"/>
      <c r="AH145" s="785"/>
      <c r="AI145" s="785"/>
      <c r="AJ145" s="785"/>
      <c r="AK145" s="785"/>
      <c r="AL145" s="785"/>
      <c r="AM145" s="785"/>
      <c r="AN145" s="785"/>
      <c r="AO145" s="785"/>
      <c r="AP145" s="785"/>
      <c r="AQ145" s="785"/>
      <c r="AR145" s="785"/>
      <c r="AS145" s="820"/>
      <c r="AT145" s="819"/>
      <c r="AU145" s="785" t="str">
        <f t="shared" si="74"/>
        <v/>
      </c>
      <c r="AV145" s="2275" t="str">
        <f t="shared" si="78"/>
        <v/>
      </c>
      <c r="AW145" s="778"/>
      <c r="AX145" s="2016"/>
      <c r="AY145" s="2016"/>
      <c r="AZ145" s="2016"/>
      <c r="BA145" s="2016"/>
      <c r="BB145" s="2016"/>
    </row>
    <row r="146" spans="1:55" ht="14" hidden="1" customHeight="1" outlineLevel="1" x14ac:dyDescent="0.25">
      <c r="A146" s="779" t="s">
        <v>560</v>
      </c>
      <c r="B146" s="781"/>
      <c r="C146" s="781"/>
      <c r="D146" s="900"/>
      <c r="E146" s="781"/>
      <c r="F146" s="900"/>
      <c r="G146" s="900"/>
      <c r="H146" s="868"/>
      <c r="I146" s="868"/>
      <c r="J146" s="784"/>
      <c r="K146" s="816"/>
      <c r="L146" s="879"/>
      <c r="M146" s="843"/>
      <c r="N146" s="880"/>
      <c r="O146" s="888"/>
      <c r="P146" s="888"/>
      <c r="Q146" s="820"/>
      <c r="R146" s="888"/>
      <c r="S146" s="819"/>
      <c r="T146" s="819"/>
      <c r="U146" s="819"/>
      <c r="V146" s="845"/>
      <c r="W146" s="819"/>
      <c r="X146" s="888"/>
      <c r="Y146" s="785"/>
      <c r="Z146" s="888"/>
      <c r="AA146" s="785"/>
      <c r="AB146" s="888"/>
      <c r="AC146" s="785"/>
      <c r="AD146" s="785"/>
      <c r="AE146" s="785"/>
      <c r="AF146" s="785"/>
      <c r="AG146" s="785">
        <v>3385.61</v>
      </c>
      <c r="AH146" s="788">
        <v>3287</v>
      </c>
      <c r="AI146" s="810">
        <v>3385.61</v>
      </c>
      <c r="AJ146" s="810">
        <v>3352</v>
      </c>
      <c r="AK146" s="810">
        <v>3452.56</v>
      </c>
      <c r="AL146" s="810">
        <v>3352</v>
      </c>
      <c r="AM146" s="810">
        <f>AL146*$AH$3</f>
        <v>3419.04</v>
      </c>
      <c r="AN146" s="810">
        <v>3352</v>
      </c>
      <c r="AO146" s="810">
        <v>3435.7999999999997</v>
      </c>
      <c r="AP146" s="810">
        <v>3352</v>
      </c>
      <c r="AQ146" s="810">
        <f>AP146*$AH$3</f>
        <v>3419.04</v>
      </c>
      <c r="AR146" s="810">
        <v>3352</v>
      </c>
      <c r="AS146" s="1410">
        <f>AR146*$AH$3</f>
        <v>3419.04</v>
      </c>
      <c r="AT146" s="809">
        <f>'[1]BUDGET DETAIL'!$CX$505</f>
        <v>5000</v>
      </c>
      <c r="AU146" s="810">
        <f t="shared" si="74"/>
        <v>1648</v>
      </c>
      <c r="AV146" s="2274">
        <f t="shared" si="78"/>
        <v>0.49164677804295942</v>
      </c>
      <c r="AW146" s="778"/>
      <c r="AX146" s="2016"/>
      <c r="AY146" s="2016"/>
      <c r="AZ146" s="2016"/>
      <c r="BA146" s="2016"/>
      <c r="BB146" s="2016"/>
    </row>
    <row r="147" spans="1:55" ht="14" hidden="1" customHeight="1" outlineLevel="1" x14ac:dyDescent="0.25">
      <c r="A147" s="779" t="s">
        <v>551</v>
      </c>
      <c r="B147" s="781"/>
      <c r="C147" s="781"/>
      <c r="D147" s="900"/>
      <c r="E147" s="781"/>
      <c r="F147" s="900"/>
      <c r="G147" s="900"/>
      <c r="H147" s="868"/>
      <c r="I147" s="868"/>
      <c r="J147" s="784"/>
      <c r="K147" s="816"/>
      <c r="L147" s="879"/>
      <c r="M147" s="843"/>
      <c r="N147" s="880"/>
      <c r="O147" s="888"/>
      <c r="P147" s="888"/>
      <c r="Q147" s="820"/>
      <c r="R147" s="888"/>
      <c r="S147" s="819"/>
      <c r="T147" s="819"/>
      <c r="U147" s="819"/>
      <c r="V147" s="845"/>
      <c r="W147" s="819"/>
      <c r="X147" s="888"/>
      <c r="Y147" s="785"/>
      <c r="Z147" s="888"/>
      <c r="AA147" s="785"/>
      <c r="AB147" s="888"/>
      <c r="AC147" s="785"/>
      <c r="AD147" s="785"/>
      <c r="AE147" s="785"/>
      <c r="AF147" s="785"/>
      <c r="AG147" s="785">
        <v>3635.9</v>
      </c>
      <c r="AH147" s="788">
        <v>3530</v>
      </c>
      <c r="AI147" s="810">
        <v>3635.9</v>
      </c>
      <c r="AJ147" s="810">
        <v>3530</v>
      </c>
      <c r="AK147" s="810">
        <v>3635.9</v>
      </c>
      <c r="AL147" s="810">
        <v>3530</v>
      </c>
      <c r="AM147" s="810">
        <f>AL147*$AH$3</f>
        <v>3600.6</v>
      </c>
      <c r="AN147" s="810">
        <v>3530</v>
      </c>
      <c r="AO147" s="810">
        <v>3618.2499999999995</v>
      </c>
      <c r="AP147" s="810">
        <v>3530</v>
      </c>
      <c r="AQ147" s="810">
        <f>AP147*$AH$3</f>
        <v>3600.6</v>
      </c>
      <c r="AR147" s="810">
        <v>3530</v>
      </c>
      <c r="AS147" s="1410">
        <f>AR147*$AH$3</f>
        <v>3600.6</v>
      </c>
      <c r="AT147" s="809">
        <f>'[1]BUDGET DETAIL'!$CX$509</f>
        <v>3530</v>
      </c>
      <c r="AU147" s="810">
        <f t="shared" si="74"/>
        <v>0</v>
      </c>
      <c r="AV147" s="2274">
        <f t="shared" si="78"/>
        <v>0</v>
      </c>
      <c r="AW147" s="778"/>
      <c r="AX147" s="2016"/>
      <c r="AY147" s="2016"/>
      <c r="AZ147" s="2016"/>
      <c r="BA147" s="2016"/>
      <c r="BB147" s="2016"/>
    </row>
    <row r="148" spans="1:55" ht="14" hidden="1" customHeight="1" outlineLevel="1" x14ac:dyDescent="0.25">
      <c r="A148" s="779" t="s">
        <v>812</v>
      </c>
      <c r="B148" s="781"/>
      <c r="C148" s="781"/>
      <c r="D148" s="900"/>
      <c r="E148" s="781"/>
      <c r="F148" s="900"/>
      <c r="G148" s="900"/>
      <c r="H148" s="868"/>
      <c r="I148" s="868"/>
      <c r="J148" s="784"/>
      <c r="K148" s="816"/>
      <c r="L148" s="879"/>
      <c r="M148" s="843"/>
      <c r="N148" s="880"/>
      <c r="O148" s="888"/>
      <c r="P148" s="888"/>
      <c r="Q148" s="820"/>
      <c r="R148" s="888"/>
      <c r="S148" s="819"/>
      <c r="T148" s="819"/>
      <c r="U148" s="819"/>
      <c r="V148" s="845"/>
      <c r="W148" s="819"/>
      <c r="X148" s="888"/>
      <c r="Y148" s="785"/>
      <c r="Z148" s="888"/>
      <c r="AA148" s="785"/>
      <c r="AB148" s="888"/>
      <c r="AC148" s="785"/>
      <c r="AD148" s="785"/>
      <c r="AE148" s="785"/>
      <c r="AF148" s="785"/>
      <c r="AG148" s="785">
        <v>8845</v>
      </c>
      <c r="AH148" s="788">
        <v>8845</v>
      </c>
      <c r="AI148" s="810">
        <v>8845</v>
      </c>
      <c r="AJ148" s="810">
        <v>8845</v>
      </c>
      <c r="AK148" s="810">
        <v>8845</v>
      </c>
      <c r="AL148" s="810">
        <v>8880</v>
      </c>
      <c r="AM148" s="810">
        <f>AL148*$AH$4</f>
        <v>8880</v>
      </c>
      <c r="AN148" s="810">
        <v>8880</v>
      </c>
      <c r="AO148" s="810">
        <v>8880</v>
      </c>
      <c r="AP148" s="810">
        <v>8880</v>
      </c>
      <c r="AQ148" s="810">
        <f>AP148*$AH$4</f>
        <v>8880</v>
      </c>
      <c r="AR148" s="810">
        <v>8260</v>
      </c>
      <c r="AS148" s="1410">
        <f>AR148*$AH$4</f>
        <v>8260</v>
      </c>
      <c r="AT148" s="809">
        <f>'[1]BUDGET DETAIL'!$CX$517</f>
        <v>8260</v>
      </c>
      <c r="AU148" s="810">
        <f t="shared" si="74"/>
        <v>0</v>
      </c>
      <c r="AV148" s="2274">
        <f t="shared" si="78"/>
        <v>0</v>
      </c>
      <c r="AW148" s="778"/>
      <c r="AX148" s="2016"/>
      <c r="AY148" s="2016"/>
      <c r="AZ148" s="2016"/>
      <c r="BA148" s="2016"/>
      <c r="BB148" s="2016"/>
    </row>
    <row r="149" spans="1:55" ht="14" hidden="1" customHeight="1" outlineLevel="1" x14ac:dyDescent="0.25">
      <c r="A149" s="842" t="s">
        <v>813</v>
      </c>
      <c r="B149" s="781"/>
      <c r="C149" s="781"/>
      <c r="D149" s="900"/>
      <c r="E149" s="781"/>
      <c r="F149" s="900"/>
      <c r="G149" s="900"/>
      <c r="H149" s="868"/>
      <c r="I149" s="868"/>
      <c r="J149" s="784"/>
      <c r="K149" s="816"/>
      <c r="L149" s="879"/>
      <c r="M149" s="843"/>
      <c r="N149" s="880"/>
      <c r="O149" s="888"/>
      <c r="P149" s="888"/>
      <c r="Q149" s="820"/>
      <c r="R149" s="888"/>
      <c r="S149" s="819"/>
      <c r="T149" s="819"/>
      <c r="U149" s="819"/>
      <c r="V149" s="845"/>
      <c r="W149" s="785"/>
      <c r="X149" s="888"/>
      <c r="Y149" s="785"/>
      <c r="Z149" s="888"/>
      <c r="AA149" s="785"/>
      <c r="AB149" s="888"/>
      <c r="AC149" s="785"/>
      <c r="AD149" s="785"/>
      <c r="AE149" s="785"/>
      <c r="AF149" s="785"/>
      <c r="AG149" s="785">
        <v>15866.51</v>
      </c>
      <c r="AH149" s="819">
        <v>15662</v>
      </c>
      <c r="AI149" s="785">
        <v>15866.51</v>
      </c>
      <c r="AJ149" s="785">
        <v>15727</v>
      </c>
      <c r="AK149" s="785">
        <v>15933.46</v>
      </c>
      <c r="AL149" s="785">
        <v>15762</v>
      </c>
      <c r="AM149" s="785">
        <f t="shared" ref="AM149:AT149" si="79">SUM(AM146:AM148)</f>
        <v>15899.64</v>
      </c>
      <c r="AN149" s="785">
        <f t="shared" si="79"/>
        <v>15762</v>
      </c>
      <c r="AO149" s="785">
        <f t="shared" si="79"/>
        <v>15934.05</v>
      </c>
      <c r="AP149" s="785">
        <f t="shared" si="79"/>
        <v>15762</v>
      </c>
      <c r="AQ149" s="785">
        <f t="shared" si="79"/>
        <v>15899.64</v>
      </c>
      <c r="AR149" s="785">
        <f t="shared" si="79"/>
        <v>15142</v>
      </c>
      <c r="AS149" s="820">
        <f t="shared" ref="AS149" si="80">SUM(AS146:AS148)</f>
        <v>15279.64</v>
      </c>
      <c r="AT149" s="819">
        <f t="shared" si="79"/>
        <v>16790</v>
      </c>
      <c r="AU149" s="785">
        <f t="shared" si="74"/>
        <v>1648</v>
      </c>
      <c r="AV149" s="2275">
        <f t="shared" si="78"/>
        <v>0.10883634922731475</v>
      </c>
      <c r="AW149" s="778"/>
      <c r="AX149" s="2016"/>
      <c r="AY149" s="2016"/>
      <c r="AZ149" s="2016"/>
      <c r="BA149" s="2016"/>
      <c r="BB149" s="2518"/>
      <c r="BC149" s="2332"/>
    </row>
    <row r="150" spans="1:55" ht="14" hidden="1" customHeight="1" outlineLevel="1" x14ac:dyDescent="0.25">
      <c r="A150" s="943"/>
      <c r="B150" s="793"/>
      <c r="C150" s="793" t="s">
        <v>160</v>
      </c>
      <c r="D150" s="892" t="s">
        <v>160</v>
      </c>
      <c r="E150" s="793" t="s">
        <v>160</v>
      </c>
      <c r="F150" s="892" t="s">
        <v>160</v>
      </c>
      <c r="G150" s="892" t="s">
        <v>160</v>
      </c>
      <c r="H150" s="893" t="s">
        <v>160</v>
      </c>
      <c r="I150" s="893" t="s">
        <v>160</v>
      </c>
      <c r="J150" s="846" t="s">
        <v>160</v>
      </c>
      <c r="K150" s="822" t="s">
        <v>160</v>
      </c>
      <c r="L150" s="829"/>
      <c r="M150" s="830"/>
      <c r="N150" s="829"/>
      <c r="O150" s="822"/>
      <c r="P150" s="822"/>
      <c r="Q150" s="822"/>
      <c r="R150" s="822"/>
      <c r="S150" s="823"/>
      <c r="T150" s="823"/>
      <c r="U150" s="823"/>
      <c r="V150" s="823"/>
      <c r="W150" s="822"/>
      <c r="X150" s="822"/>
      <c r="Y150" s="822"/>
      <c r="Z150" s="822"/>
      <c r="AA150" s="822"/>
      <c r="AB150" s="822"/>
      <c r="AC150" s="822"/>
      <c r="AD150" s="822"/>
      <c r="AE150" s="822"/>
      <c r="AF150" s="822"/>
      <c r="AG150" s="822"/>
      <c r="AH150" s="822"/>
      <c r="AI150" s="822"/>
      <c r="AJ150" s="822"/>
      <c r="AK150" s="822"/>
      <c r="AL150" s="822"/>
      <c r="AM150" s="822"/>
      <c r="AN150" s="822"/>
      <c r="AO150" s="822"/>
      <c r="AP150" s="822"/>
      <c r="AQ150" s="822"/>
      <c r="AR150" s="822"/>
      <c r="AS150" s="1160"/>
      <c r="AT150" s="823"/>
      <c r="AU150" s="822" t="str">
        <f t="shared" si="74"/>
        <v/>
      </c>
      <c r="AV150" s="2276" t="str">
        <f t="shared" si="78"/>
        <v/>
      </c>
      <c r="AW150" s="803"/>
      <c r="AX150" s="2016"/>
      <c r="AY150" s="2016"/>
      <c r="AZ150" s="2016"/>
      <c r="BA150" s="2016"/>
      <c r="BB150" s="2016"/>
    </row>
    <row r="151" spans="1:55" ht="14" hidden="1" customHeight="1" outlineLevel="1" collapsed="1" x14ac:dyDescent="0.25">
      <c r="A151" s="779" t="s">
        <v>599</v>
      </c>
      <c r="B151" s="804"/>
      <c r="C151" s="804"/>
      <c r="D151" s="804"/>
      <c r="E151" s="804"/>
      <c r="F151" s="804"/>
      <c r="G151" s="804"/>
      <c r="H151" s="852"/>
      <c r="I151" s="852"/>
      <c r="J151" s="847"/>
      <c r="K151" s="825"/>
      <c r="L151" s="831"/>
      <c r="M151" s="831"/>
      <c r="N151" s="831"/>
      <c r="O151" s="825"/>
      <c r="P151" s="825"/>
      <c r="Q151" s="825"/>
      <c r="R151" s="825"/>
      <c r="S151" s="825"/>
      <c r="T151" s="825"/>
      <c r="U151" s="825"/>
      <c r="V151" s="825"/>
      <c r="W151" s="825"/>
      <c r="X151" s="825"/>
      <c r="Y151" s="825"/>
      <c r="Z151" s="825"/>
      <c r="AA151" s="825"/>
      <c r="AB151" s="825"/>
      <c r="AC151" s="825"/>
      <c r="AD151" s="825"/>
      <c r="AE151" s="825"/>
      <c r="AF151" s="825"/>
      <c r="AG151" s="825"/>
      <c r="AH151" s="825"/>
      <c r="AI151" s="825"/>
      <c r="AJ151" s="825"/>
      <c r="AK151" s="825"/>
      <c r="AL151" s="825"/>
      <c r="AM151" s="825"/>
      <c r="AN151" s="825"/>
      <c r="AO151" s="825"/>
      <c r="AP151" s="825"/>
      <c r="AQ151" s="825"/>
      <c r="AR151" s="825"/>
      <c r="AS151" s="1110"/>
      <c r="AT151" s="1040"/>
      <c r="AU151" s="825" t="str">
        <f t="shared" si="74"/>
        <v/>
      </c>
      <c r="AV151" s="2274" t="str">
        <f t="shared" si="78"/>
        <v/>
      </c>
      <c r="AW151" s="778"/>
      <c r="AX151" s="2016"/>
      <c r="AY151" s="2016"/>
      <c r="AZ151" s="2016"/>
      <c r="BA151" s="2016"/>
      <c r="BB151" s="2016"/>
    </row>
    <row r="152" spans="1:55" ht="14" hidden="1" customHeight="1" outlineLevel="1" x14ac:dyDescent="0.25">
      <c r="A152" s="779" t="s">
        <v>677</v>
      </c>
      <c r="B152" s="775">
        <v>1500</v>
      </c>
      <c r="C152" s="773">
        <v>1500</v>
      </c>
      <c r="D152" s="850">
        <v>1500</v>
      </c>
      <c r="E152" s="773">
        <v>1500</v>
      </c>
      <c r="F152" s="850">
        <v>1500</v>
      </c>
      <c r="G152" s="850">
        <v>1500</v>
      </c>
      <c r="H152" s="851">
        <v>1500</v>
      </c>
      <c r="I152" s="851">
        <v>1500</v>
      </c>
      <c r="J152" s="806">
        <v>1500</v>
      </c>
      <c r="K152" s="788"/>
      <c r="L152" s="944">
        <v>1500</v>
      </c>
      <c r="M152" s="945">
        <v>1500</v>
      </c>
      <c r="N152" s="808">
        <v>1500</v>
      </c>
      <c r="O152" s="788">
        <v>1500</v>
      </c>
      <c r="P152" s="788">
        <v>1500</v>
      </c>
      <c r="Q152" s="788">
        <v>1500</v>
      </c>
      <c r="R152" s="788">
        <v>1500</v>
      </c>
      <c r="S152" s="788"/>
      <c r="T152" s="788">
        <v>1530</v>
      </c>
      <c r="U152" s="788">
        <v>1530</v>
      </c>
      <c r="V152" s="810">
        <v>1561</v>
      </c>
      <c r="W152" s="788">
        <f>V152</f>
        <v>1561</v>
      </c>
      <c r="X152" s="810">
        <v>1593</v>
      </c>
      <c r="Y152" s="810">
        <v>1593</v>
      </c>
      <c r="Z152" s="810">
        <v>1625</v>
      </c>
      <c r="AA152" s="810">
        <f>Z152</f>
        <v>1625</v>
      </c>
      <c r="AB152" s="810">
        <v>1658</v>
      </c>
      <c r="AC152" s="810">
        <f>AB152</f>
        <v>1658</v>
      </c>
      <c r="AD152" s="810"/>
      <c r="AE152" s="946">
        <v>1692</v>
      </c>
      <c r="AF152" s="810"/>
      <c r="AG152" s="810">
        <v>1692</v>
      </c>
      <c r="AH152" s="810">
        <v>1692</v>
      </c>
      <c r="AI152" s="810">
        <v>1692</v>
      </c>
      <c r="AJ152" s="810">
        <v>1726</v>
      </c>
      <c r="AK152" s="810">
        <v>1777.78</v>
      </c>
      <c r="AL152" s="810">
        <v>1726</v>
      </c>
      <c r="AM152" s="810">
        <f>AL152*$AH$3</f>
        <v>1760.52</v>
      </c>
      <c r="AN152" s="810">
        <v>1726</v>
      </c>
      <c r="AO152" s="810">
        <v>1769.1499999999999</v>
      </c>
      <c r="AP152" s="810">
        <v>1726</v>
      </c>
      <c r="AQ152" s="810">
        <f>AP152*$AH$3</f>
        <v>1760.52</v>
      </c>
      <c r="AR152" s="810">
        <v>1726</v>
      </c>
      <c r="AS152" s="1410">
        <f>AR152*$AH$3</f>
        <v>1760.52</v>
      </c>
      <c r="AT152" s="809">
        <f>'[1]BUDGET DETAIL'!$CX$478</f>
        <v>1726</v>
      </c>
      <c r="AU152" s="810">
        <f t="shared" si="74"/>
        <v>0</v>
      </c>
      <c r="AV152" s="2274">
        <f t="shared" si="78"/>
        <v>0</v>
      </c>
      <c r="AW152" s="853"/>
      <c r="AX152" s="2016"/>
      <c r="AY152" s="2016"/>
      <c r="AZ152" s="2016"/>
      <c r="BA152" s="2016"/>
      <c r="BB152" s="2016"/>
      <c r="BC152" s="2025"/>
    </row>
    <row r="153" spans="1:55" ht="14" hidden="1" customHeight="1" outlineLevel="1" x14ac:dyDescent="0.25">
      <c r="A153" s="779" t="s">
        <v>812</v>
      </c>
      <c r="B153" s="775">
        <v>200</v>
      </c>
      <c r="C153" s="773">
        <v>44</v>
      </c>
      <c r="D153" s="850">
        <v>100</v>
      </c>
      <c r="E153" s="773">
        <v>100</v>
      </c>
      <c r="F153" s="850">
        <v>100</v>
      </c>
      <c r="G153" s="850">
        <v>0</v>
      </c>
      <c r="H153" s="851">
        <v>100</v>
      </c>
      <c r="I153" s="851">
        <v>92</v>
      </c>
      <c r="J153" s="806">
        <v>100</v>
      </c>
      <c r="K153" s="788"/>
      <c r="L153" s="947">
        <v>0</v>
      </c>
      <c r="M153" s="947">
        <v>100</v>
      </c>
      <c r="N153" s="813">
        <f>L153</f>
        <v>0</v>
      </c>
      <c r="O153" s="788"/>
      <c r="P153" s="788"/>
      <c r="Q153" s="788"/>
      <c r="R153" s="788"/>
      <c r="S153" s="788"/>
      <c r="T153" s="788">
        <v>0</v>
      </c>
      <c r="U153" s="788">
        <v>0</v>
      </c>
      <c r="V153" s="788" t="e">
        <f>S153*(1+#REF!)</f>
        <v>#REF!</v>
      </c>
      <c r="W153" s="788">
        <f>U153</f>
        <v>0</v>
      </c>
      <c r="X153" s="788" t="e">
        <f>S153*(1+#REF!)</f>
        <v>#REF!</v>
      </c>
      <c r="Y153" s="788">
        <f>U153</f>
        <v>0</v>
      </c>
      <c r="Z153" s="810">
        <f>Y153*(1+$A$4/100)</f>
        <v>0</v>
      </c>
      <c r="AA153" s="788">
        <f>W153</f>
        <v>0</v>
      </c>
      <c r="AB153" s="810">
        <f>AA153*(1+$A$4/100)</f>
        <v>0</v>
      </c>
      <c r="AC153" s="788">
        <f>Y153</f>
        <v>0</v>
      </c>
      <c r="AD153" s="788"/>
      <c r="AE153" s="788"/>
      <c r="AF153" s="810">
        <v>0</v>
      </c>
      <c r="AG153" s="810"/>
      <c r="AH153" s="810"/>
      <c r="AI153" s="788"/>
      <c r="AJ153" s="788"/>
      <c r="AK153" s="788"/>
      <c r="AL153" s="788"/>
      <c r="AM153" s="788"/>
      <c r="AN153" s="788"/>
      <c r="AO153" s="788"/>
      <c r="AP153" s="788"/>
      <c r="AQ153" s="788"/>
      <c r="AR153" s="788"/>
      <c r="AS153" s="841"/>
      <c r="AT153" s="891"/>
      <c r="AU153" s="788" t="str">
        <f t="shared" si="74"/>
        <v/>
      </c>
      <c r="AV153" s="2272" t="str">
        <f t="shared" si="78"/>
        <v/>
      </c>
      <c r="AW153" s="778"/>
      <c r="AX153" s="2016"/>
      <c r="AY153" s="2016"/>
      <c r="AZ153" s="2016"/>
      <c r="BA153" s="2016"/>
      <c r="BB153" s="2016"/>
    </row>
    <row r="154" spans="1:55" ht="14" hidden="1" customHeight="1" outlineLevel="1" x14ac:dyDescent="0.4">
      <c r="A154" s="948" t="s">
        <v>884</v>
      </c>
      <c r="B154" s="781">
        <f t="shared" ref="B154:N154" si="81">SUM(B152:B153)</f>
        <v>1700</v>
      </c>
      <c r="C154" s="781">
        <f t="shared" si="81"/>
        <v>1544</v>
      </c>
      <c r="D154" s="781">
        <f t="shared" si="81"/>
        <v>1600</v>
      </c>
      <c r="E154" s="781">
        <f t="shared" si="81"/>
        <v>1600</v>
      </c>
      <c r="F154" s="781">
        <f t="shared" si="81"/>
        <v>1600</v>
      </c>
      <c r="G154" s="781">
        <f t="shared" si="81"/>
        <v>1500</v>
      </c>
      <c r="H154" s="782">
        <f t="shared" si="81"/>
        <v>1600</v>
      </c>
      <c r="I154" s="782">
        <f t="shared" si="81"/>
        <v>1592</v>
      </c>
      <c r="J154" s="784">
        <f t="shared" si="81"/>
        <v>1600</v>
      </c>
      <c r="K154" s="785" t="s">
        <v>456</v>
      </c>
      <c r="L154" s="848">
        <f t="shared" si="81"/>
        <v>1500</v>
      </c>
      <c r="M154" s="848">
        <f t="shared" si="81"/>
        <v>1600</v>
      </c>
      <c r="N154" s="844">
        <f t="shared" si="81"/>
        <v>1500</v>
      </c>
      <c r="O154" s="785">
        <f>O152</f>
        <v>1500</v>
      </c>
      <c r="P154" s="785">
        <f>P152+P153</f>
        <v>1500</v>
      </c>
      <c r="Q154" s="819">
        <f>IF(SUM(Q152:Q153)=0,P154,SUM(Q152:Q153))</f>
        <v>1500</v>
      </c>
      <c r="R154" s="785">
        <f>R152+R153</f>
        <v>1500</v>
      </c>
      <c r="S154" s="819">
        <f>IF(SUM(S152:S153)=0,R154,SUM(S152:S153))</f>
        <v>1500</v>
      </c>
      <c r="T154" s="785">
        <v>1530</v>
      </c>
      <c r="U154" s="785">
        <v>1530</v>
      </c>
      <c r="V154" s="785" t="e">
        <f>V152+V153</f>
        <v>#REF!</v>
      </c>
      <c r="W154" s="819">
        <f>IF(SUM(W152:W153)=0,V154,SUM(W152:W153))</f>
        <v>1561</v>
      </c>
      <c r="X154" s="785" t="e">
        <f>X152+X153</f>
        <v>#REF!</v>
      </c>
      <c r="Y154" s="819">
        <f>IF(SUM(Y152:Y153)=0,X154,SUM(Y152:Y153))</f>
        <v>1593</v>
      </c>
      <c r="Z154" s="785">
        <f>Z152+Z153</f>
        <v>1625</v>
      </c>
      <c r="AA154" s="819">
        <f>IF(SUM(AA152:AA153)=0,Z154,SUM(AA152:AA153))</f>
        <v>1625</v>
      </c>
      <c r="AB154" s="785">
        <f>AB152+AB153</f>
        <v>1658</v>
      </c>
      <c r="AC154" s="819">
        <f>IF(SUM(AC152:AC153)=0,AB154,SUM(AC152:AC153))</f>
        <v>1658</v>
      </c>
      <c r="AD154" s="819"/>
      <c r="AE154" s="819">
        <v>1692</v>
      </c>
      <c r="AF154" s="819">
        <v>1692</v>
      </c>
      <c r="AG154" s="819">
        <v>1692</v>
      </c>
      <c r="AH154" s="819">
        <v>1692</v>
      </c>
      <c r="AI154" s="1101">
        <v>1692</v>
      </c>
      <c r="AJ154" s="1101">
        <v>1726</v>
      </c>
      <c r="AK154" s="1101">
        <v>1777.78</v>
      </c>
      <c r="AL154" s="1101">
        <v>1726</v>
      </c>
      <c r="AM154" s="1101">
        <f t="shared" ref="AM154:AT154" si="82">SUM(AM152:AM153)</f>
        <v>1760.52</v>
      </c>
      <c r="AN154" s="1101">
        <f t="shared" si="82"/>
        <v>1726</v>
      </c>
      <c r="AO154" s="1101">
        <f t="shared" si="82"/>
        <v>1769.1499999999999</v>
      </c>
      <c r="AP154" s="1101">
        <f t="shared" si="82"/>
        <v>1726</v>
      </c>
      <c r="AQ154" s="1101">
        <f t="shared" si="82"/>
        <v>1760.52</v>
      </c>
      <c r="AR154" s="1101">
        <f t="shared" si="82"/>
        <v>1726</v>
      </c>
      <c r="AS154" s="1630">
        <f t="shared" ref="AS154" si="83">SUM(AS152:AS153)</f>
        <v>1760.52</v>
      </c>
      <c r="AT154" s="2350">
        <f t="shared" si="82"/>
        <v>1726</v>
      </c>
      <c r="AU154" s="1101">
        <f t="shared" si="74"/>
        <v>0</v>
      </c>
      <c r="AV154" s="2284">
        <f t="shared" si="78"/>
        <v>0</v>
      </c>
      <c r="AW154" s="778"/>
      <c r="AX154" s="2016"/>
      <c r="AY154" s="2016"/>
      <c r="AZ154" s="2016"/>
      <c r="BA154" s="2518">
        <f>POWER(AT154/AJ154,1/5)-1</f>
        <v>0</v>
      </c>
      <c r="BB154" s="2518">
        <f>POWER(AT154/AA154,1/9)-1</f>
        <v>6.7223583953752719E-3</v>
      </c>
      <c r="BC154" s="2332"/>
    </row>
    <row r="155" spans="1:55" ht="14" hidden="1" customHeight="1" outlineLevel="1" x14ac:dyDescent="0.25">
      <c r="A155" s="821"/>
      <c r="B155" s="793"/>
      <c r="C155" s="793"/>
      <c r="D155" s="793"/>
      <c r="E155" s="793"/>
      <c r="F155" s="793"/>
      <c r="G155" s="793"/>
      <c r="H155" s="899"/>
      <c r="I155" s="899"/>
      <c r="J155" s="846"/>
      <c r="K155" s="823"/>
      <c r="L155" s="830"/>
      <c r="M155" s="830"/>
      <c r="N155" s="926"/>
      <c r="O155" s="823"/>
      <c r="P155" s="823"/>
      <c r="Q155" s="823"/>
      <c r="R155" s="823"/>
      <c r="S155" s="823"/>
      <c r="T155" s="823"/>
      <c r="U155" s="823"/>
      <c r="V155" s="823"/>
      <c r="W155" s="823"/>
      <c r="X155" s="823"/>
      <c r="Y155" s="823"/>
      <c r="Z155" s="823"/>
      <c r="AA155" s="823"/>
      <c r="AB155" s="823"/>
      <c r="AC155" s="823"/>
      <c r="AD155" s="823"/>
      <c r="AE155" s="823"/>
      <c r="AF155" s="823"/>
      <c r="AG155" s="823"/>
      <c r="AH155" s="823"/>
      <c r="AI155" s="823"/>
      <c r="AJ155" s="823"/>
      <c r="AK155" s="823"/>
      <c r="AL155" s="823"/>
      <c r="AM155" s="823"/>
      <c r="AN155" s="823"/>
      <c r="AO155" s="823"/>
      <c r="AP155" s="823"/>
      <c r="AQ155" s="823"/>
      <c r="AR155" s="823"/>
      <c r="AS155" s="1629"/>
      <c r="AT155" s="823"/>
      <c r="AU155" s="822" t="str">
        <f t="shared" si="74"/>
        <v/>
      </c>
      <c r="AV155" s="2285" t="str">
        <f t="shared" si="78"/>
        <v/>
      </c>
      <c r="AW155" s="803"/>
      <c r="AX155" s="2016"/>
      <c r="AY155" s="2016"/>
      <c r="AZ155" s="2016"/>
      <c r="BA155" s="2016"/>
      <c r="BB155" s="2016"/>
    </row>
    <row r="156" spans="1:55" ht="14" hidden="1" customHeight="1" outlineLevel="1" collapsed="1" x14ac:dyDescent="0.25">
      <c r="A156" s="779" t="s">
        <v>600</v>
      </c>
      <c r="B156" s="804"/>
      <c r="C156" s="804"/>
      <c r="D156" s="894"/>
      <c r="E156" s="804"/>
      <c r="F156" s="894"/>
      <c r="G156" s="894"/>
      <c r="H156" s="895"/>
      <c r="I156" s="895"/>
      <c r="J156" s="847"/>
      <c r="K156" s="825"/>
      <c r="L156" s="831"/>
      <c r="M156" s="831"/>
      <c r="N156" s="805"/>
      <c r="O156" s="825"/>
      <c r="P156" s="825"/>
      <c r="Q156" s="825"/>
      <c r="R156" s="825"/>
      <c r="S156" s="825"/>
      <c r="T156" s="825"/>
      <c r="U156" s="825"/>
      <c r="V156" s="825"/>
      <c r="W156" s="825"/>
      <c r="X156" s="825"/>
      <c r="Y156" s="825"/>
      <c r="Z156" s="825"/>
      <c r="AA156" s="825"/>
      <c r="AB156" s="825"/>
      <c r="AC156" s="825"/>
      <c r="AD156" s="825"/>
      <c r="AE156" s="825"/>
      <c r="AF156" s="825"/>
      <c r="AG156" s="825"/>
      <c r="AH156" s="825"/>
      <c r="AI156" s="825"/>
      <c r="AJ156" s="825"/>
      <c r="AK156" s="825"/>
      <c r="AL156" s="825"/>
      <c r="AM156" s="825"/>
      <c r="AN156" s="825"/>
      <c r="AO156" s="825"/>
      <c r="AP156" s="825"/>
      <c r="AQ156" s="825"/>
      <c r="AR156" s="825"/>
      <c r="AS156" s="1110"/>
      <c r="AT156" s="1040"/>
      <c r="AU156" s="825" t="str">
        <f t="shared" si="74"/>
        <v/>
      </c>
      <c r="AV156" s="2274" t="str">
        <f t="shared" si="78"/>
        <v/>
      </c>
      <c r="AW156" s="778"/>
      <c r="AX156" s="2016"/>
      <c r="AY156" s="2016"/>
      <c r="AZ156" s="2016"/>
      <c r="BA156" s="2016"/>
      <c r="BB156" s="2016"/>
    </row>
    <row r="157" spans="1:55" ht="14" hidden="1" customHeight="1" outlineLevel="1" x14ac:dyDescent="0.25">
      <c r="A157" s="779" t="s">
        <v>677</v>
      </c>
      <c r="B157" s="775">
        <v>8500</v>
      </c>
      <c r="C157" s="773">
        <v>8500</v>
      </c>
      <c r="D157" s="850">
        <v>8500</v>
      </c>
      <c r="E157" s="773">
        <v>8500</v>
      </c>
      <c r="F157" s="850">
        <v>8500</v>
      </c>
      <c r="G157" s="850">
        <v>8500</v>
      </c>
      <c r="H157" s="851">
        <v>8500</v>
      </c>
      <c r="I157" s="851">
        <v>8500</v>
      </c>
      <c r="J157" s="806">
        <v>8500</v>
      </c>
      <c r="K157" s="788"/>
      <c r="L157" s="840">
        <v>8670</v>
      </c>
      <c r="M157" s="807">
        <v>8904</v>
      </c>
      <c r="N157" s="808">
        <v>8904</v>
      </c>
      <c r="O157" s="788">
        <v>8904</v>
      </c>
      <c r="P157" s="788">
        <v>8904</v>
      </c>
      <c r="Q157" s="788">
        <v>8904</v>
      </c>
      <c r="R157" s="788">
        <v>8904</v>
      </c>
      <c r="S157" s="788"/>
      <c r="T157" s="788">
        <v>9082</v>
      </c>
      <c r="U157" s="788">
        <v>9082</v>
      </c>
      <c r="V157" s="810">
        <v>9264</v>
      </c>
      <c r="W157" s="788">
        <f>V157</f>
        <v>9264</v>
      </c>
      <c r="X157" s="810">
        <v>9449</v>
      </c>
      <c r="Y157" s="810">
        <v>9449</v>
      </c>
      <c r="Z157" s="810">
        <v>9638</v>
      </c>
      <c r="AA157" s="810">
        <f>Z157</f>
        <v>9638</v>
      </c>
      <c r="AB157" s="810">
        <v>9831</v>
      </c>
      <c r="AC157" s="810">
        <f>AB157</f>
        <v>9831</v>
      </c>
      <c r="AD157" s="810"/>
      <c r="AE157" s="810">
        <v>10028</v>
      </c>
      <c r="AF157" s="810"/>
      <c r="AG157" s="810">
        <v>10328.84</v>
      </c>
      <c r="AH157" s="810">
        <v>10028</v>
      </c>
      <c r="AI157" s="810">
        <v>10328.84</v>
      </c>
      <c r="AJ157" s="810">
        <v>10229</v>
      </c>
      <c r="AK157" s="810">
        <v>10535.87</v>
      </c>
      <c r="AL157" s="810">
        <v>10229</v>
      </c>
      <c r="AM157" s="810">
        <f>AL157*$AH$3</f>
        <v>10433.58</v>
      </c>
      <c r="AN157" s="810">
        <v>10229</v>
      </c>
      <c r="AO157" s="810">
        <v>10484.724999999999</v>
      </c>
      <c r="AP157" s="810">
        <v>10229</v>
      </c>
      <c r="AQ157" s="810">
        <f>AP157*$AH$3</f>
        <v>10433.58</v>
      </c>
      <c r="AR157" s="810">
        <v>7750</v>
      </c>
      <c r="AS157" s="1410">
        <f>AR157*$AH$3</f>
        <v>7905</v>
      </c>
      <c r="AT157" s="809">
        <f>'[1]BUDGET DETAIL'!$CX$483</f>
        <v>6000</v>
      </c>
      <c r="AU157" s="810">
        <f t="shared" si="74"/>
        <v>-1750</v>
      </c>
      <c r="AV157" s="2274">
        <f t="shared" si="78"/>
        <v>-0.22580645161290322</v>
      </c>
      <c r="AW157" s="778"/>
      <c r="AX157" s="2016"/>
      <c r="AY157" s="2016"/>
      <c r="AZ157" s="2016"/>
      <c r="BA157" s="2016"/>
      <c r="BB157" s="2016"/>
    </row>
    <row r="158" spans="1:55" ht="14" hidden="1" customHeight="1" outlineLevel="1" x14ac:dyDescent="0.25">
      <c r="A158" s="779" t="s">
        <v>812</v>
      </c>
      <c r="B158" s="775">
        <v>1600</v>
      </c>
      <c r="C158" s="773">
        <v>1062.32</v>
      </c>
      <c r="D158" s="850">
        <v>1600</v>
      </c>
      <c r="E158" s="773">
        <v>789.53</v>
      </c>
      <c r="F158" s="850">
        <v>1600</v>
      </c>
      <c r="G158" s="850">
        <v>707.9</v>
      </c>
      <c r="H158" s="851">
        <v>1600</v>
      </c>
      <c r="I158" s="851">
        <v>522.36</v>
      </c>
      <c r="J158" s="806">
        <v>1600</v>
      </c>
      <c r="K158" s="788"/>
      <c r="L158" s="812">
        <v>300</v>
      </c>
      <c r="M158" s="812">
        <v>1600</v>
      </c>
      <c r="N158" s="813">
        <v>549</v>
      </c>
      <c r="O158" s="788">
        <v>549</v>
      </c>
      <c r="P158" s="788">
        <v>549</v>
      </c>
      <c r="Q158" s="788">
        <v>549</v>
      </c>
      <c r="R158" s="788">
        <v>549</v>
      </c>
      <c r="S158" s="788"/>
      <c r="T158" s="788">
        <v>549</v>
      </c>
      <c r="U158" s="788">
        <v>549</v>
      </c>
      <c r="V158" s="810">
        <v>560</v>
      </c>
      <c r="W158" s="788">
        <f>V158</f>
        <v>560</v>
      </c>
      <c r="X158" s="810">
        <v>560</v>
      </c>
      <c r="Y158" s="810">
        <v>560</v>
      </c>
      <c r="Z158" s="810">
        <v>560</v>
      </c>
      <c r="AA158" s="810">
        <f>Z158</f>
        <v>560</v>
      </c>
      <c r="AB158" s="810">
        <v>571</v>
      </c>
      <c r="AC158" s="810">
        <f>AB158</f>
        <v>571</v>
      </c>
      <c r="AD158" s="810"/>
      <c r="AE158" s="810">
        <v>571</v>
      </c>
      <c r="AF158" s="810"/>
      <c r="AG158" s="810">
        <v>571</v>
      </c>
      <c r="AH158" s="810">
        <v>571</v>
      </c>
      <c r="AI158" s="810">
        <v>571</v>
      </c>
      <c r="AJ158" s="810">
        <v>571</v>
      </c>
      <c r="AK158" s="810">
        <v>571</v>
      </c>
      <c r="AL158" s="810">
        <v>571</v>
      </c>
      <c r="AM158" s="810">
        <f>AL158*$AH$4</f>
        <v>571</v>
      </c>
      <c r="AN158" s="810">
        <v>571</v>
      </c>
      <c r="AO158" s="810">
        <v>571</v>
      </c>
      <c r="AP158" s="810">
        <v>571</v>
      </c>
      <c r="AQ158" s="810">
        <f>AP158*$AH$4</f>
        <v>571</v>
      </c>
      <c r="AR158" s="810">
        <v>571</v>
      </c>
      <c r="AS158" s="1410">
        <f>AR158*$AH$4</f>
        <v>571</v>
      </c>
      <c r="AT158" s="809">
        <f>'[1]BUDGET DETAIL'!$CX$488</f>
        <v>1000</v>
      </c>
      <c r="AU158" s="810">
        <f t="shared" si="74"/>
        <v>429</v>
      </c>
      <c r="AV158" s="2274">
        <f t="shared" si="78"/>
        <v>0.75131348511383533</v>
      </c>
      <c r="AW158" s="778"/>
      <c r="AX158" s="2016"/>
      <c r="AY158" s="2016"/>
      <c r="AZ158" s="2016"/>
      <c r="BA158" s="2016"/>
      <c r="BB158" s="2016"/>
    </row>
    <row r="159" spans="1:55" ht="14" hidden="1" customHeight="1" outlineLevel="1" x14ac:dyDescent="0.25">
      <c r="A159" s="842" t="s">
        <v>813</v>
      </c>
      <c r="B159" s="781">
        <f>SUM(B157:B158)</f>
        <v>10100</v>
      </c>
      <c r="C159" s="900">
        <f>SUM(C157:C158)</f>
        <v>9562.32</v>
      </c>
      <c r="D159" s="900">
        <f>SUM(D157:D158)</f>
        <v>10100</v>
      </c>
      <c r="E159" s="900">
        <f t="shared" ref="E159:J159" si="84">SUM(E157:E158)</f>
        <v>9289.5300000000007</v>
      </c>
      <c r="F159" s="900">
        <f t="shared" si="84"/>
        <v>10100</v>
      </c>
      <c r="G159" s="900">
        <f t="shared" si="84"/>
        <v>9207.9</v>
      </c>
      <c r="H159" s="900">
        <f t="shared" si="84"/>
        <v>10100</v>
      </c>
      <c r="I159" s="900">
        <f t="shared" si="84"/>
        <v>9022.36</v>
      </c>
      <c r="J159" s="784">
        <f t="shared" si="84"/>
        <v>10100</v>
      </c>
      <c r="K159" s="785" t="s">
        <v>455</v>
      </c>
      <c r="L159" s="843">
        <f>SUM(L157:L158)</f>
        <v>8970</v>
      </c>
      <c r="M159" s="843">
        <f>SUM(M157:M158)</f>
        <v>10504</v>
      </c>
      <c r="N159" s="844">
        <f>SUM(N157:N158)</f>
        <v>9453</v>
      </c>
      <c r="O159" s="785">
        <f>O157+O158</f>
        <v>9453</v>
      </c>
      <c r="P159" s="785">
        <f>P157+P158</f>
        <v>9453</v>
      </c>
      <c r="Q159" s="819">
        <f>IF(SUM(Q157:Q158)=0,P159,SUM(Q157:Q158))</f>
        <v>9453</v>
      </c>
      <c r="R159" s="785">
        <f>R157+R158</f>
        <v>9453</v>
      </c>
      <c r="S159" s="819">
        <f>IF(SUM(S157:S158)=0,R159,SUM(S157:S158))</f>
        <v>9453</v>
      </c>
      <c r="T159" s="785">
        <v>9631</v>
      </c>
      <c r="U159" s="785">
        <v>9631</v>
      </c>
      <c r="V159" s="785">
        <f>V157+V158</f>
        <v>9824</v>
      </c>
      <c r="W159" s="819">
        <f>IF(SUM(W157:W158)=0,V159,SUM(W157:W158))</f>
        <v>9824</v>
      </c>
      <c r="X159" s="785">
        <f>X157+X158</f>
        <v>10009</v>
      </c>
      <c r="Y159" s="819">
        <f>IF(SUM(Y157:Y158)=0,X159,SUM(Y157:Y158))</f>
        <v>10009</v>
      </c>
      <c r="Z159" s="785">
        <f>Z157+Z158</f>
        <v>10198</v>
      </c>
      <c r="AA159" s="819">
        <f>IF(SUM(AA157:AA158)=0,Z159,SUM(AA157:AA158))</f>
        <v>10198</v>
      </c>
      <c r="AB159" s="785">
        <f>AB157+AB158</f>
        <v>10402</v>
      </c>
      <c r="AC159" s="819">
        <f>IF(SUM(AC157:AC158)=0,AB159,SUM(AC157:AC158))</f>
        <v>10402</v>
      </c>
      <c r="AD159" s="819"/>
      <c r="AE159" s="819">
        <v>10599</v>
      </c>
      <c r="AF159" s="819">
        <v>10599</v>
      </c>
      <c r="AG159" s="819">
        <v>10899.84</v>
      </c>
      <c r="AH159" s="819">
        <v>10599</v>
      </c>
      <c r="AI159" s="785">
        <v>10899.84</v>
      </c>
      <c r="AJ159" s="785">
        <v>10800</v>
      </c>
      <c r="AK159" s="785">
        <v>11106.87</v>
      </c>
      <c r="AL159" s="785">
        <v>10800</v>
      </c>
      <c r="AM159" s="785">
        <f t="shared" ref="AM159:AT159" si="85">SUM(AM157:AM158)</f>
        <v>11004.58</v>
      </c>
      <c r="AN159" s="785">
        <f t="shared" si="85"/>
        <v>10800</v>
      </c>
      <c r="AO159" s="785">
        <f t="shared" si="85"/>
        <v>11055.724999999999</v>
      </c>
      <c r="AP159" s="785">
        <f t="shared" si="85"/>
        <v>10800</v>
      </c>
      <c r="AQ159" s="785">
        <f t="shared" si="85"/>
        <v>11004.58</v>
      </c>
      <c r="AR159" s="785">
        <f t="shared" si="85"/>
        <v>8321</v>
      </c>
      <c r="AS159" s="820">
        <f t="shared" ref="AS159" si="86">SUM(AS157:AS158)</f>
        <v>8476</v>
      </c>
      <c r="AT159" s="819">
        <f t="shared" si="85"/>
        <v>7000</v>
      </c>
      <c r="AU159" s="785">
        <f t="shared" si="74"/>
        <v>-1321</v>
      </c>
      <c r="AV159" s="2275">
        <f t="shared" si="78"/>
        <v>-0.15875495733685854</v>
      </c>
      <c r="AW159" s="778"/>
      <c r="AX159" s="2016"/>
      <c r="AY159" s="2016"/>
      <c r="AZ159" s="2016"/>
      <c r="BA159" s="2518">
        <f>POWER(AT159/AJ159,1/5)-1</f>
        <v>-8.3072798005522475E-2</v>
      </c>
      <c r="BB159" s="2518">
        <f>POWER(AT159/AA159,1/9)-1</f>
        <v>-4.0947108273162391E-2</v>
      </c>
      <c r="BC159" s="2332"/>
    </row>
    <row r="160" spans="1:55" ht="14" hidden="1" customHeight="1" outlineLevel="1" x14ac:dyDescent="0.25">
      <c r="A160" s="821"/>
      <c r="B160" s="791"/>
      <c r="C160" s="793"/>
      <c r="D160" s="792"/>
      <c r="E160" s="793"/>
      <c r="F160" s="792"/>
      <c r="G160" s="792"/>
      <c r="H160" s="792"/>
      <c r="I160" s="792"/>
      <c r="J160" s="846"/>
      <c r="K160" s="823"/>
      <c r="L160" s="830"/>
      <c r="M160" s="830"/>
      <c r="N160" s="926"/>
      <c r="O160" s="823"/>
      <c r="P160" s="823"/>
      <c r="Q160" s="823"/>
      <c r="R160" s="823"/>
      <c r="S160" s="823"/>
      <c r="T160" s="823"/>
      <c r="U160" s="823"/>
      <c r="V160" s="823"/>
      <c r="W160" s="823"/>
      <c r="X160" s="823"/>
      <c r="Y160" s="823"/>
      <c r="Z160" s="823"/>
      <c r="AA160" s="823"/>
      <c r="AB160" s="823"/>
      <c r="AC160" s="823"/>
      <c r="AD160" s="823"/>
      <c r="AE160" s="823"/>
      <c r="AF160" s="823"/>
      <c r="AG160" s="823"/>
      <c r="AH160" s="823"/>
      <c r="AI160" s="823"/>
      <c r="AJ160" s="823"/>
      <c r="AK160" s="823"/>
      <c r="AL160" s="823"/>
      <c r="AM160" s="823"/>
      <c r="AN160" s="823"/>
      <c r="AO160" s="823"/>
      <c r="AP160" s="823"/>
      <c r="AQ160" s="823"/>
      <c r="AR160" s="823"/>
      <c r="AS160" s="1629"/>
      <c r="AT160" s="823"/>
      <c r="AU160" s="822" t="str">
        <f t="shared" si="74"/>
        <v/>
      </c>
      <c r="AV160" s="2285" t="str">
        <f t="shared" si="78"/>
        <v/>
      </c>
      <c r="AW160" s="803"/>
      <c r="AX160" s="2016"/>
      <c r="AY160" s="2016"/>
      <c r="AZ160" s="2016"/>
      <c r="BA160" s="2016"/>
      <c r="BB160" s="2016"/>
    </row>
    <row r="161" spans="1:55" ht="14" hidden="1" customHeight="1" outlineLevel="1" collapsed="1" x14ac:dyDescent="0.25">
      <c r="A161" s="779" t="s">
        <v>601</v>
      </c>
      <c r="B161" s="772"/>
      <c r="C161" s="804"/>
      <c r="D161" s="773"/>
      <c r="E161" s="804"/>
      <c r="F161" s="773"/>
      <c r="G161" s="773"/>
      <c r="H161" s="773"/>
      <c r="I161" s="773"/>
      <c r="J161" s="847"/>
      <c r="K161" s="825"/>
      <c r="L161" s="831"/>
      <c r="M161" s="831"/>
      <c r="N161" s="805"/>
      <c r="O161" s="825"/>
      <c r="P161" s="825"/>
      <c r="Q161" s="825"/>
      <c r="R161" s="825"/>
      <c r="S161" s="825"/>
      <c r="T161" s="825"/>
      <c r="U161" s="825"/>
      <c r="V161" s="825"/>
      <c r="W161" s="825"/>
      <c r="X161" s="825"/>
      <c r="Y161" s="825"/>
      <c r="Z161" s="825"/>
      <c r="AA161" s="825"/>
      <c r="AB161" s="825"/>
      <c r="AC161" s="825"/>
      <c r="AD161" s="825"/>
      <c r="AE161" s="825"/>
      <c r="AF161" s="825"/>
      <c r="AG161" s="825"/>
      <c r="AH161" s="825"/>
      <c r="AI161" s="825"/>
      <c r="AJ161" s="825"/>
      <c r="AK161" s="825"/>
      <c r="AL161" s="825"/>
      <c r="AM161" s="825"/>
      <c r="AN161" s="825"/>
      <c r="AO161" s="825"/>
      <c r="AP161" s="825"/>
      <c r="AQ161" s="825"/>
      <c r="AR161" s="825"/>
      <c r="AS161" s="1110"/>
      <c r="AT161" s="1040"/>
      <c r="AU161" s="825" t="str">
        <f t="shared" si="74"/>
        <v/>
      </c>
      <c r="AV161" s="2274" t="str">
        <f t="shared" si="78"/>
        <v/>
      </c>
      <c r="AW161" s="778"/>
      <c r="AX161" s="2016"/>
      <c r="AY161" s="2016"/>
      <c r="AZ161" s="2016"/>
      <c r="BA161" s="2016"/>
      <c r="BB161" s="2016"/>
    </row>
    <row r="162" spans="1:55" ht="14" hidden="1" customHeight="1" outlineLevel="1" x14ac:dyDescent="0.25">
      <c r="A162" s="779" t="s">
        <v>677</v>
      </c>
      <c r="B162" s="775">
        <v>6000</v>
      </c>
      <c r="C162" s="773">
        <v>6000</v>
      </c>
      <c r="D162" s="850">
        <v>6180</v>
      </c>
      <c r="E162" s="773">
        <v>6180</v>
      </c>
      <c r="F162" s="850">
        <v>6180</v>
      </c>
      <c r="G162" s="850">
        <v>6180</v>
      </c>
      <c r="H162" s="851">
        <v>6365</v>
      </c>
      <c r="I162" s="851">
        <v>6365</v>
      </c>
      <c r="J162" s="806">
        <v>6525</v>
      </c>
      <c r="K162" s="788"/>
      <c r="L162" s="840">
        <v>6701</v>
      </c>
      <c r="M162" s="807">
        <v>6882</v>
      </c>
      <c r="N162" s="808">
        <v>6882</v>
      </c>
      <c r="O162" s="788">
        <v>6882</v>
      </c>
      <c r="P162" s="788">
        <v>6882</v>
      </c>
      <c r="Q162" s="788">
        <v>6882</v>
      </c>
      <c r="R162" s="788">
        <v>6882</v>
      </c>
      <c r="S162" s="788"/>
      <c r="T162" s="788">
        <v>7020</v>
      </c>
      <c r="U162" s="788">
        <v>7020</v>
      </c>
      <c r="V162" s="810">
        <v>7160</v>
      </c>
      <c r="W162" s="788">
        <f>V162</f>
        <v>7160</v>
      </c>
      <c r="X162" s="810">
        <v>7303</v>
      </c>
      <c r="Y162" s="810">
        <v>7303</v>
      </c>
      <c r="Z162" s="810">
        <v>7303</v>
      </c>
      <c r="AA162" s="810">
        <f>Z162</f>
        <v>7303</v>
      </c>
      <c r="AB162" s="810">
        <v>7449</v>
      </c>
      <c r="AC162" s="810">
        <f>AB162</f>
        <v>7449</v>
      </c>
      <c r="AD162" s="810"/>
      <c r="AE162" s="810">
        <v>7598</v>
      </c>
      <c r="AF162" s="810"/>
      <c r="AG162" s="810">
        <v>7825.9400000000005</v>
      </c>
      <c r="AH162" s="810">
        <v>7598</v>
      </c>
      <c r="AI162" s="810">
        <v>7825.9400000000005</v>
      </c>
      <c r="AJ162" s="810">
        <v>7750</v>
      </c>
      <c r="AK162" s="810">
        <v>7982.5</v>
      </c>
      <c r="AL162" s="810">
        <v>7750</v>
      </c>
      <c r="AM162" s="810">
        <f>AL162*$AH$3</f>
        <v>7905</v>
      </c>
      <c r="AN162" s="810">
        <v>7750</v>
      </c>
      <c r="AO162" s="810">
        <v>7943.7499999999991</v>
      </c>
      <c r="AP162" s="810">
        <v>7750</v>
      </c>
      <c r="AQ162" s="810">
        <f>AP162*$AH$3</f>
        <v>7905</v>
      </c>
      <c r="AR162" s="810">
        <v>7750</v>
      </c>
      <c r="AS162" s="1410">
        <f>AR162*$AH$3</f>
        <v>7905</v>
      </c>
      <c r="AT162" s="809">
        <f>'[1]BUDGET DETAIL'!$CX$494</f>
        <v>7750</v>
      </c>
      <c r="AU162" s="810">
        <f t="shared" si="74"/>
        <v>0</v>
      </c>
      <c r="AV162" s="2274">
        <f t="shared" si="78"/>
        <v>0</v>
      </c>
      <c r="AW162" s="778"/>
      <c r="AX162" s="2016"/>
      <c r="AY162" s="2016"/>
      <c r="AZ162" s="2016"/>
      <c r="BA162" s="2016"/>
      <c r="BB162" s="2016"/>
    </row>
    <row r="163" spans="1:55" ht="14" hidden="1" customHeight="1" outlineLevel="1" x14ac:dyDescent="0.25">
      <c r="A163" s="779" t="s">
        <v>812</v>
      </c>
      <c r="B163" s="775">
        <v>1395</v>
      </c>
      <c r="C163" s="773">
        <v>840</v>
      </c>
      <c r="D163" s="850">
        <v>1340</v>
      </c>
      <c r="E163" s="773">
        <v>840</v>
      </c>
      <c r="F163" s="850">
        <v>1340</v>
      </c>
      <c r="G163" s="850">
        <v>1224.05</v>
      </c>
      <c r="H163" s="851">
        <v>1840</v>
      </c>
      <c r="I163" s="851">
        <v>1662.44</v>
      </c>
      <c r="J163" s="806">
        <v>1840</v>
      </c>
      <c r="K163" s="788"/>
      <c r="L163" s="812">
        <v>897.4</v>
      </c>
      <c r="M163" s="812">
        <v>1840</v>
      </c>
      <c r="N163" s="813">
        <v>967</v>
      </c>
      <c r="O163" s="788">
        <v>1840</v>
      </c>
      <c r="P163" s="788">
        <v>1840</v>
      </c>
      <c r="Q163" s="788">
        <v>1840</v>
      </c>
      <c r="R163" s="788">
        <v>1840</v>
      </c>
      <c r="S163" s="788"/>
      <c r="T163" s="788">
        <v>1840</v>
      </c>
      <c r="U163" s="788">
        <v>1840</v>
      </c>
      <c r="V163" s="810">
        <v>1840</v>
      </c>
      <c r="W163" s="788">
        <f>V163</f>
        <v>1840</v>
      </c>
      <c r="X163" s="810">
        <v>1840</v>
      </c>
      <c r="Y163" s="810">
        <v>1840</v>
      </c>
      <c r="Z163" s="810">
        <v>1840</v>
      </c>
      <c r="AA163" s="810">
        <f>Z163</f>
        <v>1840</v>
      </c>
      <c r="AB163" s="810">
        <v>1840</v>
      </c>
      <c r="AC163" s="810">
        <f>AB163</f>
        <v>1840</v>
      </c>
      <c r="AD163" s="810"/>
      <c r="AE163" s="810">
        <v>1840</v>
      </c>
      <c r="AF163" s="810"/>
      <c r="AG163" s="810">
        <v>1840</v>
      </c>
      <c r="AH163" s="810">
        <v>1840</v>
      </c>
      <c r="AI163" s="810">
        <v>1840</v>
      </c>
      <c r="AJ163" s="810">
        <v>1840</v>
      </c>
      <c r="AK163" s="810">
        <v>1840</v>
      </c>
      <c r="AL163" s="810">
        <v>1840</v>
      </c>
      <c r="AM163" s="810">
        <f>AL163*$AH$4</f>
        <v>1840</v>
      </c>
      <c r="AN163" s="810">
        <v>1840</v>
      </c>
      <c r="AO163" s="810">
        <v>1840</v>
      </c>
      <c r="AP163" s="810">
        <v>1840</v>
      </c>
      <c r="AQ163" s="810">
        <f>AP163*$AH$4</f>
        <v>1840</v>
      </c>
      <c r="AR163" s="810">
        <v>1840</v>
      </c>
      <c r="AS163" s="1410">
        <f>AR163*$AH$4</f>
        <v>1840</v>
      </c>
      <c r="AT163" s="809">
        <f>'[1]BUDGET DETAIL'!$CX$499</f>
        <v>1840</v>
      </c>
      <c r="AU163" s="810">
        <f t="shared" si="74"/>
        <v>0</v>
      </c>
      <c r="AV163" s="2274">
        <f t="shared" si="78"/>
        <v>0</v>
      </c>
      <c r="AW163" s="778"/>
      <c r="AX163" s="2016"/>
      <c r="AY163" s="2016"/>
      <c r="AZ163" s="2016"/>
      <c r="BA163" s="2016"/>
      <c r="BB163" s="2016"/>
    </row>
    <row r="164" spans="1:55" ht="14" hidden="1" customHeight="1" outlineLevel="1" x14ac:dyDescent="0.25">
      <c r="A164" s="771" t="s">
        <v>813</v>
      </c>
      <c r="B164" s="814">
        <f>SUM(B162:B163)</f>
        <v>7395</v>
      </c>
      <c r="C164" s="923">
        <f>SUM(C162:C163)</f>
        <v>6840</v>
      </c>
      <c r="D164" s="923">
        <f>SUM(D162:D163)</f>
        <v>7520</v>
      </c>
      <c r="E164" s="923">
        <f t="shared" ref="E164:O164" si="87">SUM(E162:E163)</f>
        <v>7020</v>
      </c>
      <c r="F164" s="923">
        <f t="shared" si="87"/>
        <v>7520</v>
      </c>
      <c r="G164" s="923">
        <f t="shared" si="87"/>
        <v>7404.05</v>
      </c>
      <c r="H164" s="923">
        <f t="shared" si="87"/>
        <v>8205</v>
      </c>
      <c r="I164" s="923">
        <f t="shared" si="87"/>
        <v>8027.4400000000005</v>
      </c>
      <c r="J164" s="815">
        <f t="shared" si="87"/>
        <v>8365</v>
      </c>
      <c r="K164" s="827" t="s">
        <v>455</v>
      </c>
      <c r="L164" s="817">
        <f t="shared" si="87"/>
        <v>7598.4</v>
      </c>
      <c r="M164" s="817">
        <f t="shared" si="87"/>
        <v>8722</v>
      </c>
      <c r="N164" s="818">
        <f t="shared" si="87"/>
        <v>7849</v>
      </c>
      <c r="O164" s="949">
        <f t="shared" si="87"/>
        <v>8722</v>
      </c>
      <c r="P164" s="949">
        <f>SUM(P162:P163)</f>
        <v>8722</v>
      </c>
      <c r="Q164" s="819">
        <f>IF(SUM(Q162:Q163)=0,P164,SUM(Q162:Q163))</f>
        <v>8722</v>
      </c>
      <c r="R164" s="949">
        <f>SUM(R162:R163)</f>
        <v>8722</v>
      </c>
      <c r="S164" s="819">
        <f>IF(SUM(S162:S163)=0,R164,SUM(S162:S163))</f>
        <v>8722</v>
      </c>
      <c r="T164" s="819">
        <v>8860</v>
      </c>
      <c r="U164" s="819">
        <v>8860</v>
      </c>
      <c r="V164" s="949">
        <f>SUM(V162:V163)</f>
        <v>9000</v>
      </c>
      <c r="W164" s="819">
        <f>IF(SUM(W162:W163)=0,V164,SUM(W162:W163))</f>
        <v>9000</v>
      </c>
      <c r="X164" s="949">
        <f>SUM(X162:X163)</f>
        <v>9143</v>
      </c>
      <c r="Y164" s="819">
        <f>IF(SUM(Y162:Y163)=0,X164,SUM(Y162:Y163))</f>
        <v>9143</v>
      </c>
      <c r="Z164" s="949">
        <f>SUM(Z162:Z163)</f>
        <v>9143</v>
      </c>
      <c r="AA164" s="819">
        <f>IF(SUM(AA162:AA163)=0,Z164,SUM(AA162:AA163))</f>
        <v>9143</v>
      </c>
      <c r="AB164" s="949">
        <f>SUM(AB162:AB163)</f>
        <v>9289</v>
      </c>
      <c r="AC164" s="819">
        <f>IF(SUM(AC162:AC163)=0,AB164,SUM(AC162:AC163))</f>
        <v>9289</v>
      </c>
      <c r="AD164" s="819"/>
      <c r="AE164" s="819">
        <v>9438</v>
      </c>
      <c r="AF164" s="819">
        <v>9438</v>
      </c>
      <c r="AG164" s="819">
        <v>9665.94</v>
      </c>
      <c r="AH164" s="819">
        <v>9438</v>
      </c>
      <c r="AI164" s="785">
        <v>9665.94</v>
      </c>
      <c r="AJ164" s="785">
        <v>9590</v>
      </c>
      <c r="AK164" s="785">
        <v>9822.5</v>
      </c>
      <c r="AL164" s="785">
        <v>9590</v>
      </c>
      <c r="AM164" s="785">
        <f t="shared" ref="AM164:AT164" si="88">SUM(AM162:AM163)</f>
        <v>9745</v>
      </c>
      <c r="AN164" s="785">
        <f t="shared" si="88"/>
        <v>9590</v>
      </c>
      <c r="AO164" s="785">
        <f t="shared" si="88"/>
        <v>9783.75</v>
      </c>
      <c r="AP164" s="785">
        <f t="shared" si="88"/>
        <v>9590</v>
      </c>
      <c r="AQ164" s="785">
        <f t="shared" si="88"/>
        <v>9745</v>
      </c>
      <c r="AR164" s="785">
        <f t="shared" si="88"/>
        <v>9590</v>
      </c>
      <c r="AS164" s="820">
        <f t="shared" ref="AS164" si="89">SUM(AS162:AS163)</f>
        <v>9745</v>
      </c>
      <c r="AT164" s="819">
        <f t="shared" si="88"/>
        <v>9590</v>
      </c>
      <c r="AU164" s="785">
        <f t="shared" si="74"/>
        <v>0</v>
      </c>
      <c r="AV164" s="2275">
        <f t="shared" si="78"/>
        <v>0</v>
      </c>
      <c r="AW164" s="778"/>
      <c r="AX164" s="2016"/>
      <c r="AY164" s="2016"/>
      <c r="AZ164" s="2016"/>
      <c r="BA164" s="2518">
        <f>POWER(AT164/AJ164,1/5)-1</f>
        <v>0</v>
      </c>
      <c r="BB164" s="2518">
        <f>POWER(AT164/AA164,1/9)-1</f>
        <v>5.3176811317214856E-3</v>
      </c>
      <c r="BC164" s="2332"/>
    </row>
    <row r="165" spans="1:55" ht="14" hidden="1" customHeight="1" outlineLevel="1" collapsed="1" x14ac:dyDescent="0.25">
      <c r="A165" s="821"/>
      <c r="B165" s="791"/>
      <c r="C165" s="793"/>
      <c r="D165" s="792"/>
      <c r="E165" s="793"/>
      <c r="F165" s="792"/>
      <c r="G165" s="792"/>
      <c r="H165" s="792"/>
      <c r="I165" s="792"/>
      <c r="J165" s="846"/>
      <c r="K165" s="822"/>
      <c r="L165" s="829"/>
      <c r="M165" s="830"/>
      <c r="N165" s="824"/>
      <c r="O165" s="822"/>
      <c r="P165" s="822"/>
      <c r="Q165" s="822"/>
      <c r="R165" s="822"/>
      <c r="S165" s="822"/>
      <c r="T165" s="822"/>
      <c r="U165" s="822"/>
      <c r="V165" s="822"/>
      <c r="W165" s="822"/>
      <c r="X165" s="822"/>
      <c r="Y165" s="822"/>
      <c r="Z165" s="822"/>
      <c r="AA165" s="822"/>
      <c r="AB165" s="822"/>
      <c r="AC165" s="822"/>
      <c r="AD165" s="822"/>
      <c r="AE165" s="822"/>
      <c r="AF165" s="822"/>
      <c r="AG165" s="822"/>
      <c r="AH165" s="822"/>
      <c r="AI165" s="822"/>
      <c r="AJ165" s="822"/>
      <c r="AK165" s="822"/>
      <c r="AL165" s="822"/>
      <c r="AM165" s="822"/>
      <c r="AN165" s="822"/>
      <c r="AO165" s="822"/>
      <c r="AP165" s="822"/>
      <c r="AQ165" s="822"/>
      <c r="AR165" s="822"/>
      <c r="AS165" s="1160"/>
      <c r="AT165" s="823"/>
      <c r="AU165" s="822" t="str">
        <f t="shared" si="74"/>
        <v/>
      </c>
      <c r="AV165" s="2276" t="str">
        <f t="shared" si="78"/>
        <v/>
      </c>
      <c r="AW165" s="803"/>
      <c r="AX165" s="2016"/>
      <c r="AY165" s="2016"/>
      <c r="AZ165" s="2016"/>
      <c r="BA165" s="2016"/>
      <c r="BB165" s="2016"/>
    </row>
    <row r="166" spans="1:55" ht="14" customHeight="1" thickTop="1" x14ac:dyDescent="0.25">
      <c r="A166" s="771" t="s">
        <v>685</v>
      </c>
      <c r="B166" s="772"/>
      <c r="C166" s="774"/>
      <c r="D166" s="773"/>
      <c r="E166" s="834"/>
      <c r="F166" s="834"/>
      <c r="G166" s="834"/>
      <c r="H166" s="835"/>
      <c r="I166" s="835"/>
      <c r="J166" s="847"/>
      <c r="K166" s="825"/>
      <c r="L166" s="831"/>
      <c r="M166" s="831"/>
      <c r="N166" s="805"/>
      <c r="O166" s="825"/>
      <c r="P166" s="825"/>
      <c r="Q166" s="825"/>
      <c r="R166" s="825"/>
      <c r="S166" s="825"/>
      <c r="T166" s="825"/>
      <c r="U166" s="825"/>
      <c r="V166" s="825"/>
      <c r="W166" s="825"/>
      <c r="X166" s="825"/>
      <c r="Y166" s="825"/>
      <c r="Z166" s="825"/>
      <c r="AA166" s="825"/>
      <c r="AB166" s="825"/>
      <c r="AC166" s="825"/>
      <c r="AD166" s="825"/>
      <c r="AE166" s="825"/>
      <c r="AF166" s="825"/>
      <c r="AG166" s="825"/>
      <c r="AH166" s="825"/>
      <c r="AI166" s="825"/>
      <c r="AJ166" s="825"/>
      <c r="AK166" s="825"/>
      <c r="AL166" s="825"/>
      <c r="AM166" s="825"/>
      <c r="AN166" s="825"/>
      <c r="AO166" s="825"/>
      <c r="AP166" s="825"/>
      <c r="AQ166" s="825"/>
      <c r="AR166" s="825"/>
      <c r="AS166" s="1110"/>
      <c r="AT166" s="1040"/>
      <c r="AU166" s="825" t="str">
        <f t="shared" si="74"/>
        <v/>
      </c>
      <c r="AV166" s="2274" t="str">
        <f t="shared" si="78"/>
        <v/>
      </c>
      <c r="AW166" s="865"/>
      <c r="AX166" s="2016"/>
      <c r="AY166" s="2016"/>
      <c r="AZ166" s="2016"/>
      <c r="BA166" s="2016"/>
      <c r="BB166" s="2016"/>
      <c r="BC166" s="2026"/>
    </row>
    <row r="167" spans="1:55" ht="14" customHeight="1" x14ac:dyDescent="0.25">
      <c r="A167" s="842" t="s">
        <v>560</v>
      </c>
      <c r="B167" s="781">
        <f>SUM($B$123+$B$130+$B$140+$B$152+$B$157+$B$162)</f>
        <v>271098</v>
      </c>
      <c r="C167" s="781">
        <f>SUM($C$123+$C$130+$C140+$C$152+$C$157+$C$162)</f>
        <v>271098</v>
      </c>
      <c r="D167" s="781">
        <f>SUM($D$123+$D$130+$D$140+$D$152+$D$157+$D$162)</f>
        <v>291461</v>
      </c>
      <c r="E167" s="781">
        <f>SUM($E$123+$E$130+$E140+$E$152+$E$157+$E$162)</f>
        <v>290988.83999999997</v>
      </c>
      <c r="F167" s="781">
        <f>SUM($F$123+$F$130+$F$140+$F$152+$F$157+$F$162)</f>
        <v>298926</v>
      </c>
      <c r="G167" s="781">
        <f>SUM($G$123+$G$130+$G$140+$G$152+$G$157+$G$162)</f>
        <v>298159.21999999997</v>
      </c>
      <c r="H167" s="782">
        <f>SUM($H$123+$H$130+$H$140+$H$152+$H$157+$H$162)</f>
        <v>309647</v>
      </c>
      <c r="I167" s="782">
        <f>SUM($I$123+$I$130+$I$140+$I$152+$I$157+$I$162)</f>
        <v>308527.49</v>
      </c>
      <c r="J167" s="784">
        <f>SUM(J$123+J$130+J$140+J$152+J$157+J$162)</f>
        <v>323520</v>
      </c>
      <c r="K167" s="784"/>
      <c r="L167" s="950">
        <f t="shared" ref="L167:S167" si="90">SUM(L$123+L$130+L$140+L$152+L$157+L$162)</f>
        <v>320612.28999999998</v>
      </c>
      <c r="M167" s="950">
        <f t="shared" si="90"/>
        <v>331357</v>
      </c>
      <c r="N167" s="844">
        <f t="shared" si="90"/>
        <v>332687</v>
      </c>
      <c r="O167" s="844">
        <f t="shared" si="90"/>
        <v>329646</v>
      </c>
      <c r="P167" s="844">
        <f t="shared" si="90"/>
        <v>330579</v>
      </c>
      <c r="Q167" s="844">
        <f t="shared" si="90"/>
        <v>330579</v>
      </c>
      <c r="R167" s="844">
        <f t="shared" si="90"/>
        <v>338165</v>
      </c>
      <c r="S167" s="844">
        <f t="shared" si="90"/>
        <v>0</v>
      </c>
      <c r="T167" s="844">
        <v>344395</v>
      </c>
      <c r="U167" s="844">
        <v>344395</v>
      </c>
      <c r="V167" s="844">
        <f t="shared" ref="V167:AC167" si="91">SUM(V$123+V$130+V$140+V$152+V$157+V$162)</f>
        <v>347131</v>
      </c>
      <c r="W167" s="844">
        <f t="shared" si="91"/>
        <v>347131</v>
      </c>
      <c r="X167" s="844">
        <f t="shared" si="91"/>
        <v>358523</v>
      </c>
      <c r="Y167" s="844">
        <f t="shared" si="91"/>
        <v>366928</v>
      </c>
      <c r="Z167" s="844">
        <f t="shared" si="91"/>
        <v>380335</v>
      </c>
      <c r="AA167" s="844">
        <f t="shared" si="91"/>
        <v>380335</v>
      </c>
      <c r="AB167" s="844">
        <f t="shared" si="91"/>
        <v>351779</v>
      </c>
      <c r="AC167" s="844">
        <f t="shared" si="91"/>
        <v>351779</v>
      </c>
      <c r="AD167" s="844"/>
      <c r="AE167" s="844">
        <v>356031</v>
      </c>
      <c r="AF167" s="844">
        <v>0</v>
      </c>
      <c r="AG167" s="844">
        <v>370046.78</v>
      </c>
      <c r="AH167" s="844">
        <v>377659</v>
      </c>
      <c r="AI167" s="880">
        <v>388938.01</v>
      </c>
      <c r="AJ167" s="880">
        <v>386670</v>
      </c>
      <c r="AK167" s="880">
        <v>398270.10000000003</v>
      </c>
      <c r="AL167" s="880">
        <v>475674</v>
      </c>
      <c r="AM167" s="880">
        <f t="shared" ref="AM167:AT167" si="92">SUM(AM$123+AM$130+AM$140+AM$146+AM$152+AM$157+AM$162)</f>
        <v>485187.48</v>
      </c>
      <c r="AN167" s="880">
        <f t="shared" si="92"/>
        <v>507103</v>
      </c>
      <c r="AO167" s="880">
        <f t="shared" si="92"/>
        <v>519780.5749999999</v>
      </c>
      <c r="AP167" s="880">
        <f t="shared" si="92"/>
        <v>521662</v>
      </c>
      <c r="AQ167" s="880">
        <f t="shared" si="92"/>
        <v>532095.24</v>
      </c>
      <c r="AR167" s="880">
        <f t="shared" si="92"/>
        <v>512283</v>
      </c>
      <c r="AS167" s="1631">
        <f t="shared" si="92"/>
        <v>522528.66</v>
      </c>
      <c r="AT167" s="844">
        <f t="shared" si="92"/>
        <v>555241</v>
      </c>
      <c r="AU167" s="880">
        <f t="shared" si="74"/>
        <v>42958</v>
      </c>
      <c r="AV167" s="2286">
        <f t="shared" si="78"/>
        <v>8.3855993659754477E-2</v>
      </c>
      <c r="AW167" s="865"/>
      <c r="AX167" s="2016"/>
      <c r="AY167" s="2016"/>
      <c r="AZ167" s="2016"/>
      <c r="BA167" s="2016"/>
      <c r="BB167" s="2016"/>
      <c r="BC167" s="2026"/>
    </row>
    <row r="168" spans="1:55" ht="14" customHeight="1" x14ac:dyDescent="0.25">
      <c r="A168" s="842" t="s">
        <v>551</v>
      </c>
      <c r="B168" s="781">
        <f>SUM($B$124+$B$131+$B$141)</f>
        <v>1096296</v>
      </c>
      <c r="C168" s="781">
        <f>SUM($C$124+$C$131+$C$141)</f>
        <v>1120918.56</v>
      </c>
      <c r="D168" s="781">
        <f>SUM($D$124+$D$131+$D$141)</f>
        <v>1113051</v>
      </c>
      <c r="E168" s="781">
        <f>SUM($E$124+$E$131+$E$141)</f>
        <v>1154480.3700000001</v>
      </c>
      <c r="F168" s="781">
        <f>SUM($F$124+$F$131+$F$141)</f>
        <v>1144033</v>
      </c>
      <c r="G168" s="781">
        <f>SUM($G$124+$G$131+$G$141)</f>
        <v>1191566.1099999999</v>
      </c>
      <c r="H168" s="782">
        <f>SUM($H$124+$H$131+$H$141)</f>
        <v>1280029</v>
      </c>
      <c r="I168" s="782">
        <f>SUM($I$124+$I$131+$I$141)</f>
        <v>1228708.94</v>
      </c>
      <c r="J168" s="784">
        <f t="shared" ref="J168:AC168" si="93">SUM(J$124+J$131+J$141)</f>
        <v>1400949</v>
      </c>
      <c r="K168" s="784"/>
      <c r="L168" s="950">
        <f t="shared" si="93"/>
        <v>1409513.1300000001</v>
      </c>
      <c r="M168" s="950">
        <f t="shared" si="93"/>
        <v>1486714</v>
      </c>
      <c r="N168" s="844">
        <f t="shared" si="93"/>
        <v>1282129</v>
      </c>
      <c r="O168" s="844">
        <f t="shared" si="93"/>
        <v>1472304</v>
      </c>
      <c r="P168" s="844">
        <f t="shared" si="93"/>
        <v>1542621</v>
      </c>
      <c r="Q168" s="844">
        <f t="shared" si="93"/>
        <v>1542621</v>
      </c>
      <c r="R168" s="844">
        <f t="shared" si="93"/>
        <v>1519114</v>
      </c>
      <c r="S168" s="844">
        <f t="shared" si="93"/>
        <v>0</v>
      </c>
      <c r="T168" s="844">
        <v>1532304</v>
      </c>
      <c r="U168" s="844">
        <v>1532304</v>
      </c>
      <c r="V168" s="844">
        <f t="shared" si="93"/>
        <v>1400651</v>
      </c>
      <c r="W168" s="844">
        <f t="shared" si="93"/>
        <v>1424622</v>
      </c>
      <c r="X168" s="844">
        <f t="shared" si="93"/>
        <v>1488922</v>
      </c>
      <c r="Y168" s="844">
        <f t="shared" si="93"/>
        <v>1500864</v>
      </c>
      <c r="Z168" s="844">
        <f t="shared" si="93"/>
        <v>1695641</v>
      </c>
      <c r="AA168" s="844">
        <f t="shared" si="93"/>
        <v>1705001</v>
      </c>
      <c r="AB168" s="844">
        <f t="shared" si="93"/>
        <v>1831774</v>
      </c>
      <c r="AC168" s="844">
        <f t="shared" si="93"/>
        <v>1839280</v>
      </c>
      <c r="AD168" s="844"/>
      <c r="AE168" s="844">
        <v>1846419</v>
      </c>
      <c r="AF168" s="844">
        <v>0</v>
      </c>
      <c r="AG168" s="844">
        <v>1905447.4700000002</v>
      </c>
      <c r="AH168" s="844">
        <v>1972588</v>
      </c>
      <c r="AI168" s="880">
        <v>2031765.64</v>
      </c>
      <c r="AJ168" s="880">
        <v>2024903.46</v>
      </c>
      <c r="AK168" s="880">
        <v>2085650.5637999999</v>
      </c>
      <c r="AL168" s="880">
        <v>2101612</v>
      </c>
      <c r="AM168" s="880">
        <f t="shared" ref="AM168:AT168" si="94">SUM(AM$124+AM$131+AM$141+AM$147)</f>
        <v>2117262.2200000002</v>
      </c>
      <c r="AN168" s="880">
        <f t="shared" si="94"/>
        <v>2123176</v>
      </c>
      <c r="AO168" s="880">
        <f t="shared" si="94"/>
        <v>2165831.9049999998</v>
      </c>
      <c r="AP168" s="880">
        <f t="shared" si="94"/>
        <v>2257908</v>
      </c>
      <c r="AQ168" s="880">
        <f t="shared" si="94"/>
        <v>2277116.3200000003</v>
      </c>
      <c r="AR168" s="880">
        <f t="shared" si="94"/>
        <v>2269076</v>
      </c>
      <c r="AS168" s="1631">
        <f t="shared" si="94"/>
        <v>2288421.0200000005</v>
      </c>
      <c r="AT168" s="844">
        <f t="shared" si="94"/>
        <v>2301111</v>
      </c>
      <c r="AU168" s="880">
        <f t="shared" si="74"/>
        <v>32035</v>
      </c>
      <c r="AV168" s="2286">
        <f t="shared" si="78"/>
        <v>1.4118081545087076E-2</v>
      </c>
      <c r="AW168" s="865"/>
      <c r="AX168" s="2016"/>
      <c r="AY168" s="2016"/>
      <c r="AZ168" s="2016"/>
      <c r="BA168" s="2016"/>
      <c r="BB168" s="2016"/>
      <c r="BC168" s="2026"/>
    </row>
    <row r="169" spans="1:55" ht="14" customHeight="1" x14ac:dyDescent="0.25">
      <c r="A169" s="842" t="s">
        <v>812</v>
      </c>
      <c r="B169" s="781">
        <f>SUM($B$126+$B$132+$B$136+$B$142+$B$153+$B$158+$B$163)</f>
        <v>212656</v>
      </c>
      <c r="C169" s="781">
        <f>SUM($C$126+$C$132+$C$136+$C$142+$C$153+$C$158+$C$163)</f>
        <v>218200.37000000002</v>
      </c>
      <c r="D169" s="781">
        <f>SUM($D$126+$D$132+$D$136+$D$142+$D$153+$D$158+$D$163)</f>
        <v>213924</v>
      </c>
      <c r="E169" s="781">
        <f>SUM($E$126+$E$132+$E$136+$E$142+$E$153+$E$158+$E$163)</f>
        <v>211029.19999999998</v>
      </c>
      <c r="F169" s="781">
        <f>SUM($F$126+$F$132+$F$136+$F$142+$F$153+$F$158+$F$163)</f>
        <v>230637</v>
      </c>
      <c r="G169" s="781">
        <f>SUM($G$126+$G$132+$G$136+$G$142+$G$153+$G$158+$G$163)</f>
        <v>237402.87999999998</v>
      </c>
      <c r="H169" s="951">
        <f>SUM($H$126+$H$132+$H$136+$H$142+$H$153+$H$158+$H$163)</f>
        <v>240894</v>
      </c>
      <c r="I169" s="951">
        <f>SUM($I$126+$I$132+$I$136+$I$142+$I$153+$I$158+$I$163)</f>
        <v>257856.50999999998</v>
      </c>
      <c r="J169" s="784">
        <f>SUM(J$126+J$132+J$136+J$142+J$153+J$158+J$163)</f>
        <v>273774</v>
      </c>
      <c r="K169" s="784"/>
      <c r="L169" s="950">
        <f>SUM(L$126+L$132+L$136+L$142+L$153+L$158+L$163)</f>
        <v>292801.85000000003</v>
      </c>
      <c r="M169" s="950">
        <f t="shared" ref="M169:S169" si="95">SUM(M125+M$126+M$132+M$136+M$142+M$153+M$158+M$163)</f>
        <v>282260</v>
      </c>
      <c r="N169" s="844">
        <f t="shared" si="95"/>
        <v>280994</v>
      </c>
      <c r="O169" s="844">
        <f t="shared" si="95"/>
        <v>255044</v>
      </c>
      <c r="P169" s="844">
        <f t="shared" si="95"/>
        <v>204427</v>
      </c>
      <c r="Q169" s="844">
        <f t="shared" si="95"/>
        <v>204427</v>
      </c>
      <c r="R169" s="844">
        <f t="shared" si="95"/>
        <v>206646</v>
      </c>
      <c r="S169" s="844">
        <f t="shared" si="95"/>
        <v>0</v>
      </c>
      <c r="T169" s="844">
        <v>211173</v>
      </c>
      <c r="U169" s="844">
        <v>211173</v>
      </c>
      <c r="V169" s="844" t="e">
        <f t="shared" ref="V169:AC169" si="96">SUM(V125+V$126+V$132+V$136+V$142+V$153+V$158+V$163)</f>
        <v>#REF!</v>
      </c>
      <c r="W169" s="844">
        <f t="shared" si="96"/>
        <v>233702</v>
      </c>
      <c r="X169" s="844" t="e">
        <f t="shared" si="96"/>
        <v>#REF!</v>
      </c>
      <c r="Y169" s="844">
        <f t="shared" si="96"/>
        <v>251497</v>
      </c>
      <c r="Z169" s="844">
        <f t="shared" si="96"/>
        <v>259486</v>
      </c>
      <c r="AA169" s="844">
        <f t="shared" si="96"/>
        <v>259486</v>
      </c>
      <c r="AB169" s="844">
        <f t="shared" si="96"/>
        <v>265180</v>
      </c>
      <c r="AC169" s="844">
        <f t="shared" si="96"/>
        <v>265180</v>
      </c>
      <c r="AD169" s="844"/>
      <c r="AE169" s="844">
        <v>271089</v>
      </c>
      <c r="AF169" s="844">
        <v>0</v>
      </c>
      <c r="AG169" s="844">
        <v>279934</v>
      </c>
      <c r="AH169" s="844">
        <v>263429</v>
      </c>
      <c r="AI169" s="880">
        <v>263429</v>
      </c>
      <c r="AJ169" s="880">
        <v>285379</v>
      </c>
      <c r="AK169" s="880">
        <v>285379</v>
      </c>
      <c r="AL169" s="880">
        <v>293902</v>
      </c>
      <c r="AM169" s="880">
        <f t="shared" ref="AM169:AR169" si="97">SUM(AM125+AM$126+AM$132+AM$136+AM$142+AM$148+AM$153+AM$158+AM$163)</f>
        <v>293902</v>
      </c>
      <c r="AN169" s="880">
        <f t="shared" si="97"/>
        <v>296127</v>
      </c>
      <c r="AO169" s="880">
        <f t="shared" si="97"/>
        <v>296127</v>
      </c>
      <c r="AP169" s="880">
        <f t="shared" si="97"/>
        <v>303227</v>
      </c>
      <c r="AQ169" s="880">
        <f t="shared" si="97"/>
        <v>303227</v>
      </c>
      <c r="AR169" s="880">
        <f t="shared" si="97"/>
        <v>314583</v>
      </c>
      <c r="AS169" s="1631">
        <f t="shared" ref="AS169:AT169" si="98">SUM(AS125+AS$126+AS$132+AS$136+AS$142+AS$148+AS$153+AS$158+AS$163)</f>
        <v>314583</v>
      </c>
      <c r="AT169" s="844">
        <f t="shared" si="98"/>
        <v>343737</v>
      </c>
      <c r="AU169" s="880">
        <f t="shared" si="74"/>
        <v>29154</v>
      </c>
      <c r="AV169" s="2286">
        <f t="shared" si="78"/>
        <v>9.2675065086161676E-2</v>
      </c>
      <c r="AW169" s="865"/>
      <c r="AX169" s="2016"/>
      <c r="AY169" s="2016"/>
      <c r="AZ169" s="2016"/>
      <c r="BA169" s="2016"/>
      <c r="BB169" s="2016"/>
      <c r="BC169" s="2026"/>
    </row>
    <row r="170" spans="1:55" ht="14" customHeight="1" collapsed="1" thickBot="1" x14ac:dyDescent="0.3">
      <c r="A170" s="902" t="s">
        <v>685</v>
      </c>
      <c r="B170" s="903">
        <f>SUM(B166:B169)</f>
        <v>1580050</v>
      </c>
      <c r="C170" s="952">
        <f t="shared" ref="C170:J170" si="99">SUM(C167:C169)</f>
        <v>1610216.9300000002</v>
      </c>
      <c r="D170" s="952">
        <f t="shared" si="99"/>
        <v>1618436</v>
      </c>
      <c r="E170" s="952">
        <f t="shared" si="99"/>
        <v>1656498.41</v>
      </c>
      <c r="F170" s="952">
        <f t="shared" si="99"/>
        <v>1673596</v>
      </c>
      <c r="G170" s="952">
        <f t="shared" si="99"/>
        <v>1727128.2099999997</v>
      </c>
      <c r="H170" s="952">
        <f t="shared" si="99"/>
        <v>1830570</v>
      </c>
      <c r="I170" s="953">
        <f t="shared" si="99"/>
        <v>1795092.94</v>
      </c>
      <c r="J170" s="906">
        <f t="shared" si="99"/>
        <v>1998243</v>
      </c>
      <c r="K170" s="954"/>
      <c r="L170" s="955">
        <f>SUM(L167:L169)</f>
        <v>2022927.2700000003</v>
      </c>
      <c r="M170" s="955">
        <f>SUM(M167:M169)</f>
        <v>2100331</v>
      </c>
      <c r="N170" s="955">
        <f>SUM(N167:N169)</f>
        <v>1895810</v>
      </c>
      <c r="O170" s="955">
        <f>SUM(O167:O169)</f>
        <v>2056994</v>
      </c>
      <c r="P170" s="955">
        <f>SUM(P167:P169)</f>
        <v>2077627</v>
      </c>
      <c r="Q170" s="955">
        <f>IF(SUM(Q167:Q169)=0,P170,SUM(Q167:Q169))</f>
        <v>2077627</v>
      </c>
      <c r="R170" s="955">
        <f>SUM(R167:R169)</f>
        <v>2063925</v>
      </c>
      <c r="S170" s="955">
        <f>IF(SUM(S167:S169)=0,R170,SUM(S167:S169))</f>
        <v>2063925</v>
      </c>
      <c r="T170" s="955">
        <v>2087872</v>
      </c>
      <c r="U170" s="955">
        <v>2087872</v>
      </c>
      <c r="V170" s="955" t="e">
        <f>SUM(V167:V169)</f>
        <v>#REF!</v>
      </c>
      <c r="W170" s="955">
        <f>IF(SUM(W167:W169)=0,V170,SUM(W167:W169))</f>
        <v>2005455</v>
      </c>
      <c r="X170" s="955" t="e">
        <f>SUM(X167:X169)</f>
        <v>#REF!</v>
      </c>
      <c r="Y170" s="955">
        <f>IF(SUM(Y167:Y169)=0,X170,SUM(Y167:Y169))</f>
        <v>2119289</v>
      </c>
      <c r="Z170" s="955">
        <f>SUM(Z167:Z169)</f>
        <v>2335462</v>
      </c>
      <c r="AA170" s="955">
        <f>IF(SUM(AA167:AA169)=0,Z170,SUM(AA167:AA169))</f>
        <v>2344822</v>
      </c>
      <c r="AB170" s="955">
        <f>SUM(AB167:AB169)</f>
        <v>2448733</v>
      </c>
      <c r="AC170" s="955">
        <f>IF(SUM(AC167:AC169)=0,AB170,SUM(AC167:AC169))</f>
        <v>2456239</v>
      </c>
      <c r="AD170" s="955"/>
      <c r="AE170" s="955">
        <v>2473539</v>
      </c>
      <c r="AF170" s="955">
        <v>2473539</v>
      </c>
      <c r="AG170" s="955">
        <v>2555428.25</v>
      </c>
      <c r="AH170" s="955">
        <v>2613676</v>
      </c>
      <c r="AI170" s="955">
        <v>2684132.65</v>
      </c>
      <c r="AJ170" s="955">
        <v>2696952.46</v>
      </c>
      <c r="AK170" s="955">
        <v>2769299.6637999997</v>
      </c>
      <c r="AL170" s="955">
        <v>2871188</v>
      </c>
      <c r="AM170" s="955">
        <f t="shared" ref="AM170:AR170" si="100">SUM(AM167:AM169)</f>
        <v>2896351.7</v>
      </c>
      <c r="AN170" s="955">
        <f t="shared" si="100"/>
        <v>2926406</v>
      </c>
      <c r="AO170" s="955">
        <f t="shared" si="100"/>
        <v>2981739.4799999995</v>
      </c>
      <c r="AP170" s="955">
        <f t="shared" si="100"/>
        <v>3082797</v>
      </c>
      <c r="AQ170" s="955">
        <f t="shared" si="100"/>
        <v>3112438.5600000005</v>
      </c>
      <c r="AR170" s="955">
        <f t="shared" si="100"/>
        <v>3095942</v>
      </c>
      <c r="AS170" s="1632">
        <f t="shared" ref="AS170" si="101">SUM(AS167:AS169)</f>
        <v>3125532.6800000006</v>
      </c>
      <c r="AT170" s="2351">
        <f t="shared" ref="AT170" si="102">SUM(AT167:AT169)</f>
        <v>3200089</v>
      </c>
      <c r="AU170" s="955">
        <f t="shared" si="74"/>
        <v>104147</v>
      </c>
      <c r="AV170" s="2287">
        <f t="shared" si="78"/>
        <v>3.3639842090064993E-2</v>
      </c>
      <c r="AW170" s="910" t="s">
        <v>725</v>
      </c>
      <c r="AX170" s="2016"/>
      <c r="AY170" s="2016"/>
      <c r="AZ170" s="2016"/>
      <c r="BA170" s="2518">
        <f>POWER(AT170/AJ170,1/5)-1</f>
        <v>3.480317648096265E-2</v>
      </c>
      <c r="BB170" s="2518">
        <f>POWER(AT170/AA170,1/9)-1</f>
        <v>3.5155984945415497E-2</v>
      </c>
    </row>
    <row r="171" spans="1:55" ht="14" hidden="1" customHeight="1" outlineLevel="1" thickTop="1" x14ac:dyDescent="0.25">
      <c r="A171" s="779"/>
      <c r="B171" s="772"/>
      <c r="C171" s="773"/>
      <c r="D171" s="773"/>
      <c r="E171" s="774"/>
      <c r="F171" s="773"/>
      <c r="G171" s="956"/>
      <c r="H171" s="956"/>
      <c r="J171" s="847"/>
      <c r="K171" s="825"/>
      <c r="L171" s="831"/>
      <c r="M171" s="831"/>
      <c r="N171" s="831"/>
      <c r="O171" s="825"/>
      <c r="P171" s="825"/>
      <c r="Q171" s="825"/>
      <c r="R171" s="825"/>
      <c r="S171" s="825"/>
      <c r="T171" s="825"/>
      <c r="U171" s="825"/>
      <c r="V171" s="825"/>
      <c r="W171" s="825"/>
      <c r="X171" s="825"/>
      <c r="Y171" s="825"/>
      <c r="Z171" s="825"/>
      <c r="AA171" s="825"/>
      <c r="AB171" s="825"/>
      <c r="AC171" s="825"/>
      <c r="AD171" s="825"/>
      <c r="AE171" s="825"/>
      <c r="AF171" s="825"/>
      <c r="AG171" s="825"/>
      <c r="AH171" s="825"/>
      <c r="AI171" s="825"/>
      <c r="AJ171" s="825"/>
      <c r="AK171" s="825"/>
      <c r="AL171" s="825"/>
      <c r="AM171" s="825"/>
      <c r="AN171" s="825"/>
      <c r="AO171" s="825"/>
      <c r="AP171" s="825"/>
      <c r="AQ171" s="825"/>
      <c r="AR171" s="825"/>
      <c r="AS171" s="1110"/>
      <c r="AT171" s="1040"/>
      <c r="AU171" s="825" t="str">
        <f t="shared" si="74"/>
        <v/>
      </c>
      <c r="AV171" s="2274" t="str">
        <f t="shared" si="78"/>
        <v/>
      </c>
      <c r="AW171" s="778"/>
      <c r="AX171" s="2016"/>
      <c r="AY171" s="2016"/>
      <c r="AZ171" s="2016"/>
      <c r="BA171" s="2016"/>
      <c r="BB171" s="2016"/>
    </row>
    <row r="172" spans="1:55" ht="14" hidden="1" customHeight="1" outlineLevel="1" x14ac:dyDescent="0.25">
      <c r="A172" s="771" t="s">
        <v>686</v>
      </c>
      <c r="B172" s="772"/>
      <c r="C172" s="773"/>
      <c r="D172" s="773"/>
      <c r="E172" s="773"/>
      <c r="F172" s="773"/>
      <c r="G172" s="774"/>
      <c r="H172" s="773"/>
      <c r="I172" s="774"/>
      <c r="J172" s="806"/>
      <c r="K172" s="788"/>
      <c r="L172" s="855"/>
      <c r="M172" s="855"/>
      <c r="N172" s="855"/>
      <c r="O172" s="788"/>
      <c r="P172" s="788"/>
      <c r="Q172" s="788"/>
      <c r="R172" s="788"/>
      <c r="S172" s="788"/>
      <c r="T172" s="788"/>
      <c r="U172" s="788"/>
      <c r="V172" s="788"/>
      <c r="W172" s="788"/>
      <c r="X172" s="788"/>
      <c r="Y172" s="788"/>
      <c r="Z172" s="788"/>
      <c r="AA172" s="788"/>
      <c r="AB172" s="788"/>
      <c r="AC172" s="788"/>
      <c r="AD172" s="788"/>
      <c r="AE172" s="788"/>
      <c r="AF172" s="788"/>
      <c r="AG172" s="788"/>
      <c r="AH172" s="788"/>
      <c r="AI172" s="788"/>
      <c r="AJ172" s="788"/>
      <c r="AK172" s="788"/>
      <c r="AL172" s="788"/>
      <c r="AM172" s="788"/>
      <c r="AN172" s="788"/>
      <c r="AO172" s="788"/>
      <c r="AP172" s="788"/>
      <c r="AQ172" s="788"/>
      <c r="AR172" s="788"/>
      <c r="AS172" s="841"/>
      <c r="AT172" s="891"/>
      <c r="AU172" s="788" t="str">
        <f t="shared" si="74"/>
        <v/>
      </c>
      <c r="AV172" s="2272" t="str">
        <f t="shared" si="78"/>
        <v/>
      </c>
      <c r="AW172" s="778"/>
      <c r="AX172" s="2016"/>
      <c r="AY172" s="2016"/>
      <c r="AZ172" s="2016"/>
      <c r="BA172" s="2016"/>
      <c r="BB172" s="2016"/>
    </row>
    <row r="173" spans="1:55" ht="14" hidden="1" customHeight="1" outlineLevel="1" x14ac:dyDescent="0.25">
      <c r="A173" s="779" t="s">
        <v>688</v>
      </c>
      <c r="B173" s="773">
        <v>392098</v>
      </c>
      <c r="C173" s="773"/>
      <c r="D173" s="773">
        <v>410904</v>
      </c>
      <c r="E173" s="774"/>
      <c r="F173" s="773">
        <v>408576</v>
      </c>
      <c r="G173" s="773">
        <v>572338.43000000005</v>
      </c>
      <c r="H173" s="773">
        <v>462153</v>
      </c>
      <c r="I173" s="774">
        <f>60775.99+60605.02</f>
        <v>121381.01</v>
      </c>
      <c r="J173" s="957">
        <v>433830</v>
      </c>
      <c r="K173" s="788"/>
      <c r="L173" s="855"/>
      <c r="M173" s="855"/>
      <c r="N173" s="855"/>
      <c r="O173" s="788"/>
      <c r="P173" s="788"/>
      <c r="Q173" s="788"/>
      <c r="R173" s="788"/>
      <c r="S173" s="788"/>
      <c r="T173" s="788"/>
      <c r="U173" s="788"/>
      <c r="V173" s="788"/>
      <c r="W173" s="788"/>
      <c r="X173" s="788"/>
      <c r="Y173" s="788"/>
      <c r="Z173" s="788"/>
      <c r="AA173" s="788"/>
      <c r="AB173" s="788"/>
      <c r="AC173" s="788"/>
      <c r="AD173" s="788"/>
      <c r="AE173" s="788"/>
      <c r="AF173" s="788"/>
      <c r="AG173" s="788"/>
      <c r="AH173" s="788"/>
      <c r="AI173" s="788"/>
      <c r="AJ173" s="788"/>
      <c r="AK173" s="788"/>
      <c r="AL173" s="788"/>
      <c r="AM173" s="788"/>
      <c r="AN173" s="788"/>
      <c r="AO173" s="788"/>
      <c r="AP173" s="788"/>
      <c r="AQ173" s="788"/>
      <c r="AR173" s="788"/>
      <c r="AS173" s="841"/>
      <c r="AT173" s="891"/>
      <c r="AU173" s="788" t="str">
        <f t="shared" si="74"/>
        <v/>
      </c>
      <c r="AV173" s="2272" t="str">
        <f t="shared" si="78"/>
        <v/>
      </c>
      <c r="AW173" s="778"/>
      <c r="AX173" s="2016"/>
      <c r="AY173" s="2016"/>
      <c r="AZ173" s="2016"/>
      <c r="BA173" s="2016"/>
      <c r="BB173" s="2016"/>
    </row>
    <row r="174" spans="1:55" ht="14" hidden="1" customHeight="1" outlineLevel="1" x14ac:dyDescent="0.25">
      <c r="A174" s="779" t="s">
        <v>689</v>
      </c>
      <c r="B174" s="773">
        <v>2542479</v>
      </c>
      <c r="C174" s="773"/>
      <c r="D174" s="773">
        <v>2692959</v>
      </c>
      <c r="E174" s="774"/>
      <c r="F174" s="773">
        <v>2555198</v>
      </c>
      <c r="G174" s="773">
        <v>3254529.83</v>
      </c>
      <c r="H174" s="774">
        <v>2683422</v>
      </c>
      <c r="I174" s="774">
        <f>1548927.77+1737098.3</f>
        <v>3286026.0700000003</v>
      </c>
      <c r="J174" s="957">
        <v>2676573</v>
      </c>
      <c r="K174" s="788"/>
      <c r="L174" s="855"/>
      <c r="M174" s="855"/>
      <c r="N174" s="855"/>
      <c r="O174" s="788"/>
      <c r="P174" s="788"/>
      <c r="Q174" s="788"/>
      <c r="R174" s="788"/>
      <c r="S174" s="788"/>
      <c r="T174" s="788"/>
      <c r="U174" s="788"/>
      <c r="V174" s="788"/>
      <c r="W174" s="788"/>
      <c r="X174" s="788"/>
      <c r="Y174" s="788"/>
      <c r="Z174" s="788"/>
      <c r="AA174" s="788"/>
      <c r="AB174" s="788"/>
      <c r="AC174" s="788"/>
      <c r="AD174" s="788"/>
      <c r="AE174" s="788"/>
      <c r="AF174" s="788"/>
      <c r="AG174" s="788"/>
      <c r="AH174" s="788"/>
      <c r="AI174" s="788"/>
      <c r="AJ174" s="788"/>
      <c r="AK174" s="788"/>
      <c r="AL174" s="788"/>
      <c r="AM174" s="788"/>
      <c r="AN174" s="788"/>
      <c r="AO174" s="788"/>
      <c r="AP174" s="788"/>
      <c r="AQ174" s="788"/>
      <c r="AR174" s="788"/>
      <c r="AS174" s="841"/>
      <c r="AT174" s="891"/>
      <c r="AU174" s="788" t="str">
        <f t="shared" si="74"/>
        <v/>
      </c>
      <c r="AV174" s="2272" t="str">
        <f t="shared" si="78"/>
        <v/>
      </c>
      <c r="AW174" s="778"/>
      <c r="AX174" s="2016"/>
      <c r="AY174" s="2016"/>
      <c r="AZ174" s="2016"/>
      <c r="BA174" s="2016"/>
      <c r="BB174" s="2016"/>
    </row>
    <row r="175" spans="1:55" ht="14" hidden="1" customHeight="1" outlineLevel="1" x14ac:dyDescent="0.25">
      <c r="A175" s="779" t="s">
        <v>709</v>
      </c>
      <c r="B175" s="773">
        <v>204174</v>
      </c>
      <c r="C175" s="773"/>
      <c r="D175" s="773">
        <v>123192</v>
      </c>
      <c r="E175" s="774"/>
      <c r="F175" s="773">
        <v>90974</v>
      </c>
      <c r="G175" s="773">
        <v>77300.649999999994</v>
      </c>
      <c r="H175" s="774">
        <v>163559</v>
      </c>
      <c r="I175" s="774">
        <f>8373.13+7375+44209.32+36072.47+38566.79+59691.29+578.28+898.47</f>
        <v>195764.75</v>
      </c>
      <c r="J175" s="957">
        <v>190015</v>
      </c>
      <c r="K175" s="788"/>
      <c r="L175" s="855"/>
      <c r="M175" s="855"/>
      <c r="N175" s="855"/>
      <c r="O175" s="788"/>
      <c r="P175" s="788"/>
      <c r="Q175" s="788"/>
      <c r="R175" s="788"/>
      <c r="S175" s="788"/>
      <c r="T175" s="788"/>
      <c r="U175" s="788"/>
      <c r="V175" s="788"/>
      <c r="W175" s="788"/>
      <c r="X175" s="788"/>
      <c r="Y175" s="788"/>
      <c r="Z175" s="788"/>
      <c r="AA175" s="788"/>
      <c r="AB175" s="788"/>
      <c r="AC175" s="788"/>
      <c r="AD175" s="788"/>
      <c r="AE175" s="788"/>
      <c r="AF175" s="788"/>
      <c r="AG175" s="788"/>
      <c r="AH175" s="788"/>
      <c r="AI175" s="788"/>
      <c r="AJ175" s="788"/>
      <c r="AK175" s="788"/>
      <c r="AL175" s="788"/>
      <c r="AM175" s="788"/>
      <c r="AN175" s="788"/>
      <c r="AO175" s="788"/>
      <c r="AP175" s="788"/>
      <c r="AQ175" s="788"/>
      <c r="AR175" s="788"/>
      <c r="AS175" s="841"/>
      <c r="AT175" s="891"/>
      <c r="AU175" s="788" t="str">
        <f t="shared" si="74"/>
        <v/>
      </c>
      <c r="AV175" s="2272" t="str">
        <f t="shared" si="78"/>
        <v/>
      </c>
      <c r="AW175" s="778"/>
      <c r="AX175" s="2016"/>
      <c r="AY175" s="2016"/>
      <c r="AZ175" s="2016"/>
      <c r="BA175" s="2016"/>
      <c r="BB175" s="2016"/>
    </row>
    <row r="176" spans="1:55" ht="14" hidden="1" customHeight="1" outlineLevel="1" x14ac:dyDescent="0.25">
      <c r="A176" s="779" t="s">
        <v>247</v>
      </c>
      <c r="B176" s="773">
        <v>74892</v>
      </c>
      <c r="C176" s="773"/>
      <c r="D176" s="773">
        <v>81710</v>
      </c>
      <c r="E176" s="774"/>
      <c r="F176" s="773">
        <v>116459</v>
      </c>
      <c r="G176" s="773">
        <v>218792.86</v>
      </c>
      <c r="H176" s="774">
        <v>125367</v>
      </c>
      <c r="I176" s="774">
        <f>7937.47+8433.32+35081.82+127284.7+127789.73</f>
        <v>306527.03999999998</v>
      </c>
      <c r="J176" s="957">
        <v>127710</v>
      </c>
      <c r="K176" s="785"/>
      <c r="L176" s="896"/>
      <c r="M176" s="896"/>
      <c r="N176" s="896"/>
      <c r="O176" s="785"/>
      <c r="P176" s="785"/>
      <c r="Q176" s="785"/>
      <c r="R176" s="785"/>
      <c r="S176" s="785"/>
      <c r="T176" s="785"/>
      <c r="U176" s="785"/>
      <c r="V176" s="785"/>
      <c r="W176" s="785"/>
      <c r="X176" s="785"/>
      <c r="Y176" s="785"/>
      <c r="Z176" s="785"/>
      <c r="AA176" s="785"/>
      <c r="AB176" s="785"/>
      <c r="AC176" s="785"/>
      <c r="AD176" s="785"/>
      <c r="AE176" s="785"/>
      <c r="AF176" s="785"/>
      <c r="AG176" s="785"/>
      <c r="AH176" s="785"/>
      <c r="AI176" s="785"/>
      <c r="AJ176" s="785"/>
      <c r="AK176" s="785"/>
      <c r="AL176" s="785"/>
      <c r="AM176" s="785"/>
      <c r="AN176" s="785"/>
      <c r="AO176" s="785"/>
      <c r="AP176" s="785"/>
      <c r="AQ176" s="785"/>
      <c r="AR176" s="785"/>
      <c r="AS176" s="820"/>
      <c r="AT176" s="819"/>
      <c r="AU176" s="785" t="str">
        <f t="shared" si="74"/>
        <v/>
      </c>
      <c r="AV176" s="2275" t="str">
        <f t="shared" si="78"/>
        <v/>
      </c>
      <c r="AW176" s="778"/>
      <c r="AX176" s="2016"/>
      <c r="AY176" s="2016"/>
      <c r="AZ176" s="2016"/>
      <c r="BA176" s="2016"/>
      <c r="BB176" s="2016"/>
    </row>
    <row r="177" spans="1:55" ht="14" hidden="1" customHeight="1" outlineLevel="1" x14ac:dyDescent="0.25">
      <c r="A177" s="1398" t="s">
        <v>922</v>
      </c>
      <c r="B177" s="773">
        <v>199779</v>
      </c>
      <c r="C177" s="773"/>
      <c r="D177" s="773">
        <v>156270</v>
      </c>
      <c r="E177" s="774"/>
      <c r="F177" s="773">
        <v>161505</v>
      </c>
      <c r="G177" s="773">
        <v>248330.25</v>
      </c>
      <c r="H177" s="774">
        <v>186203</v>
      </c>
      <c r="I177" s="774">
        <f>247358.97+12707.86</f>
        <v>260066.83000000002</v>
      </c>
      <c r="J177" s="957">
        <v>191892</v>
      </c>
      <c r="K177" s="785" t="s">
        <v>457</v>
      </c>
      <c r="L177" s="896"/>
      <c r="M177" s="896"/>
      <c r="N177" s="896"/>
      <c r="O177" s="785"/>
      <c r="P177" s="785"/>
      <c r="Q177" s="785"/>
      <c r="R177" s="785"/>
      <c r="S177" s="785"/>
      <c r="T177" s="785"/>
      <c r="U177" s="785"/>
      <c r="V177" s="785"/>
      <c r="W177" s="785"/>
      <c r="X177" s="785"/>
      <c r="Y177" s="785"/>
      <c r="Z177" s="785"/>
      <c r="AA177" s="785"/>
      <c r="AB177" s="785"/>
      <c r="AC177" s="785"/>
      <c r="AD177" s="785"/>
      <c r="AE177" s="785"/>
      <c r="AF177" s="785"/>
      <c r="AG177" s="785"/>
      <c r="AH177" s="785"/>
      <c r="AI177" s="785"/>
      <c r="AJ177" s="785"/>
      <c r="AK177" s="785"/>
      <c r="AL177" s="785"/>
      <c r="AM177" s="785"/>
      <c r="AN177" s="785"/>
      <c r="AO177" s="785"/>
      <c r="AP177" s="785"/>
      <c r="AQ177" s="785"/>
      <c r="AR177" s="785"/>
      <c r="AS177" s="820"/>
      <c r="AT177" s="819"/>
      <c r="AU177" s="785" t="str">
        <f t="shared" si="74"/>
        <v/>
      </c>
      <c r="AV177" s="2275" t="str">
        <f t="shared" si="78"/>
        <v/>
      </c>
      <c r="AW177" s="778"/>
      <c r="AX177" s="2016"/>
      <c r="AY177" s="2016"/>
      <c r="AZ177" s="2016"/>
      <c r="BA177" s="2016"/>
      <c r="BB177" s="2016"/>
    </row>
    <row r="178" spans="1:55" ht="14" hidden="1" customHeight="1" outlineLevel="1" x14ac:dyDescent="0.25">
      <c r="A178" s="779" t="s">
        <v>716</v>
      </c>
      <c r="B178" s="773">
        <v>137187</v>
      </c>
      <c r="C178" s="773"/>
      <c r="D178" s="773">
        <v>137187</v>
      </c>
      <c r="E178" s="774"/>
      <c r="F178" s="773">
        <v>156815</v>
      </c>
      <c r="G178" s="773">
        <v>173989.09</v>
      </c>
      <c r="H178" s="774">
        <v>200195</v>
      </c>
      <c r="I178" s="774">
        <f>57708.99+49942.55+57914.04+39987.88</f>
        <v>205553.46000000002</v>
      </c>
      <c r="J178" s="719">
        <v>230675</v>
      </c>
      <c r="K178" s="785" t="s">
        <v>458</v>
      </c>
      <c r="L178" s="896"/>
      <c r="M178" s="896"/>
      <c r="N178" s="896"/>
      <c r="O178" s="785"/>
      <c r="P178" s="785"/>
      <c r="Q178" s="785"/>
      <c r="R178" s="785"/>
      <c r="S178" s="785"/>
      <c r="T178" s="785"/>
      <c r="U178" s="785"/>
      <c r="V178" s="785"/>
      <c r="W178" s="785"/>
      <c r="X178" s="785"/>
      <c r="Y178" s="785"/>
      <c r="Z178" s="785"/>
      <c r="AA178" s="785"/>
      <c r="AB178" s="785"/>
      <c r="AC178" s="785"/>
      <c r="AD178" s="785"/>
      <c r="AE178" s="785"/>
      <c r="AF178" s="785"/>
      <c r="AG178" s="785"/>
      <c r="AH178" s="785"/>
      <c r="AI178" s="785"/>
      <c r="AJ178" s="785"/>
      <c r="AK178" s="785"/>
      <c r="AL178" s="785"/>
      <c r="AM178" s="785"/>
      <c r="AN178" s="785"/>
      <c r="AO178" s="785"/>
      <c r="AP178" s="785"/>
      <c r="AQ178" s="785"/>
      <c r="AR178" s="785"/>
      <c r="AS178" s="820"/>
      <c r="AT178" s="819"/>
      <c r="AU178" s="785" t="str">
        <f t="shared" si="74"/>
        <v/>
      </c>
      <c r="AV178" s="2275" t="str">
        <f t="shared" si="78"/>
        <v/>
      </c>
      <c r="AW178" s="778"/>
      <c r="AX178" s="2016"/>
      <c r="AY178" s="2016"/>
      <c r="AZ178" s="2016"/>
      <c r="BA178" s="2016"/>
      <c r="BB178" s="2016"/>
    </row>
    <row r="179" spans="1:55" ht="14" hidden="1" customHeight="1" outlineLevel="1" x14ac:dyDescent="0.25">
      <c r="A179" s="779" t="s">
        <v>775</v>
      </c>
      <c r="B179" s="773">
        <v>357034</v>
      </c>
      <c r="C179" s="773"/>
      <c r="D179" s="773">
        <v>344359</v>
      </c>
      <c r="E179" s="774"/>
      <c r="F179" s="773">
        <v>397920</v>
      </c>
      <c r="G179" s="773">
        <v>342522.82</v>
      </c>
      <c r="H179" s="774">
        <v>373926</v>
      </c>
      <c r="I179" s="774">
        <f>24211.41+115127.89+107096.15+42442.81+24544.1+13669.56+15349.43</f>
        <v>342441.35</v>
      </c>
      <c r="J179" s="957">
        <v>416687</v>
      </c>
      <c r="K179" s="816">
        <v>38775</v>
      </c>
      <c r="L179" s="958"/>
      <c r="M179" s="958"/>
      <c r="N179" s="958"/>
      <c r="O179" s="785"/>
      <c r="P179" s="785"/>
      <c r="Q179" s="785"/>
      <c r="R179" s="785"/>
      <c r="S179" s="785"/>
      <c r="T179" s="785"/>
      <c r="U179" s="785"/>
      <c r="V179" s="785"/>
      <c r="W179" s="785"/>
      <c r="X179" s="785"/>
      <c r="Y179" s="785"/>
      <c r="Z179" s="785"/>
      <c r="AA179" s="785"/>
      <c r="AB179" s="785"/>
      <c r="AC179" s="785"/>
      <c r="AD179" s="785"/>
      <c r="AE179" s="785"/>
      <c r="AF179" s="785"/>
      <c r="AG179" s="785"/>
      <c r="AH179" s="785"/>
      <c r="AI179" s="785"/>
      <c r="AJ179" s="785"/>
      <c r="AK179" s="785"/>
      <c r="AL179" s="785"/>
      <c r="AM179" s="785"/>
      <c r="AN179" s="785"/>
      <c r="AO179" s="785"/>
      <c r="AP179" s="785"/>
      <c r="AQ179" s="785"/>
      <c r="AR179" s="785"/>
      <c r="AS179" s="820"/>
      <c r="AT179" s="819"/>
      <c r="AU179" s="785" t="str">
        <f t="shared" si="74"/>
        <v/>
      </c>
      <c r="AV179" s="2275" t="str">
        <f t="shared" si="78"/>
        <v/>
      </c>
      <c r="AW179" s="778"/>
      <c r="AX179" s="2016"/>
      <c r="AY179" s="2016"/>
      <c r="AZ179" s="2016"/>
      <c r="BA179" s="2016"/>
      <c r="BB179" s="2016"/>
    </row>
    <row r="180" spans="1:55" ht="14" hidden="1" customHeight="1" outlineLevel="1" x14ac:dyDescent="0.25">
      <c r="A180" s="779" t="s">
        <v>749</v>
      </c>
      <c r="B180" s="773">
        <v>1090668</v>
      </c>
      <c r="C180" s="773"/>
      <c r="D180" s="773">
        <v>1176731</v>
      </c>
      <c r="E180" s="774"/>
      <c r="F180" s="773">
        <v>1404716</v>
      </c>
      <c r="G180" s="773">
        <v>217855.31</v>
      </c>
      <c r="H180" s="774">
        <v>1251953</v>
      </c>
      <c r="I180" s="774">
        <v>25251.07</v>
      </c>
      <c r="J180" s="957">
        <v>1489841</v>
      </c>
      <c r="K180" s="785" t="s">
        <v>455</v>
      </c>
      <c r="L180" s="896"/>
      <c r="M180" s="896"/>
      <c r="N180" s="896"/>
      <c r="O180" s="785"/>
      <c r="P180" s="785"/>
      <c r="Q180" s="785"/>
      <c r="R180" s="785"/>
      <c r="S180" s="785"/>
      <c r="T180" s="785"/>
      <c r="U180" s="785"/>
      <c r="V180" s="785"/>
      <c r="W180" s="785"/>
      <c r="X180" s="785"/>
      <c r="Y180" s="785"/>
      <c r="Z180" s="785"/>
      <c r="AA180" s="785"/>
      <c r="AB180" s="785"/>
      <c r="AC180" s="785"/>
      <c r="AD180" s="785"/>
      <c r="AE180" s="785"/>
      <c r="AF180" s="785"/>
      <c r="AG180" s="785"/>
      <c r="AH180" s="785"/>
      <c r="AI180" s="785"/>
      <c r="AJ180" s="785"/>
      <c r="AK180" s="785"/>
      <c r="AL180" s="785"/>
      <c r="AM180" s="785"/>
      <c r="AN180" s="785"/>
      <c r="AO180" s="785"/>
      <c r="AP180" s="785"/>
      <c r="AQ180" s="785"/>
      <c r="AR180" s="785"/>
      <c r="AS180" s="820"/>
      <c r="AT180" s="819"/>
      <c r="AU180" s="785" t="str">
        <f t="shared" si="74"/>
        <v/>
      </c>
      <c r="AV180" s="2275" t="str">
        <f t="shared" si="78"/>
        <v/>
      </c>
      <c r="AW180" s="789"/>
      <c r="AX180" s="2016"/>
      <c r="AY180" s="2016"/>
      <c r="AZ180" s="2016"/>
      <c r="BA180" s="2016"/>
      <c r="BB180" s="2016"/>
      <c r="BC180" s="2023"/>
    </row>
    <row r="181" spans="1:55" ht="14" hidden="1" customHeight="1" outlineLevel="1" x14ac:dyDescent="0.25">
      <c r="A181" s="779" t="s">
        <v>84</v>
      </c>
      <c r="B181" s="804"/>
      <c r="C181" s="804"/>
      <c r="D181" s="775">
        <v>0</v>
      </c>
      <c r="E181" s="852"/>
      <c r="F181" s="775"/>
      <c r="G181" s="775"/>
      <c r="H181" s="777"/>
      <c r="I181" s="777">
        <f>293112.51+26116.66+17831.04+7964.28+41502+36640.01+15573.39+19020.23+9606.82+6316.97</f>
        <v>473683.91</v>
      </c>
      <c r="J181" s="959"/>
      <c r="K181" s="960">
        <v>38789</v>
      </c>
      <c r="L181" s="958"/>
      <c r="M181" s="958"/>
      <c r="N181" s="958"/>
      <c r="O181" s="819"/>
      <c r="P181" s="785"/>
      <c r="Q181" s="785"/>
      <c r="R181" s="785"/>
      <c r="S181" s="785"/>
      <c r="T181" s="785"/>
      <c r="U181" s="785"/>
      <c r="V181" s="785"/>
      <c r="W181" s="785"/>
      <c r="X181" s="785"/>
      <c r="Y181" s="785"/>
      <c r="Z181" s="785"/>
      <c r="AA181" s="785"/>
      <c r="AB181" s="785"/>
      <c r="AC181" s="785"/>
      <c r="AD181" s="785"/>
      <c r="AE181" s="785"/>
      <c r="AF181" s="785"/>
      <c r="AG181" s="785"/>
      <c r="AH181" s="785"/>
      <c r="AI181" s="785"/>
      <c r="AJ181" s="785"/>
      <c r="AK181" s="785"/>
      <c r="AL181" s="785"/>
      <c r="AM181" s="785"/>
      <c r="AN181" s="785"/>
      <c r="AO181" s="785"/>
      <c r="AP181" s="785"/>
      <c r="AQ181" s="785"/>
      <c r="AR181" s="785"/>
      <c r="AS181" s="820"/>
      <c r="AT181" s="819"/>
      <c r="AU181" s="785" t="str">
        <f t="shared" si="74"/>
        <v/>
      </c>
      <c r="AV181" s="2275" t="str">
        <f t="shared" si="78"/>
        <v/>
      </c>
      <c r="AW181" s="778"/>
      <c r="AX181" s="2016"/>
      <c r="AY181" s="2016"/>
      <c r="AZ181" s="2016"/>
      <c r="BA181" s="2016"/>
      <c r="BB181" s="2016"/>
    </row>
    <row r="182" spans="1:55" ht="14" hidden="1" customHeight="1" outlineLevel="1" x14ac:dyDescent="0.25">
      <c r="A182" s="961"/>
      <c r="B182" s="962"/>
      <c r="C182" s="962"/>
      <c r="D182" s="963"/>
      <c r="E182" s="831"/>
      <c r="F182" s="963"/>
      <c r="G182" s="963"/>
      <c r="H182" s="964"/>
      <c r="I182" s="776">
        <v>71764.2</v>
      </c>
      <c r="J182" s="965"/>
      <c r="K182" s="825"/>
      <c r="L182" s="831"/>
      <c r="M182" s="831"/>
      <c r="N182" s="831"/>
      <c r="O182" s="825"/>
      <c r="P182" s="825"/>
      <c r="Q182" s="825"/>
      <c r="R182" s="825"/>
      <c r="S182" s="825"/>
      <c r="T182" s="825"/>
      <c r="U182" s="825"/>
      <c r="V182" s="825"/>
      <c r="W182" s="825"/>
      <c r="X182" s="825"/>
      <c r="Y182" s="825"/>
      <c r="Z182" s="825"/>
      <c r="AA182" s="825"/>
      <c r="AB182" s="825"/>
      <c r="AC182" s="825"/>
      <c r="AD182" s="825"/>
      <c r="AE182" s="825"/>
      <c r="AF182" s="825"/>
      <c r="AG182" s="825"/>
      <c r="AH182" s="825"/>
      <c r="AI182" s="825"/>
      <c r="AJ182" s="825"/>
      <c r="AK182" s="825"/>
      <c r="AL182" s="825"/>
      <c r="AM182" s="825"/>
      <c r="AN182" s="825"/>
      <c r="AO182" s="825"/>
      <c r="AP182" s="825"/>
      <c r="AQ182" s="825"/>
      <c r="AR182" s="825"/>
      <c r="AS182" s="1110"/>
      <c r="AT182" s="1040"/>
      <c r="AU182" s="825" t="str">
        <f t="shared" si="74"/>
        <v/>
      </c>
      <c r="AV182" s="2274" t="str">
        <f t="shared" si="78"/>
        <v/>
      </c>
      <c r="AW182" s="966"/>
      <c r="AX182" s="2016"/>
      <c r="AY182" s="2016"/>
      <c r="AZ182" s="2016"/>
      <c r="BA182" s="2016"/>
      <c r="BB182" s="2016"/>
      <c r="BC182" s="2029"/>
    </row>
    <row r="183" spans="1:55" ht="14" customHeight="1" collapsed="1" thickTop="1" thickBot="1" x14ac:dyDescent="0.3">
      <c r="A183" s="967" t="s">
        <v>769</v>
      </c>
      <c r="B183" s="968">
        <f>SUM(B173:B182)</f>
        <v>4998311</v>
      </c>
      <c r="C183" s="968">
        <f>SUM(4900258.91+98052.09)</f>
        <v>4998311</v>
      </c>
      <c r="D183" s="969">
        <v>5123312</v>
      </c>
      <c r="E183" s="968">
        <v>5123212.2</v>
      </c>
      <c r="F183" s="969">
        <v>5292163</v>
      </c>
      <c r="G183" s="969">
        <f>SUM(G173:G180)</f>
        <v>5105659.2399999993</v>
      </c>
      <c r="H183" s="970">
        <f>SUM(H173:H180)</f>
        <v>5446778</v>
      </c>
      <c r="I183" s="971">
        <f>SUM(I173:I182)</f>
        <v>5288459.6900000004</v>
      </c>
      <c r="J183" s="972">
        <f>SUM(J173:J180)</f>
        <v>5757223</v>
      </c>
      <c r="K183" s="973"/>
      <c r="L183" s="974">
        <f>5739282.23+166724.75</f>
        <v>5906006.9800000004</v>
      </c>
      <c r="M183" s="972">
        <v>6107838</v>
      </c>
      <c r="N183" s="975">
        <f>M183*(1+0.07)</f>
        <v>6535386.6600000001</v>
      </c>
      <c r="O183" s="976">
        <f>5701166+83775</f>
        <v>5784941</v>
      </c>
      <c r="P183" s="976">
        <v>5781593</v>
      </c>
      <c r="Q183" s="977">
        <f>P183</f>
        <v>5781593</v>
      </c>
      <c r="R183" s="977">
        <f>5974481</f>
        <v>5974481</v>
      </c>
      <c r="S183" s="978">
        <f>IF(SUM(S173:S182)=0,R183,SUM(S173:S182))</f>
        <v>5974481</v>
      </c>
      <c r="T183" s="978">
        <v>6093970.6200000001</v>
      </c>
      <c r="U183" s="978">
        <v>6093970.6200000001</v>
      </c>
      <c r="V183" s="977">
        <f>U183*1.02</f>
        <v>6215850.0323999999</v>
      </c>
      <c r="W183" s="978">
        <f>V183+123215</f>
        <v>6339065.0323999999</v>
      </c>
      <c r="X183" s="977">
        <f>T183*1.04+125000</f>
        <v>6462729.4448000006</v>
      </c>
      <c r="Y183" s="977">
        <f>6667419+199500</f>
        <v>6866919</v>
      </c>
      <c r="Z183" s="977">
        <f>(Y183-162793)*(1+5/100)+131355</f>
        <v>7170687.3000000007</v>
      </c>
      <c r="AA183" s="977">
        <v>7172203</v>
      </c>
      <c r="AB183" s="977">
        <f>(AA183-131355)*(1+3/100)+176803</f>
        <v>7428876.4400000004</v>
      </c>
      <c r="AC183" s="977">
        <v>7602224</v>
      </c>
      <c r="AD183" s="977"/>
      <c r="AE183" s="977">
        <v>7827171</v>
      </c>
      <c r="AF183" s="977">
        <v>7830290.7199999997</v>
      </c>
      <c r="AG183" s="977">
        <v>8108071</v>
      </c>
      <c r="AH183" s="977">
        <v>8108071</v>
      </c>
      <c r="AI183" s="977">
        <v>8913230.1999999993</v>
      </c>
      <c r="AJ183" s="977">
        <v>8913230</v>
      </c>
      <c r="AK183" s="977">
        <v>9117902</v>
      </c>
      <c r="AL183" s="977">
        <v>9117902</v>
      </c>
      <c r="AM183" s="977">
        <f>AL183*1.0275</f>
        <v>9368644.3050000016</v>
      </c>
      <c r="AN183" s="977">
        <f>AM183</f>
        <v>9368644.3050000016</v>
      </c>
      <c r="AO183" s="977">
        <v>9649703.6341500022</v>
      </c>
      <c r="AP183" s="977">
        <f>AO183+86000-181</f>
        <v>9735522.6341500022</v>
      </c>
      <c r="AQ183" s="977">
        <f>AP183*$AK$2</f>
        <v>9954571.8934183773</v>
      </c>
      <c r="AR183" s="977">
        <f>9979342+1139926</f>
        <v>11119268</v>
      </c>
      <c r="AS183" s="1633">
        <f>AR183*$AK$2</f>
        <v>11369451.529999999</v>
      </c>
      <c r="AT183" s="2352">
        <f>'Model Assumptions'!G49</f>
        <v>11419452</v>
      </c>
      <c r="AU183" s="977">
        <f t="shared" si="74"/>
        <v>300184</v>
      </c>
      <c r="AV183" s="2288">
        <f t="shared" si="78"/>
        <v>2.699674115238521E-2</v>
      </c>
      <c r="AW183" s="910" t="s">
        <v>47</v>
      </c>
      <c r="AX183" s="2016"/>
      <c r="AY183" s="2122"/>
      <c r="AZ183" s="2122"/>
      <c r="BA183" s="2518">
        <f>POWER(AT183/AJ183,1/5)-1</f>
        <v>5.0804756587518041E-2</v>
      </c>
      <c r="BB183" s="2518">
        <f>POWER(AT183/AA183,1/9)-1</f>
        <v>5.3037002936822342E-2</v>
      </c>
      <c r="BC183" s="2332"/>
    </row>
    <row r="184" spans="1:55" ht="14" hidden="1" customHeight="1" outlineLevel="1" thickTop="1" x14ac:dyDescent="0.25">
      <c r="A184" s="771" t="s">
        <v>363</v>
      </c>
      <c r="B184" s="772"/>
      <c r="C184" s="773"/>
      <c r="D184" s="773"/>
      <c r="E184" s="773"/>
      <c r="F184" s="773"/>
      <c r="G184" s="773"/>
      <c r="H184" s="773"/>
      <c r="J184" s="847"/>
      <c r="K184" s="979"/>
      <c r="L184" s="980"/>
      <c r="M184" s="831"/>
      <c r="N184" s="831"/>
      <c r="O184" s="981"/>
      <c r="P184" s="776"/>
      <c r="Q184" s="776"/>
      <c r="R184" s="776"/>
      <c r="S184" s="776"/>
      <c r="T184" s="776"/>
      <c r="U184" s="776"/>
      <c r="V184" s="776"/>
      <c r="W184" s="776"/>
      <c r="X184" s="776"/>
      <c r="Y184" s="776"/>
      <c r="Z184" s="776"/>
      <c r="AA184" s="776"/>
      <c r="AB184" s="776"/>
      <c r="AC184" s="776"/>
      <c r="AD184" s="776"/>
      <c r="AE184" s="776"/>
      <c r="AF184" s="776"/>
      <c r="AG184" s="776"/>
      <c r="AH184" s="776"/>
      <c r="AI184" s="776"/>
      <c r="AJ184" s="776"/>
      <c r="AK184" s="776"/>
      <c r="AL184" s="776"/>
      <c r="AM184" s="776"/>
      <c r="AN184" s="776"/>
      <c r="AO184" s="776"/>
      <c r="AP184" s="1618"/>
      <c r="AQ184" s="1618"/>
      <c r="AR184" s="1618"/>
      <c r="AS184" s="1634"/>
      <c r="AT184" s="2353"/>
      <c r="AU184" s="1618" t="str">
        <f t="shared" si="74"/>
        <v/>
      </c>
      <c r="AV184" s="2271" t="str">
        <f t="shared" si="78"/>
        <v/>
      </c>
      <c r="AW184" s="778"/>
      <c r="AX184" s="2016"/>
      <c r="AY184" s="2016"/>
      <c r="AZ184" s="2016"/>
      <c r="BA184" s="2016"/>
      <c r="BB184" s="2016"/>
    </row>
    <row r="185" spans="1:55" ht="14" hidden="1" customHeight="1" outlineLevel="1" x14ac:dyDescent="0.25">
      <c r="A185" s="779" t="s">
        <v>364</v>
      </c>
      <c r="B185" s="772"/>
      <c r="C185" s="773"/>
      <c r="D185" s="773"/>
      <c r="E185" s="773"/>
      <c r="F185" s="773"/>
      <c r="G185" s="773"/>
      <c r="H185" s="773"/>
      <c r="J185" s="847"/>
      <c r="K185" s="825"/>
      <c r="L185" s="831"/>
      <c r="M185" s="831"/>
      <c r="N185" s="831"/>
      <c r="O185" s="825"/>
      <c r="P185" s="825"/>
      <c r="Q185" s="825"/>
      <c r="R185" s="825"/>
      <c r="S185" s="825"/>
      <c r="T185" s="825"/>
      <c r="U185" s="825"/>
      <c r="V185" s="825"/>
      <c r="W185" s="825"/>
      <c r="X185" s="825"/>
      <c r="Y185" s="825"/>
      <c r="Z185" s="825"/>
      <c r="AA185" s="825"/>
      <c r="AB185" s="825"/>
      <c r="AC185" s="825"/>
      <c r="AD185" s="825"/>
      <c r="AE185" s="825"/>
      <c r="AF185" s="825"/>
      <c r="AG185" s="825"/>
      <c r="AH185" s="825"/>
      <c r="AI185" s="825"/>
      <c r="AJ185" s="825"/>
      <c r="AK185" s="825"/>
      <c r="AL185" s="825"/>
      <c r="AM185" s="825"/>
      <c r="AN185" s="825"/>
      <c r="AO185" s="825"/>
      <c r="AP185" s="825"/>
      <c r="AQ185" s="825"/>
      <c r="AR185" s="825"/>
      <c r="AS185" s="825"/>
      <c r="AT185" s="825"/>
      <c r="AU185" s="825" t="str">
        <f t="shared" ref="AU185:AU190" si="103">IF(AL185&gt;0,AN185-AL185,"")</f>
        <v/>
      </c>
      <c r="AV185" s="2316" t="str">
        <f t="shared" si="78"/>
        <v/>
      </c>
      <c r="AW185" s="778"/>
      <c r="AX185" s="2016"/>
      <c r="AY185" s="2016"/>
      <c r="AZ185" s="2016"/>
      <c r="BA185" s="2016"/>
      <c r="BB185" s="2016"/>
      <c r="BC185" s="2011" t="s">
        <v>1072</v>
      </c>
    </row>
    <row r="186" spans="1:55" ht="14" hidden="1" customHeight="1" outlineLevel="1" x14ac:dyDescent="0.25">
      <c r="A186" s="779" t="s">
        <v>677</v>
      </c>
      <c r="B186" s="775">
        <v>64520</v>
      </c>
      <c r="C186" s="773">
        <v>61305.599999999999</v>
      </c>
      <c r="D186" s="850"/>
      <c r="E186" s="777">
        <v>0</v>
      </c>
      <c r="F186" s="850"/>
      <c r="G186" s="850">
        <v>0</v>
      </c>
      <c r="H186" s="851"/>
      <c r="I186" s="777">
        <v>0</v>
      </c>
      <c r="J186" s="806">
        <v>0</v>
      </c>
      <c r="K186" s="788"/>
      <c r="L186" s="855"/>
      <c r="M186" s="855"/>
      <c r="N186" s="855"/>
      <c r="O186" s="788"/>
      <c r="P186" s="788"/>
      <c r="Q186" s="788"/>
      <c r="R186" s="788"/>
      <c r="S186" s="788"/>
      <c r="T186" s="788"/>
      <c r="U186" s="788"/>
      <c r="V186" s="788"/>
      <c r="W186" s="788"/>
      <c r="X186" s="788"/>
      <c r="Y186" s="788"/>
      <c r="Z186" s="788"/>
      <c r="AA186" s="788"/>
      <c r="AB186" s="788"/>
      <c r="AC186" s="788"/>
      <c r="AD186" s="788"/>
      <c r="AE186" s="788"/>
      <c r="AF186" s="788"/>
      <c r="AG186" s="788"/>
      <c r="AH186" s="788"/>
      <c r="AI186" s="788"/>
      <c r="AJ186" s="788"/>
      <c r="AK186" s="788"/>
      <c r="AL186" s="788"/>
      <c r="AM186" s="788"/>
      <c r="AN186" s="788"/>
      <c r="AO186" s="788"/>
      <c r="AP186" s="788"/>
      <c r="AQ186" s="788"/>
      <c r="AR186" s="788"/>
      <c r="AS186" s="788"/>
      <c r="AT186" s="788"/>
      <c r="AU186" s="788" t="str">
        <f t="shared" si="103"/>
        <v/>
      </c>
      <c r="AV186" s="2314" t="str">
        <f t="shared" si="78"/>
        <v/>
      </c>
      <c r="AW186" s="778"/>
      <c r="AX186" s="2016"/>
      <c r="AY186" s="2016"/>
      <c r="AZ186" s="2016"/>
      <c r="BA186" s="2016"/>
      <c r="BB186" s="2016"/>
      <c r="BC186" s="2011" t="s">
        <v>1072</v>
      </c>
    </row>
    <row r="187" spans="1:55" ht="14" hidden="1" customHeight="1" outlineLevel="1" x14ac:dyDescent="0.25">
      <c r="A187" s="779" t="s">
        <v>551</v>
      </c>
      <c r="B187" s="775">
        <v>17722</v>
      </c>
      <c r="C187" s="773">
        <v>19003.07</v>
      </c>
      <c r="D187" s="850"/>
      <c r="E187" s="777">
        <v>0</v>
      </c>
      <c r="F187" s="850"/>
      <c r="G187" s="850">
        <v>0</v>
      </c>
      <c r="H187" s="851"/>
      <c r="I187" s="777">
        <v>0</v>
      </c>
      <c r="J187" s="806">
        <v>0</v>
      </c>
      <c r="K187" s="788">
        <v>0</v>
      </c>
      <c r="L187" s="855"/>
      <c r="M187" s="855"/>
      <c r="N187" s="855"/>
      <c r="O187" s="788"/>
      <c r="P187" s="788"/>
      <c r="Q187" s="788"/>
      <c r="R187" s="788"/>
      <c r="S187" s="788"/>
      <c r="T187" s="788"/>
      <c r="U187" s="788"/>
      <c r="V187" s="788"/>
      <c r="W187" s="788"/>
      <c r="X187" s="788"/>
      <c r="Y187" s="788"/>
      <c r="Z187" s="788"/>
      <c r="AA187" s="788"/>
      <c r="AB187" s="788"/>
      <c r="AC187" s="788"/>
      <c r="AD187" s="788"/>
      <c r="AE187" s="788"/>
      <c r="AF187" s="788"/>
      <c r="AG187" s="788"/>
      <c r="AH187" s="788"/>
      <c r="AI187" s="788"/>
      <c r="AJ187" s="788"/>
      <c r="AK187" s="788"/>
      <c r="AL187" s="788"/>
      <c r="AM187" s="788"/>
      <c r="AN187" s="788"/>
      <c r="AO187" s="788"/>
      <c r="AP187" s="788"/>
      <c r="AQ187" s="788"/>
      <c r="AR187" s="788"/>
      <c r="AS187" s="788"/>
      <c r="AT187" s="788"/>
      <c r="AU187" s="788" t="str">
        <f t="shared" si="103"/>
        <v/>
      </c>
      <c r="AV187" s="2314" t="str">
        <f t="shared" si="78"/>
        <v/>
      </c>
      <c r="AW187" s="778"/>
      <c r="AX187" s="2016"/>
      <c r="AY187" s="2016"/>
      <c r="AZ187" s="2016"/>
      <c r="BA187" s="2016"/>
      <c r="BB187" s="2016"/>
      <c r="BC187" s="2011" t="s">
        <v>1072</v>
      </c>
    </row>
    <row r="188" spans="1:55" ht="14" hidden="1" customHeight="1" outlineLevel="1" x14ac:dyDescent="0.25">
      <c r="A188" s="779" t="s">
        <v>812</v>
      </c>
      <c r="B188" s="775">
        <v>6872</v>
      </c>
      <c r="C188" s="773">
        <v>5719.36</v>
      </c>
      <c r="D188" s="850"/>
      <c r="E188" s="777">
        <v>0</v>
      </c>
      <c r="F188" s="850"/>
      <c r="G188" s="850">
        <v>0</v>
      </c>
      <c r="H188" s="851"/>
      <c r="I188" s="777">
        <v>0</v>
      </c>
      <c r="J188" s="806">
        <v>0</v>
      </c>
      <c r="K188" s="788">
        <v>0</v>
      </c>
      <c r="L188" s="855"/>
      <c r="M188" s="855"/>
      <c r="N188" s="855"/>
      <c r="O188" s="788"/>
      <c r="P188" s="788"/>
      <c r="Q188" s="788"/>
      <c r="R188" s="788"/>
      <c r="S188" s="788"/>
      <c r="T188" s="788"/>
      <c r="U188" s="788"/>
      <c r="V188" s="788"/>
      <c r="W188" s="788"/>
      <c r="X188" s="788"/>
      <c r="Y188" s="788"/>
      <c r="Z188" s="788"/>
      <c r="AA188" s="788"/>
      <c r="AB188" s="788"/>
      <c r="AC188" s="788"/>
      <c r="AD188" s="788"/>
      <c r="AE188" s="788"/>
      <c r="AF188" s="788"/>
      <c r="AG188" s="788"/>
      <c r="AH188" s="788"/>
      <c r="AI188" s="788"/>
      <c r="AJ188" s="788"/>
      <c r="AK188" s="788"/>
      <c r="AL188" s="788"/>
      <c r="AM188" s="788"/>
      <c r="AN188" s="788"/>
      <c r="AO188" s="788"/>
      <c r="AP188" s="788"/>
      <c r="AQ188" s="788"/>
      <c r="AR188" s="788"/>
      <c r="AS188" s="788"/>
      <c r="AT188" s="788"/>
      <c r="AU188" s="788" t="str">
        <f t="shared" si="103"/>
        <v/>
      </c>
      <c r="AV188" s="2314" t="str">
        <f t="shared" si="78"/>
        <v/>
      </c>
      <c r="AW188" s="778"/>
      <c r="AX188" s="2016"/>
      <c r="AY188" s="2016"/>
      <c r="AZ188" s="2016"/>
      <c r="BA188" s="2016"/>
      <c r="BB188" s="2016"/>
      <c r="BC188" s="2011" t="s">
        <v>1072</v>
      </c>
    </row>
    <row r="189" spans="1:55" ht="14" hidden="1" customHeight="1" outlineLevel="1" x14ac:dyDescent="0.25">
      <c r="A189" s="842" t="s">
        <v>813</v>
      </c>
      <c r="B189" s="781">
        <f t="shared" ref="B189:I189" si="104">SUM(B186:B188)</f>
        <v>89114</v>
      </c>
      <c r="C189" s="781">
        <f t="shared" si="104"/>
        <v>86028.03</v>
      </c>
      <c r="D189" s="781">
        <f t="shared" si="104"/>
        <v>0</v>
      </c>
      <c r="E189" s="781">
        <f t="shared" si="104"/>
        <v>0</v>
      </c>
      <c r="F189" s="781">
        <f t="shared" si="104"/>
        <v>0</v>
      </c>
      <c r="G189" s="781">
        <f t="shared" si="104"/>
        <v>0</v>
      </c>
      <c r="H189" s="781">
        <f t="shared" si="104"/>
        <v>0</v>
      </c>
      <c r="I189" s="781">
        <f t="shared" si="104"/>
        <v>0</v>
      </c>
      <c r="J189" s="784">
        <v>0</v>
      </c>
      <c r="K189" s="785">
        <v>0</v>
      </c>
      <c r="L189" s="896"/>
      <c r="M189" s="896"/>
      <c r="N189" s="896"/>
      <c r="O189" s="785"/>
      <c r="P189" s="785"/>
      <c r="Q189" s="785"/>
      <c r="R189" s="785"/>
      <c r="S189" s="785"/>
      <c r="T189" s="785"/>
      <c r="U189" s="785"/>
      <c r="V189" s="785"/>
      <c r="W189" s="785"/>
      <c r="X189" s="785"/>
      <c r="Y189" s="785"/>
      <c r="Z189" s="785"/>
      <c r="AA189" s="785"/>
      <c r="AB189" s="785"/>
      <c r="AC189" s="785"/>
      <c r="AD189" s="785"/>
      <c r="AE189" s="785">
        <v>0</v>
      </c>
      <c r="AF189" s="785"/>
      <c r="AG189" s="785">
        <v>0</v>
      </c>
      <c r="AH189" s="785"/>
      <c r="AI189" s="785">
        <v>0</v>
      </c>
      <c r="AJ189" s="785"/>
      <c r="AK189" s="785"/>
      <c r="AL189" s="785"/>
      <c r="AM189" s="785"/>
      <c r="AN189" s="785"/>
      <c r="AO189" s="785"/>
      <c r="AP189" s="785"/>
      <c r="AQ189" s="785"/>
      <c r="AR189" s="785"/>
      <c r="AS189" s="785"/>
      <c r="AT189" s="785"/>
      <c r="AU189" s="785" t="str">
        <f t="shared" si="103"/>
        <v/>
      </c>
      <c r="AV189" s="2317" t="str">
        <f t="shared" si="78"/>
        <v/>
      </c>
      <c r="AW189" s="789"/>
      <c r="AX189" s="2016"/>
      <c r="AY189" s="2016"/>
      <c r="AZ189" s="2016"/>
      <c r="BA189" s="2016"/>
      <c r="BB189" s="2016"/>
      <c r="BC189" s="2019" t="s">
        <v>1072</v>
      </c>
    </row>
    <row r="190" spans="1:55" s="985" customFormat="1" ht="14" hidden="1" customHeight="1" outlineLevel="1" x14ac:dyDescent="0.25">
      <c r="A190" s="929"/>
      <c r="B190" s="930"/>
      <c r="C190" s="930"/>
      <c r="D190" s="930"/>
      <c r="E190" s="951"/>
      <c r="F190" s="930"/>
      <c r="G190" s="930"/>
      <c r="H190" s="951"/>
      <c r="I190" s="951"/>
      <c r="J190" s="933"/>
      <c r="K190" s="942"/>
      <c r="L190" s="982"/>
      <c r="M190" s="983"/>
      <c r="N190" s="983"/>
      <c r="O190" s="942"/>
      <c r="P190" s="942"/>
      <c r="Q190" s="942"/>
      <c r="R190" s="942"/>
      <c r="S190" s="942"/>
      <c r="T190" s="942"/>
      <c r="U190" s="942"/>
      <c r="V190" s="942"/>
      <c r="W190" s="942"/>
      <c r="X190" s="942"/>
      <c r="Y190" s="942"/>
      <c r="Z190" s="942"/>
      <c r="AA190" s="942"/>
      <c r="AB190" s="942"/>
      <c r="AC190" s="942"/>
      <c r="AD190" s="942"/>
      <c r="AE190" s="942"/>
      <c r="AF190" s="942"/>
      <c r="AG190" s="942"/>
      <c r="AH190" s="942"/>
      <c r="AI190" s="942"/>
      <c r="AJ190" s="942"/>
      <c r="AK190" s="942"/>
      <c r="AL190" s="942"/>
      <c r="AM190" s="942"/>
      <c r="AN190" s="942"/>
      <c r="AO190" s="942"/>
      <c r="AP190" s="942"/>
      <c r="AQ190" s="942"/>
      <c r="AR190" s="942"/>
      <c r="AS190" s="942"/>
      <c r="AT190" s="942"/>
      <c r="AU190" s="942" t="str">
        <f t="shared" si="103"/>
        <v/>
      </c>
      <c r="AV190" s="2325" t="str">
        <f t="shared" si="78"/>
        <v/>
      </c>
      <c r="AW190" s="984"/>
      <c r="AX190" s="2016"/>
      <c r="AY190" s="2016"/>
      <c r="AZ190" s="2016"/>
      <c r="BA190" s="2016"/>
      <c r="BB190" s="2016"/>
      <c r="BC190" s="2019" t="s">
        <v>1072</v>
      </c>
    </row>
    <row r="191" spans="1:55" ht="14" hidden="1" customHeight="1" outlineLevel="1" x14ac:dyDescent="0.25">
      <c r="A191" s="948" t="s">
        <v>875</v>
      </c>
      <c r="B191" s="781"/>
      <c r="C191" s="781"/>
      <c r="D191" s="781"/>
      <c r="E191" s="782"/>
      <c r="F191" s="781"/>
      <c r="G191" s="781"/>
      <c r="H191" s="782"/>
      <c r="I191" s="782"/>
      <c r="J191" s="784"/>
      <c r="K191" s="785"/>
      <c r="L191" s="986"/>
      <c r="M191" s="896"/>
      <c r="N191" s="896"/>
      <c r="O191" s="785"/>
      <c r="P191" s="785"/>
      <c r="Q191" s="785"/>
      <c r="R191" s="785"/>
      <c r="S191" s="785"/>
      <c r="T191" s="785"/>
      <c r="U191" s="785"/>
      <c r="V191" s="785"/>
      <c r="W191" s="785"/>
      <c r="X191" s="785"/>
      <c r="Y191" s="785"/>
      <c r="Z191" s="785"/>
      <c r="AA191" s="785"/>
      <c r="AB191" s="785"/>
      <c r="AC191" s="785"/>
      <c r="AD191" s="785"/>
      <c r="AE191" s="785"/>
      <c r="AF191" s="785"/>
      <c r="AG191" s="785"/>
      <c r="AH191" s="785"/>
      <c r="AI191" s="785"/>
      <c r="AJ191" s="785"/>
      <c r="AK191" s="785"/>
      <c r="AL191" s="785"/>
      <c r="AM191" s="785"/>
      <c r="AN191" s="785"/>
      <c r="AO191" s="785"/>
      <c r="AP191" s="785"/>
      <c r="AQ191" s="785"/>
      <c r="AR191" s="785"/>
      <c r="AS191" s="820"/>
      <c r="AT191" s="819"/>
      <c r="AU191" s="785" t="str">
        <f t="shared" ref="AU191:AU254" si="105">IF(AR191&gt;0,AT191-AR191,"")</f>
        <v/>
      </c>
      <c r="AV191" s="2275" t="str">
        <f t="shared" si="78"/>
        <v/>
      </c>
      <c r="AW191" s="789"/>
      <c r="AX191" s="2016"/>
      <c r="AY191" s="2016"/>
      <c r="AZ191" s="2016"/>
      <c r="BA191" s="2016"/>
      <c r="BB191" s="2016"/>
      <c r="BC191" s="2023"/>
    </row>
    <row r="192" spans="1:55" ht="14" hidden="1" customHeight="1" outlineLevel="1" x14ac:dyDescent="0.25">
      <c r="A192" s="779" t="s">
        <v>677</v>
      </c>
      <c r="B192" s="781"/>
      <c r="C192" s="781"/>
      <c r="D192" s="781"/>
      <c r="E192" s="782"/>
      <c r="F192" s="781"/>
      <c r="G192" s="781"/>
      <c r="H192" s="782"/>
      <c r="I192" s="782"/>
      <c r="J192" s="784"/>
      <c r="K192" s="785"/>
      <c r="L192" s="986"/>
      <c r="M192" s="896"/>
      <c r="N192" s="896"/>
      <c r="O192" s="785"/>
      <c r="P192" s="785"/>
      <c r="Q192" s="785"/>
      <c r="R192" s="785"/>
      <c r="S192" s="785"/>
      <c r="T192" s="785"/>
      <c r="U192" s="785"/>
      <c r="V192" s="785"/>
      <c r="W192" s="785"/>
      <c r="X192" s="785"/>
      <c r="Y192" s="785"/>
      <c r="Z192" s="785"/>
      <c r="AA192" s="785"/>
      <c r="AB192" s="785"/>
      <c r="AC192" s="785"/>
      <c r="AD192" s="785"/>
      <c r="AE192" s="785"/>
      <c r="AF192" s="785"/>
      <c r="AG192" s="785"/>
      <c r="AH192" s="785"/>
      <c r="AI192" s="785"/>
      <c r="AJ192" s="785"/>
      <c r="AK192" s="785"/>
      <c r="AL192" s="785"/>
      <c r="AM192" s="785"/>
      <c r="AN192" s="785"/>
      <c r="AO192" s="785"/>
      <c r="AP192" s="785"/>
      <c r="AQ192" s="785"/>
      <c r="AR192" s="785"/>
      <c r="AS192" s="820"/>
      <c r="AT192" s="819"/>
      <c r="AU192" s="785" t="str">
        <f t="shared" si="105"/>
        <v/>
      </c>
      <c r="AV192" s="2275" t="str">
        <f t="shared" si="78"/>
        <v/>
      </c>
      <c r="AW192" s="789"/>
      <c r="AX192" s="2016"/>
      <c r="AY192" s="2016"/>
      <c r="AZ192" s="2016"/>
      <c r="BA192" s="2016"/>
      <c r="BB192" s="2016"/>
      <c r="BC192" s="2023"/>
    </row>
    <row r="193" spans="1:55" ht="14" hidden="1" customHeight="1" outlineLevel="1" x14ac:dyDescent="0.25">
      <c r="A193" s="779" t="s">
        <v>551</v>
      </c>
      <c r="B193" s="781"/>
      <c r="C193" s="781"/>
      <c r="D193" s="781"/>
      <c r="E193" s="782"/>
      <c r="F193" s="781"/>
      <c r="G193" s="781"/>
      <c r="H193" s="782"/>
      <c r="I193" s="782"/>
      <c r="J193" s="784"/>
      <c r="K193" s="785"/>
      <c r="L193" s="986"/>
      <c r="M193" s="896"/>
      <c r="N193" s="896"/>
      <c r="O193" s="785"/>
      <c r="P193" s="785"/>
      <c r="Q193" s="785"/>
      <c r="R193" s="785"/>
      <c r="S193" s="785"/>
      <c r="T193" s="785"/>
      <c r="U193" s="785"/>
      <c r="V193" s="785"/>
      <c r="W193" s="785"/>
      <c r="X193" s="785"/>
      <c r="Y193" s="785"/>
      <c r="Z193" s="785"/>
      <c r="AA193" s="785"/>
      <c r="AB193" s="785"/>
      <c r="AC193" s="785"/>
      <c r="AD193" s="785"/>
      <c r="AE193" s="788">
        <v>5306</v>
      </c>
      <c r="AF193" s="785"/>
      <c r="AG193" s="785">
        <v>5465.18</v>
      </c>
      <c r="AH193" s="788">
        <v>5306</v>
      </c>
      <c r="AI193" s="810">
        <v>5465.18</v>
      </c>
      <c r="AJ193" s="810">
        <v>5413</v>
      </c>
      <c r="AK193" s="810">
        <v>5575.39</v>
      </c>
      <c r="AL193" s="810">
        <v>5413</v>
      </c>
      <c r="AM193" s="810">
        <f>AL193*$AK$5</f>
        <v>5521.26</v>
      </c>
      <c r="AN193" s="810">
        <v>5413</v>
      </c>
      <c r="AO193" s="810">
        <v>5521.26</v>
      </c>
      <c r="AP193" s="810">
        <v>5413</v>
      </c>
      <c r="AQ193" s="810">
        <f>AP193*$AK$5</f>
        <v>5521.26</v>
      </c>
      <c r="AR193" s="810">
        <v>5413</v>
      </c>
      <c r="AS193" s="1410">
        <f>AR193*$AK$5</f>
        <v>5521.26</v>
      </c>
      <c r="AT193" s="809">
        <f>'[1]BUDGET DETAIL'!$CX$544</f>
        <v>7418</v>
      </c>
      <c r="AU193" s="810">
        <f t="shared" si="105"/>
        <v>2005</v>
      </c>
      <c r="AV193" s="2274">
        <f t="shared" si="78"/>
        <v>0.37040458156290412</v>
      </c>
      <c r="AW193" s="789"/>
      <c r="AX193" s="2016"/>
      <c r="AY193" s="2016"/>
      <c r="AZ193" s="2016"/>
      <c r="BA193" s="2016"/>
      <c r="BB193" s="2016"/>
      <c r="BC193" s="2023"/>
    </row>
    <row r="194" spans="1:55" ht="14" hidden="1" customHeight="1" outlineLevel="1" x14ac:dyDescent="0.25">
      <c r="A194" s="779" t="s">
        <v>812</v>
      </c>
      <c r="B194" s="781"/>
      <c r="C194" s="781"/>
      <c r="D194" s="781"/>
      <c r="E194" s="782"/>
      <c r="F194" s="781"/>
      <c r="G194" s="781"/>
      <c r="H194" s="782"/>
      <c r="I194" s="782"/>
      <c r="J194" s="784"/>
      <c r="K194" s="785"/>
      <c r="L194" s="986"/>
      <c r="M194" s="896"/>
      <c r="N194" s="896"/>
      <c r="O194" s="785"/>
      <c r="P194" s="785"/>
      <c r="Q194" s="785"/>
      <c r="R194" s="785"/>
      <c r="S194" s="785"/>
      <c r="T194" s="785"/>
      <c r="U194" s="785"/>
      <c r="V194" s="785"/>
      <c r="W194" s="785"/>
      <c r="X194" s="785"/>
      <c r="Y194" s="785"/>
      <c r="Z194" s="785"/>
      <c r="AA194" s="785"/>
      <c r="AB194" s="785"/>
      <c r="AC194" s="785"/>
      <c r="AD194" s="785"/>
      <c r="AE194" s="788">
        <v>10000</v>
      </c>
      <c r="AF194" s="785"/>
      <c r="AG194" s="785">
        <v>10000</v>
      </c>
      <c r="AH194" s="788">
        <v>10000</v>
      </c>
      <c r="AI194" s="810">
        <v>10000</v>
      </c>
      <c r="AJ194" s="810">
        <v>10000</v>
      </c>
      <c r="AK194" s="810">
        <v>10000</v>
      </c>
      <c r="AL194" s="810">
        <v>10000</v>
      </c>
      <c r="AM194" s="810">
        <f>AL194*$AH$4</f>
        <v>10000</v>
      </c>
      <c r="AN194" s="810">
        <v>10000</v>
      </c>
      <c r="AO194" s="810">
        <v>10000</v>
      </c>
      <c r="AP194" s="810">
        <v>10000</v>
      </c>
      <c r="AQ194" s="810">
        <f>AP194*$AH$4</f>
        <v>10000</v>
      </c>
      <c r="AR194" s="810">
        <v>25000</v>
      </c>
      <c r="AS194" s="1410">
        <f>AR194*$AH$4</f>
        <v>25000</v>
      </c>
      <c r="AT194" s="809">
        <f>'[1]BUDGET DETAIL'!$CX$546</f>
        <v>25000</v>
      </c>
      <c r="AU194" s="810">
        <f t="shared" si="105"/>
        <v>0</v>
      </c>
      <c r="AV194" s="2274">
        <f t="shared" si="78"/>
        <v>0</v>
      </c>
      <c r="AW194" s="789"/>
      <c r="AX194" s="2016"/>
      <c r="AY194" s="2122"/>
      <c r="AZ194" s="2122"/>
      <c r="BA194" s="2122"/>
      <c r="BB194" s="2122"/>
      <c r="BC194" s="2239"/>
    </row>
    <row r="195" spans="1:55" ht="14" hidden="1" customHeight="1" outlineLevel="1" x14ac:dyDescent="0.25">
      <c r="A195" s="842" t="s">
        <v>813</v>
      </c>
      <c r="B195" s="781"/>
      <c r="C195" s="781"/>
      <c r="D195" s="781"/>
      <c r="E195" s="782"/>
      <c r="F195" s="781"/>
      <c r="G195" s="781"/>
      <c r="H195" s="782"/>
      <c r="I195" s="782"/>
      <c r="J195" s="784"/>
      <c r="K195" s="785"/>
      <c r="L195" s="986"/>
      <c r="M195" s="896"/>
      <c r="N195" s="896"/>
      <c r="O195" s="785"/>
      <c r="P195" s="785"/>
      <c r="Q195" s="785"/>
      <c r="R195" s="785"/>
      <c r="S195" s="785"/>
      <c r="T195" s="785"/>
      <c r="U195" s="785"/>
      <c r="V195" s="785"/>
      <c r="W195" s="785"/>
      <c r="X195" s="785"/>
      <c r="Y195" s="785"/>
      <c r="Z195" s="785"/>
      <c r="AA195" s="785"/>
      <c r="AB195" s="785"/>
      <c r="AC195" s="785"/>
      <c r="AD195" s="785"/>
      <c r="AE195" s="785">
        <v>15306</v>
      </c>
      <c r="AF195" s="785"/>
      <c r="AG195" s="785">
        <v>15465.18</v>
      </c>
      <c r="AH195" s="819">
        <v>15306</v>
      </c>
      <c r="AI195" s="785">
        <v>15465.18</v>
      </c>
      <c r="AJ195" s="785">
        <v>15413</v>
      </c>
      <c r="AK195" s="785">
        <v>15575.39</v>
      </c>
      <c r="AL195" s="785">
        <v>15413</v>
      </c>
      <c r="AM195" s="785">
        <f t="shared" ref="AM195:AQ195" si="106">SUM(AM193:AM194)</f>
        <v>15521.26</v>
      </c>
      <c r="AN195" s="785">
        <f t="shared" si="106"/>
        <v>15413</v>
      </c>
      <c r="AO195" s="785">
        <f t="shared" si="106"/>
        <v>15521.26</v>
      </c>
      <c r="AP195" s="785">
        <f t="shared" si="106"/>
        <v>15413</v>
      </c>
      <c r="AQ195" s="785">
        <f t="shared" si="106"/>
        <v>15521.26</v>
      </c>
      <c r="AR195" s="785">
        <f>SUM(AR193:AR194)</f>
        <v>30413</v>
      </c>
      <c r="AS195" s="820">
        <f t="shared" ref="AS195" si="107">SUM(AS193:AS194)</f>
        <v>30521.260000000002</v>
      </c>
      <c r="AT195" s="819">
        <f>SUM(AT193:AT194)</f>
        <v>32418</v>
      </c>
      <c r="AU195" s="785">
        <f t="shared" si="105"/>
        <v>2005</v>
      </c>
      <c r="AV195" s="2275">
        <f t="shared" si="78"/>
        <v>6.5925755433531713E-2</v>
      </c>
      <c r="AW195" s="789"/>
      <c r="AX195" s="2016"/>
      <c r="AY195" s="2016"/>
      <c r="AZ195" s="2016"/>
      <c r="BA195" s="2016"/>
      <c r="BB195" s="2016"/>
      <c r="BC195" s="2332"/>
    </row>
    <row r="196" spans="1:55" ht="14" hidden="1" customHeight="1" outlineLevel="1" x14ac:dyDescent="0.25">
      <c r="A196" s="929"/>
      <c r="B196" s="930"/>
      <c r="C196" s="930"/>
      <c r="D196" s="930"/>
      <c r="E196" s="951"/>
      <c r="F196" s="930"/>
      <c r="G196" s="930"/>
      <c r="H196" s="951"/>
      <c r="I196" s="951"/>
      <c r="J196" s="933"/>
      <c r="K196" s="942"/>
      <c r="L196" s="982"/>
      <c r="M196" s="983"/>
      <c r="N196" s="983"/>
      <c r="O196" s="942"/>
      <c r="P196" s="942"/>
      <c r="Q196" s="942"/>
      <c r="R196" s="942"/>
      <c r="S196" s="942"/>
      <c r="T196" s="942"/>
      <c r="U196" s="942"/>
      <c r="V196" s="942"/>
      <c r="W196" s="942"/>
      <c r="X196" s="942"/>
      <c r="Y196" s="942"/>
      <c r="Z196" s="942"/>
      <c r="AA196" s="942"/>
      <c r="AB196" s="942"/>
      <c r="AC196" s="942"/>
      <c r="AD196" s="942"/>
      <c r="AE196" s="942"/>
      <c r="AF196" s="942"/>
      <c r="AG196" s="942"/>
      <c r="AH196" s="942"/>
      <c r="AI196" s="942"/>
      <c r="AJ196" s="942"/>
      <c r="AK196" s="942"/>
      <c r="AL196" s="942"/>
      <c r="AM196" s="942"/>
      <c r="AN196" s="942"/>
      <c r="AO196" s="942"/>
      <c r="AP196" s="942"/>
      <c r="AQ196" s="942"/>
      <c r="AR196" s="942"/>
      <c r="AS196" s="939"/>
      <c r="AT196" s="940"/>
      <c r="AU196" s="942" t="str">
        <f t="shared" si="105"/>
        <v/>
      </c>
      <c r="AV196" s="2283" t="str">
        <f t="shared" si="78"/>
        <v/>
      </c>
      <c r="AW196" s="984"/>
      <c r="AX196" s="2016"/>
      <c r="AY196" s="2016"/>
      <c r="AZ196" s="2016"/>
      <c r="BA196" s="2016"/>
      <c r="BB196" s="2016"/>
      <c r="BC196" s="2023"/>
    </row>
    <row r="197" spans="1:55" ht="14" hidden="1" customHeight="1" outlineLevel="1" x14ac:dyDescent="0.25">
      <c r="A197" s="779" t="s">
        <v>491</v>
      </c>
      <c r="B197" s="781"/>
      <c r="C197" s="781"/>
      <c r="D197" s="781"/>
      <c r="E197" s="782"/>
      <c r="F197" s="781"/>
      <c r="G197" s="781"/>
      <c r="H197" s="782"/>
      <c r="I197" s="782"/>
      <c r="J197" s="784"/>
      <c r="K197" s="785"/>
      <c r="L197" s="986"/>
      <c r="M197" s="896"/>
      <c r="N197" s="896"/>
      <c r="O197" s="785"/>
      <c r="P197" s="785"/>
      <c r="Q197" s="785"/>
      <c r="R197" s="785"/>
      <c r="S197" s="785"/>
      <c r="T197" s="785"/>
      <c r="U197" s="785"/>
      <c r="V197" s="785"/>
      <c r="W197" s="785"/>
      <c r="X197" s="785"/>
      <c r="Y197" s="785"/>
      <c r="Z197" s="785"/>
      <c r="AA197" s="785"/>
      <c r="AB197" s="785"/>
      <c r="AC197" s="785"/>
      <c r="AD197" s="785"/>
      <c r="AE197" s="785"/>
      <c r="AF197" s="785"/>
      <c r="AG197" s="785"/>
      <c r="AH197" s="785"/>
      <c r="AI197" s="785"/>
      <c r="AJ197" s="785"/>
      <c r="AK197" s="785"/>
      <c r="AL197" s="785"/>
      <c r="AM197" s="785"/>
      <c r="AN197" s="785"/>
      <c r="AO197" s="785"/>
      <c r="AP197" s="785"/>
      <c r="AQ197" s="785"/>
      <c r="AR197" s="785"/>
      <c r="AS197" s="820"/>
      <c r="AT197" s="819"/>
      <c r="AU197" s="785" t="str">
        <f t="shared" si="105"/>
        <v/>
      </c>
      <c r="AV197" s="2275" t="str">
        <f t="shared" si="78"/>
        <v/>
      </c>
      <c r="AW197" s="789"/>
      <c r="AX197" s="2016"/>
      <c r="AY197" s="2016"/>
      <c r="AZ197" s="2016"/>
      <c r="BA197" s="2016"/>
      <c r="BB197" s="2016"/>
      <c r="BC197" s="2023"/>
    </row>
    <row r="198" spans="1:55" ht="14" hidden="1" customHeight="1" outlineLevel="1" x14ac:dyDescent="0.25">
      <c r="A198" s="779" t="s">
        <v>811</v>
      </c>
      <c r="B198" s="781"/>
      <c r="C198" s="781"/>
      <c r="D198" s="781"/>
      <c r="E198" s="782"/>
      <c r="F198" s="781"/>
      <c r="G198" s="781"/>
      <c r="H198" s="782"/>
      <c r="I198" s="782"/>
      <c r="J198" s="784"/>
      <c r="K198" s="785"/>
      <c r="L198" s="986"/>
      <c r="M198" s="896"/>
      <c r="N198" s="896"/>
      <c r="O198" s="785"/>
      <c r="P198" s="785"/>
      <c r="Q198" s="785"/>
      <c r="R198" s="785"/>
      <c r="S198" s="785"/>
      <c r="T198" s="785"/>
      <c r="U198" s="785"/>
      <c r="V198" s="785"/>
      <c r="W198" s="785"/>
      <c r="X198" s="785"/>
      <c r="Y198" s="785"/>
      <c r="Z198" s="785"/>
      <c r="AA198" s="785"/>
      <c r="AB198" s="785"/>
      <c r="AC198" s="785"/>
      <c r="AD198" s="785"/>
      <c r="AE198" s="785"/>
      <c r="AF198" s="785"/>
      <c r="AG198" s="785">
        <v>429915</v>
      </c>
      <c r="AH198" s="788">
        <v>429915</v>
      </c>
      <c r="AI198" s="810">
        <v>429915</v>
      </c>
      <c r="AJ198" s="810">
        <v>429915</v>
      </c>
      <c r="AK198" s="810">
        <v>429915</v>
      </c>
      <c r="AL198" s="810">
        <v>429915</v>
      </c>
      <c r="AM198" s="810">
        <v>429915</v>
      </c>
      <c r="AN198" s="810">
        <v>429915</v>
      </c>
      <c r="AO198" s="810">
        <v>429915</v>
      </c>
      <c r="AP198" s="810">
        <v>428915</v>
      </c>
      <c r="AQ198" s="810">
        <f>AP198*$AN$6</f>
        <v>428915</v>
      </c>
      <c r="AR198" s="810">
        <v>574500</v>
      </c>
      <c r="AS198" s="1410">
        <f>AR198*$AN$6</f>
        <v>574500</v>
      </c>
      <c r="AT198" s="809">
        <f>'[1]BUDGET DETAIL'!$CX$641+AX198*AY198</f>
        <v>695000</v>
      </c>
      <c r="AU198" s="810">
        <f t="shared" si="105"/>
        <v>120500</v>
      </c>
      <c r="AV198" s="2274">
        <f t="shared" si="78"/>
        <v>0.20974760661444736</v>
      </c>
      <c r="AW198" s="789"/>
      <c r="AX198" s="2016">
        <f>'Vote track budget'!F198</f>
        <v>120500</v>
      </c>
      <c r="AY198" s="2016">
        <v>1</v>
      </c>
      <c r="AZ198" s="2016">
        <f>AX198*AY198</f>
        <v>120500</v>
      </c>
      <c r="BA198" s="2016"/>
      <c r="BB198" s="2016"/>
      <c r="BC198" s="2011" t="s">
        <v>1243</v>
      </c>
    </row>
    <row r="199" spans="1:55" ht="14" hidden="1" customHeight="1" outlineLevel="1" x14ac:dyDescent="0.25">
      <c r="A199" s="842" t="s">
        <v>813</v>
      </c>
      <c r="B199" s="781"/>
      <c r="C199" s="781"/>
      <c r="D199" s="781"/>
      <c r="E199" s="782"/>
      <c r="F199" s="781"/>
      <c r="G199" s="781"/>
      <c r="H199" s="782"/>
      <c r="I199" s="782"/>
      <c r="J199" s="784"/>
      <c r="K199" s="785"/>
      <c r="L199" s="986"/>
      <c r="M199" s="896"/>
      <c r="N199" s="896"/>
      <c r="O199" s="785"/>
      <c r="P199" s="785"/>
      <c r="Q199" s="785"/>
      <c r="R199" s="785"/>
      <c r="S199" s="785"/>
      <c r="T199" s="785"/>
      <c r="U199" s="785"/>
      <c r="V199" s="785"/>
      <c r="W199" s="785"/>
      <c r="X199" s="785"/>
      <c r="Y199" s="785"/>
      <c r="Z199" s="785"/>
      <c r="AA199" s="785"/>
      <c r="AB199" s="785"/>
      <c r="AC199" s="785"/>
      <c r="AD199" s="785"/>
      <c r="AE199" s="785"/>
      <c r="AF199" s="785"/>
      <c r="AG199" s="785">
        <v>429915</v>
      </c>
      <c r="AH199" s="819">
        <v>429915</v>
      </c>
      <c r="AI199" s="785">
        <v>429915</v>
      </c>
      <c r="AJ199" s="785">
        <v>429915</v>
      </c>
      <c r="AK199" s="785">
        <v>429915</v>
      </c>
      <c r="AL199" s="785">
        <v>429915</v>
      </c>
      <c r="AM199" s="785">
        <f t="shared" ref="AM199:AT199" si="108">SUM(AM198)</f>
        <v>429915</v>
      </c>
      <c r="AN199" s="785">
        <f t="shared" si="108"/>
        <v>429915</v>
      </c>
      <c r="AO199" s="785">
        <f t="shared" si="108"/>
        <v>429915</v>
      </c>
      <c r="AP199" s="785">
        <f t="shared" si="108"/>
        <v>428915</v>
      </c>
      <c r="AQ199" s="785">
        <f t="shared" si="108"/>
        <v>428915</v>
      </c>
      <c r="AR199" s="785">
        <f t="shared" si="108"/>
        <v>574500</v>
      </c>
      <c r="AS199" s="820">
        <f t="shared" ref="AS199" si="109">SUM(AS198)</f>
        <v>574500</v>
      </c>
      <c r="AT199" s="819">
        <f t="shared" si="108"/>
        <v>695000</v>
      </c>
      <c r="AU199" s="785">
        <f t="shared" si="105"/>
        <v>120500</v>
      </c>
      <c r="AV199" s="2275">
        <f t="shared" si="78"/>
        <v>0.20974760661444736</v>
      </c>
      <c r="AW199" s="789"/>
      <c r="AX199" s="2016"/>
      <c r="AY199" s="2016"/>
      <c r="AZ199" s="2016"/>
      <c r="BA199" s="2016"/>
      <c r="BB199" s="2016"/>
      <c r="BC199" s="2332"/>
    </row>
    <row r="200" spans="1:55" ht="14" hidden="1" customHeight="1" outlineLevel="1" x14ac:dyDescent="0.25">
      <c r="A200" s="929"/>
      <c r="B200" s="930"/>
      <c r="C200" s="930"/>
      <c r="D200" s="930"/>
      <c r="E200" s="951"/>
      <c r="F200" s="930"/>
      <c r="G200" s="930"/>
      <c r="H200" s="951"/>
      <c r="I200" s="951"/>
      <c r="J200" s="933"/>
      <c r="K200" s="942"/>
      <c r="L200" s="982"/>
      <c r="M200" s="983"/>
      <c r="N200" s="983"/>
      <c r="O200" s="942"/>
      <c r="P200" s="942"/>
      <c r="Q200" s="942"/>
      <c r="R200" s="942"/>
      <c r="S200" s="942"/>
      <c r="T200" s="942"/>
      <c r="U200" s="942"/>
      <c r="V200" s="942"/>
      <c r="W200" s="942"/>
      <c r="X200" s="942"/>
      <c r="Y200" s="942"/>
      <c r="Z200" s="942"/>
      <c r="AA200" s="942"/>
      <c r="AB200" s="942"/>
      <c r="AC200" s="942"/>
      <c r="AD200" s="942"/>
      <c r="AE200" s="942"/>
      <c r="AF200" s="942"/>
      <c r="AG200" s="942"/>
      <c r="AH200" s="942"/>
      <c r="AI200" s="942"/>
      <c r="AJ200" s="942"/>
      <c r="AK200" s="942"/>
      <c r="AL200" s="942"/>
      <c r="AM200" s="942"/>
      <c r="AN200" s="942"/>
      <c r="AO200" s="942"/>
      <c r="AP200" s="942"/>
      <c r="AQ200" s="942"/>
      <c r="AR200" s="942"/>
      <c r="AS200" s="939"/>
      <c r="AT200" s="940"/>
      <c r="AU200" s="942" t="str">
        <f t="shared" si="105"/>
        <v/>
      </c>
      <c r="AV200" s="2283" t="str">
        <f t="shared" si="78"/>
        <v/>
      </c>
      <c r="AW200" s="984"/>
      <c r="AX200" s="2016"/>
      <c r="AY200" s="2016"/>
      <c r="AZ200" s="2016"/>
      <c r="BA200" s="2016"/>
      <c r="BB200" s="2016"/>
      <c r="BC200" s="2023"/>
    </row>
    <row r="201" spans="1:55" ht="14" hidden="1" customHeight="1" outlineLevel="1" x14ac:dyDescent="0.25">
      <c r="A201" s="987" t="s">
        <v>492</v>
      </c>
      <c r="B201" s="781"/>
      <c r="C201" s="781"/>
      <c r="D201" s="781"/>
      <c r="E201" s="782"/>
      <c r="F201" s="781"/>
      <c r="G201" s="781"/>
      <c r="H201" s="782"/>
      <c r="I201" s="782"/>
      <c r="J201" s="784"/>
      <c r="K201" s="785"/>
      <c r="L201" s="986"/>
      <c r="M201" s="896"/>
      <c r="N201" s="896"/>
      <c r="O201" s="785"/>
      <c r="P201" s="785"/>
      <c r="Q201" s="785"/>
      <c r="R201" s="785"/>
      <c r="S201" s="785"/>
      <c r="T201" s="785"/>
      <c r="U201" s="785"/>
      <c r="V201" s="785"/>
      <c r="W201" s="785"/>
      <c r="X201" s="785"/>
      <c r="Y201" s="785"/>
      <c r="Z201" s="785"/>
      <c r="AA201" s="785"/>
      <c r="AB201" s="785"/>
      <c r="AC201" s="785"/>
      <c r="AD201" s="785"/>
      <c r="AE201" s="785"/>
      <c r="AF201" s="785"/>
      <c r="AG201" s="785"/>
      <c r="AH201" s="785"/>
      <c r="AI201" s="785"/>
      <c r="AJ201" s="785"/>
      <c r="AK201" s="785"/>
      <c r="AL201" s="785"/>
      <c r="AM201" s="785"/>
      <c r="AN201" s="785"/>
      <c r="AO201" s="785"/>
      <c r="AP201" s="785"/>
      <c r="AQ201" s="785"/>
      <c r="AR201" s="785"/>
      <c r="AS201" s="820"/>
      <c r="AT201" s="819"/>
      <c r="AU201" s="785" t="str">
        <f t="shared" si="105"/>
        <v/>
      </c>
      <c r="AV201" s="2275" t="str">
        <f t="shared" si="78"/>
        <v/>
      </c>
      <c r="AW201" s="789"/>
      <c r="AX201" s="2016"/>
      <c r="AY201" s="2016"/>
      <c r="AZ201" s="2016"/>
      <c r="BA201" s="2016"/>
      <c r="BB201" s="2016"/>
      <c r="BC201" s="2023"/>
    </row>
    <row r="202" spans="1:55" ht="14" hidden="1" customHeight="1" outlineLevel="1" x14ac:dyDescent="0.25">
      <c r="A202" s="779" t="s">
        <v>551</v>
      </c>
      <c r="B202" s="781"/>
      <c r="C202" s="781"/>
      <c r="D202" s="781"/>
      <c r="E202" s="782"/>
      <c r="F202" s="781"/>
      <c r="G202" s="781"/>
      <c r="H202" s="782"/>
      <c r="I202" s="782"/>
      <c r="J202" s="784"/>
      <c r="K202" s="785"/>
      <c r="L202" s="986"/>
      <c r="M202" s="896"/>
      <c r="N202" s="896"/>
      <c r="O202" s="785"/>
      <c r="P202" s="785"/>
      <c r="Q202" s="785"/>
      <c r="R202" s="785"/>
      <c r="S202" s="785"/>
      <c r="T202" s="785"/>
      <c r="U202" s="785"/>
      <c r="V202" s="785"/>
      <c r="W202" s="785"/>
      <c r="X202" s="785"/>
      <c r="Y202" s="785"/>
      <c r="Z202" s="785"/>
      <c r="AA202" s="785"/>
      <c r="AB202" s="785"/>
      <c r="AC202" s="785"/>
      <c r="AD202" s="785"/>
      <c r="AE202" s="785"/>
      <c r="AF202" s="785"/>
      <c r="AG202" s="785"/>
      <c r="AH202" s="785"/>
      <c r="AI202" s="788"/>
      <c r="AJ202" s="788"/>
      <c r="AK202" s="788"/>
      <c r="AL202" s="788"/>
      <c r="AM202" s="788"/>
      <c r="AN202" s="788"/>
      <c r="AO202" s="788"/>
      <c r="AP202" s="788"/>
      <c r="AQ202" s="788"/>
      <c r="AR202" s="788"/>
      <c r="AS202" s="841"/>
      <c r="AT202" s="891"/>
      <c r="AU202" s="788" t="str">
        <f t="shared" si="105"/>
        <v/>
      </c>
      <c r="AV202" s="2272" t="str">
        <f t="shared" si="78"/>
        <v/>
      </c>
      <c r="AW202" s="789"/>
      <c r="AX202" s="2016"/>
      <c r="AY202" s="2016"/>
      <c r="AZ202" s="2016"/>
      <c r="BA202" s="2016"/>
      <c r="BB202" s="2016"/>
      <c r="BC202" s="2023"/>
    </row>
    <row r="203" spans="1:55" ht="14" hidden="1" customHeight="1" outlineLevel="1" x14ac:dyDescent="0.25">
      <c r="A203" s="779" t="s">
        <v>812</v>
      </c>
      <c r="B203" s="781"/>
      <c r="C203" s="781"/>
      <c r="D203" s="781"/>
      <c r="E203" s="782"/>
      <c r="F203" s="781"/>
      <c r="G203" s="781"/>
      <c r="H203" s="782"/>
      <c r="I203" s="782"/>
      <c r="J203" s="784"/>
      <c r="K203" s="785"/>
      <c r="L203" s="986"/>
      <c r="M203" s="896"/>
      <c r="N203" s="896"/>
      <c r="O203" s="785"/>
      <c r="P203" s="785"/>
      <c r="Q203" s="785"/>
      <c r="R203" s="785"/>
      <c r="S203" s="785"/>
      <c r="T203" s="785"/>
      <c r="U203" s="785"/>
      <c r="V203" s="785"/>
      <c r="W203" s="785"/>
      <c r="X203" s="785"/>
      <c r="Y203" s="785"/>
      <c r="Z203" s="785"/>
      <c r="AA203" s="785"/>
      <c r="AB203" s="785"/>
      <c r="AC203" s="785"/>
      <c r="AD203" s="785"/>
      <c r="AE203" s="785"/>
      <c r="AF203" s="785"/>
      <c r="AG203" s="785">
        <v>1699.5</v>
      </c>
      <c r="AH203" s="788">
        <v>1650</v>
      </c>
      <c r="AI203" s="810">
        <v>1650</v>
      </c>
      <c r="AJ203" s="810">
        <v>1650</v>
      </c>
      <c r="AK203" s="810">
        <v>1650</v>
      </c>
      <c r="AL203" s="810">
        <v>1650</v>
      </c>
      <c r="AM203" s="810">
        <v>1650</v>
      </c>
      <c r="AN203" s="810">
        <v>1650</v>
      </c>
      <c r="AO203" s="810">
        <v>1650</v>
      </c>
      <c r="AP203" s="810">
        <v>1650</v>
      </c>
      <c r="AQ203" s="810">
        <v>1650</v>
      </c>
      <c r="AR203" s="810">
        <v>1650</v>
      </c>
      <c r="AS203" s="1410">
        <v>1650</v>
      </c>
      <c r="AT203" s="809">
        <f>'[1]BUDGET DETAIL'!$CX$648</f>
        <v>1650</v>
      </c>
      <c r="AU203" s="810">
        <f t="shared" si="105"/>
        <v>0</v>
      </c>
      <c r="AV203" s="2274">
        <f t="shared" si="78"/>
        <v>0</v>
      </c>
      <c r="AW203" s="789"/>
      <c r="AX203" s="2016"/>
      <c r="AY203" s="2016"/>
      <c r="AZ203" s="2016"/>
      <c r="BA203" s="2016"/>
      <c r="BB203" s="2016"/>
      <c r="BC203" s="2023"/>
    </row>
    <row r="204" spans="1:55" ht="14" hidden="1" customHeight="1" outlineLevel="1" x14ac:dyDescent="0.25">
      <c r="A204" s="842" t="s">
        <v>813</v>
      </c>
      <c r="B204" s="781"/>
      <c r="C204" s="781"/>
      <c r="D204" s="781"/>
      <c r="E204" s="782"/>
      <c r="F204" s="781"/>
      <c r="G204" s="781"/>
      <c r="H204" s="782"/>
      <c r="I204" s="782"/>
      <c r="J204" s="784"/>
      <c r="K204" s="785"/>
      <c r="L204" s="986"/>
      <c r="M204" s="896"/>
      <c r="N204" s="896"/>
      <c r="O204" s="785"/>
      <c r="P204" s="785"/>
      <c r="Q204" s="785"/>
      <c r="R204" s="785"/>
      <c r="S204" s="785"/>
      <c r="T204" s="785"/>
      <c r="U204" s="785"/>
      <c r="V204" s="785"/>
      <c r="W204" s="785"/>
      <c r="X204" s="785"/>
      <c r="Y204" s="785"/>
      <c r="Z204" s="785"/>
      <c r="AA204" s="785"/>
      <c r="AB204" s="785"/>
      <c r="AC204" s="785"/>
      <c r="AD204" s="785"/>
      <c r="AE204" s="785"/>
      <c r="AF204" s="785"/>
      <c r="AG204" s="785">
        <v>1699.5</v>
      </c>
      <c r="AH204" s="819">
        <v>1650</v>
      </c>
      <c r="AI204" s="785">
        <v>1650</v>
      </c>
      <c r="AJ204" s="785">
        <v>1650</v>
      </c>
      <c r="AK204" s="785">
        <v>1650</v>
      </c>
      <c r="AL204" s="785">
        <v>1650</v>
      </c>
      <c r="AM204" s="785">
        <f>SUM(AM203)</f>
        <v>1650</v>
      </c>
      <c r="AN204" s="785"/>
      <c r="AO204" s="785">
        <f t="shared" ref="AO204:AT204" si="110">SUM(AO203)</f>
        <v>1650</v>
      </c>
      <c r="AP204" s="785">
        <f t="shared" si="110"/>
        <v>1650</v>
      </c>
      <c r="AQ204" s="785">
        <f t="shared" si="110"/>
        <v>1650</v>
      </c>
      <c r="AR204" s="785">
        <f t="shared" si="110"/>
        <v>1650</v>
      </c>
      <c r="AS204" s="820">
        <f t="shared" si="110"/>
        <v>1650</v>
      </c>
      <c r="AT204" s="819">
        <f t="shared" si="110"/>
        <v>1650</v>
      </c>
      <c r="AU204" s="785">
        <f t="shared" si="105"/>
        <v>0</v>
      </c>
      <c r="AV204" s="2275">
        <f t="shared" si="78"/>
        <v>0</v>
      </c>
      <c r="AW204" s="789"/>
      <c r="AX204" s="2016"/>
      <c r="AY204" s="2016"/>
      <c r="AZ204" s="2016"/>
      <c r="BA204" s="2016"/>
      <c r="BB204" s="2016"/>
      <c r="BC204" s="2332"/>
    </row>
    <row r="205" spans="1:55" ht="14" hidden="1" customHeight="1" outlineLevel="1" x14ac:dyDescent="0.25">
      <c r="A205" s="821"/>
      <c r="B205" s="930"/>
      <c r="C205" s="930"/>
      <c r="D205" s="930"/>
      <c r="E205" s="951"/>
      <c r="F205" s="930"/>
      <c r="G205" s="930"/>
      <c r="H205" s="951"/>
      <c r="I205" s="951"/>
      <c r="J205" s="933"/>
      <c r="K205" s="942"/>
      <c r="L205" s="982"/>
      <c r="M205" s="983"/>
      <c r="N205" s="983"/>
      <c r="O205" s="942"/>
      <c r="P205" s="942"/>
      <c r="Q205" s="942"/>
      <c r="R205" s="942"/>
      <c r="S205" s="942"/>
      <c r="T205" s="942"/>
      <c r="U205" s="942"/>
      <c r="V205" s="942"/>
      <c r="W205" s="942"/>
      <c r="X205" s="942"/>
      <c r="Y205" s="942"/>
      <c r="Z205" s="942"/>
      <c r="AA205" s="942"/>
      <c r="AB205" s="942"/>
      <c r="AC205" s="942"/>
      <c r="AD205" s="942"/>
      <c r="AE205" s="942"/>
      <c r="AF205" s="942"/>
      <c r="AG205" s="942"/>
      <c r="AH205" s="942"/>
      <c r="AI205" s="942"/>
      <c r="AJ205" s="942"/>
      <c r="AK205" s="942"/>
      <c r="AL205" s="942"/>
      <c r="AM205" s="942"/>
      <c r="AN205" s="942"/>
      <c r="AO205" s="942"/>
      <c r="AP205" s="942"/>
      <c r="AQ205" s="942"/>
      <c r="AR205" s="942"/>
      <c r="AS205" s="939"/>
      <c r="AT205" s="940"/>
      <c r="AU205" s="942" t="str">
        <f t="shared" si="105"/>
        <v/>
      </c>
      <c r="AV205" s="2283" t="str">
        <f t="shared" si="78"/>
        <v/>
      </c>
      <c r="AW205" s="984"/>
      <c r="AX205" s="2016"/>
      <c r="AY205" s="2016"/>
      <c r="AZ205" s="2016"/>
      <c r="BA205" s="2016"/>
      <c r="BB205" s="2016"/>
      <c r="BC205" s="2023"/>
    </row>
    <row r="206" spans="1:55" ht="14" hidden="1" customHeight="1" outlineLevel="1" x14ac:dyDescent="0.25">
      <c r="A206" s="1436" t="s">
        <v>1089</v>
      </c>
      <c r="B206" s="781"/>
      <c r="C206" s="781"/>
      <c r="D206" s="781"/>
      <c r="E206" s="782"/>
      <c r="F206" s="781"/>
      <c r="G206" s="781"/>
      <c r="H206" s="782"/>
      <c r="I206" s="782"/>
      <c r="J206" s="784"/>
      <c r="K206" s="785"/>
      <c r="L206" s="986"/>
      <c r="M206" s="896"/>
      <c r="N206" s="896"/>
      <c r="O206" s="785"/>
      <c r="P206" s="785"/>
      <c r="Q206" s="785"/>
      <c r="R206" s="785"/>
      <c r="S206" s="785"/>
      <c r="T206" s="785"/>
      <c r="U206" s="785"/>
      <c r="V206" s="785"/>
      <c r="W206" s="785"/>
      <c r="X206" s="785"/>
      <c r="Y206" s="785"/>
      <c r="Z206" s="785"/>
      <c r="AA206" s="785"/>
      <c r="AB206" s="785"/>
      <c r="AC206" s="785"/>
      <c r="AD206" s="785"/>
      <c r="AE206" s="785"/>
      <c r="AF206" s="785"/>
      <c r="AG206" s="785"/>
      <c r="AH206" s="785"/>
      <c r="AI206" s="785"/>
      <c r="AJ206" s="785"/>
      <c r="AK206" s="785"/>
      <c r="AL206" s="785"/>
      <c r="AM206" s="785"/>
      <c r="AN206" s="785"/>
      <c r="AO206" s="785"/>
      <c r="AP206" s="785"/>
      <c r="AQ206" s="785"/>
      <c r="AR206" s="785"/>
      <c r="AS206" s="820"/>
      <c r="AT206" s="819"/>
      <c r="AU206" s="785" t="str">
        <f t="shared" si="105"/>
        <v/>
      </c>
      <c r="AV206" s="2275" t="str">
        <f t="shared" si="78"/>
        <v/>
      </c>
      <c r="AW206" s="789"/>
      <c r="AX206" s="2016"/>
      <c r="AY206" s="2016"/>
      <c r="AZ206" s="2016"/>
      <c r="BA206" s="2016"/>
      <c r="BB206" s="2016"/>
      <c r="BC206" s="2019" t="s">
        <v>1220</v>
      </c>
    </row>
    <row r="207" spans="1:55" ht="14" hidden="1" customHeight="1" outlineLevel="1" x14ac:dyDescent="0.25">
      <c r="A207" s="779"/>
      <c r="B207" s="781"/>
      <c r="C207" s="781"/>
      <c r="D207" s="781"/>
      <c r="E207" s="782"/>
      <c r="F207" s="781"/>
      <c r="G207" s="781"/>
      <c r="H207" s="782"/>
      <c r="I207" s="782"/>
      <c r="J207" s="784"/>
      <c r="K207" s="785"/>
      <c r="L207" s="986"/>
      <c r="M207" s="896"/>
      <c r="N207" s="896"/>
      <c r="O207" s="785"/>
      <c r="P207" s="785"/>
      <c r="Q207" s="785"/>
      <c r="R207" s="785"/>
      <c r="S207" s="785"/>
      <c r="T207" s="785"/>
      <c r="U207" s="785"/>
      <c r="V207" s="785"/>
      <c r="W207" s="785"/>
      <c r="X207" s="785"/>
      <c r="Y207" s="785"/>
      <c r="Z207" s="785"/>
      <c r="AA207" s="785"/>
      <c r="AB207" s="785"/>
      <c r="AC207" s="785"/>
      <c r="AD207" s="785"/>
      <c r="AE207" s="785"/>
      <c r="AF207" s="785"/>
      <c r="AG207" s="785"/>
      <c r="AH207" s="785"/>
      <c r="AI207" s="785"/>
      <c r="AJ207" s="785"/>
      <c r="AK207" s="785"/>
      <c r="AL207" s="785"/>
      <c r="AM207" s="785"/>
      <c r="AN207" s="785"/>
      <c r="AO207" s="785"/>
      <c r="AP207" s="785"/>
      <c r="AQ207" s="785"/>
      <c r="AR207" s="785"/>
      <c r="AS207" s="820"/>
      <c r="AT207" s="819"/>
      <c r="AU207" s="785" t="str">
        <f t="shared" si="105"/>
        <v/>
      </c>
      <c r="AV207" s="2275" t="str">
        <f t="shared" ref="AV207:AV270" si="111">IF(AR207&gt;0,AU207/AR207,"")</f>
        <v/>
      </c>
      <c r="AW207" s="789"/>
      <c r="AX207" s="2016"/>
      <c r="AY207" s="2016"/>
      <c r="AZ207" s="2016"/>
      <c r="BA207" s="2016"/>
      <c r="BB207" s="2016"/>
      <c r="BC207" s="2023"/>
    </row>
    <row r="208" spans="1:55" ht="14" hidden="1" customHeight="1" outlineLevel="1" x14ac:dyDescent="0.25">
      <c r="A208" s="1436" t="s">
        <v>1090</v>
      </c>
      <c r="B208" s="781"/>
      <c r="C208" s="781"/>
      <c r="D208" s="781"/>
      <c r="E208" s="782"/>
      <c r="F208" s="781"/>
      <c r="G208" s="781"/>
      <c r="H208" s="782"/>
      <c r="I208" s="782"/>
      <c r="J208" s="784"/>
      <c r="K208" s="785"/>
      <c r="L208" s="986"/>
      <c r="M208" s="896"/>
      <c r="N208" s="896"/>
      <c r="O208" s="785"/>
      <c r="P208" s="785"/>
      <c r="Q208" s="785"/>
      <c r="R208" s="785"/>
      <c r="S208" s="785"/>
      <c r="T208" s="785"/>
      <c r="U208" s="785"/>
      <c r="V208" s="785"/>
      <c r="W208" s="785"/>
      <c r="X208" s="785"/>
      <c r="Y208" s="785"/>
      <c r="Z208" s="785"/>
      <c r="AA208" s="785"/>
      <c r="AB208" s="785"/>
      <c r="AC208" s="785"/>
      <c r="AD208" s="785"/>
      <c r="AE208" s="785"/>
      <c r="AF208" s="785"/>
      <c r="AG208" s="785"/>
      <c r="AH208" s="785"/>
      <c r="AI208" s="785"/>
      <c r="AJ208" s="785"/>
      <c r="AK208" s="785"/>
      <c r="AL208" s="785"/>
      <c r="AM208" s="785"/>
      <c r="AN208" s="785"/>
      <c r="AO208" s="785"/>
      <c r="AP208" s="785"/>
      <c r="AQ208" s="785"/>
      <c r="AR208" s="788">
        <v>65000</v>
      </c>
      <c r="AS208" s="841">
        <v>65000</v>
      </c>
      <c r="AT208" s="891">
        <f>'[1]BUDGET DETAIL'!$CX$655+AX208*AY208</f>
        <v>65000</v>
      </c>
      <c r="AU208" s="788">
        <f t="shared" si="105"/>
        <v>0</v>
      </c>
      <c r="AV208" s="2272">
        <f t="shared" si="111"/>
        <v>0</v>
      </c>
      <c r="AW208" s="789"/>
      <c r="AX208" s="2016">
        <f>'Vote track budget'!F208</f>
        <v>0</v>
      </c>
      <c r="AY208" s="2016">
        <v>1</v>
      </c>
      <c r="AZ208" s="2016">
        <f>AX208*AY208</f>
        <v>0</v>
      </c>
      <c r="BA208" s="2016"/>
      <c r="BB208" s="2016"/>
      <c r="BC208" s="2011" t="s">
        <v>1243</v>
      </c>
    </row>
    <row r="209" spans="1:55" ht="14" hidden="1" customHeight="1" outlineLevel="1" x14ac:dyDescent="0.25">
      <c r="A209" s="842" t="s">
        <v>813</v>
      </c>
      <c r="B209" s="781"/>
      <c r="C209" s="781"/>
      <c r="D209" s="781"/>
      <c r="E209" s="782"/>
      <c r="F209" s="781"/>
      <c r="G209" s="781"/>
      <c r="H209" s="782"/>
      <c r="I209" s="782"/>
      <c r="J209" s="784"/>
      <c r="K209" s="785"/>
      <c r="L209" s="986"/>
      <c r="M209" s="896"/>
      <c r="N209" s="896"/>
      <c r="O209" s="785"/>
      <c r="P209" s="785"/>
      <c r="Q209" s="785"/>
      <c r="R209" s="785"/>
      <c r="S209" s="785"/>
      <c r="T209" s="785"/>
      <c r="U209" s="785"/>
      <c r="V209" s="785"/>
      <c r="W209" s="785"/>
      <c r="X209" s="785"/>
      <c r="Y209" s="785"/>
      <c r="Z209" s="785"/>
      <c r="AA209" s="785"/>
      <c r="AB209" s="785"/>
      <c r="AC209" s="785"/>
      <c r="AD209" s="785"/>
      <c r="AE209" s="785"/>
      <c r="AF209" s="785"/>
      <c r="AG209" s="785"/>
      <c r="AH209" s="785"/>
      <c r="AI209" s="785"/>
      <c r="AJ209" s="785"/>
      <c r="AK209" s="785"/>
      <c r="AL209" s="785"/>
      <c r="AM209" s="785"/>
      <c r="AN209" s="785"/>
      <c r="AO209" s="785"/>
      <c r="AP209" s="785"/>
      <c r="AQ209" s="785"/>
      <c r="AR209" s="785">
        <f>SUM(AR208)</f>
        <v>65000</v>
      </c>
      <c r="AS209" s="820">
        <f>SUM(AS208)</f>
        <v>65000</v>
      </c>
      <c r="AT209" s="819">
        <f>SUM(AT208)</f>
        <v>65000</v>
      </c>
      <c r="AU209" s="785">
        <f t="shared" si="105"/>
        <v>0</v>
      </c>
      <c r="AV209" s="2275">
        <f t="shared" si="111"/>
        <v>0</v>
      </c>
      <c r="AW209" s="789"/>
      <c r="AX209" s="2016"/>
      <c r="AY209" s="2016"/>
      <c r="AZ209" s="2016"/>
      <c r="BA209" s="2016"/>
      <c r="BB209" s="2016"/>
      <c r="BC209" s="2332"/>
    </row>
    <row r="210" spans="1:55" ht="14" hidden="1" customHeight="1" outlineLevel="1" x14ac:dyDescent="0.25">
      <c r="A210" s="779"/>
      <c r="B210" s="781"/>
      <c r="C210" s="781"/>
      <c r="D210" s="781"/>
      <c r="E210" s="782"/>
      <c r="F210" s="781"/>
      <c r="G210" s="781"/>
      <c r="H210" s="782"/>
      <c r="I210" s="782"/>
      <c r="J210" s="784"/>
      <c r="K210" s="785"/>
      <c r="L210" s="986"/>
      <c r="M210" s="896"/>
      <c r="N210" s="896"/>
      <c r="O210" s="785"/>
      <c r="P210" s="785"/>
      <c r="Q210" s="785"/>
      <c r="R210" s="785"/>
      <c r="S210" s="785"/>
      <c r="T210" s="785"/>
      <c r="U210" s="785"/>
      <c r="V210" s="785"/>
      <c r="W210" s="785"/>
      <c r="X210" s="785"/>
      <c r="Y210" s="785"/>
      <c r="Z210" s="785"/>
      <c r="AA210" s="785"/>
      <c r="AB210" s="785"/>
      <c r="AC210" s="785"/>
      <c r="AD210" s="785"/>
      <c r="AE210" s="785"/>
      <c r="AF210" s="785"/>
      <c r="AG210" s="785"/>
      <c r="AH210" s="785"/>
      <c r="AI210" s="785"/>
      <c r="AJ210" s="785"/>
      <c r="AK210" s="785"/>
      <c r="AL210" s="785"/>
      <c r="AM210" s="785"/>
      <c r="AN210" s="785"/>
      <c r="AO210" s="785"/>
      <c r="AP210" s="785"/>
      <c r="AQ210" s="785"/>
      <c r="AR210" s="785"/>
      <c r="AS210" s="820"/>
      <c r="AT210" s="819"/>
      <c r="AU210" s="785" t="str">
        <f t="shared" si="105"/>
        <v/>
      </c>
      <c r="AV210" s="2275" t="str">
        <f t="shared" si="111"/>
        <v/>
      </c>
      <c r="AW210" s="789"/>
      <c r="AX210" s="2016"/>
      <c r="AY210" s="2016"/>
      <c r="AZ210" s="2016"/>
      <c r="BA210" s="2016"/>
      <c r="BB210" s="2016"/>
      <c r="BC210" s="2019"/>
    </row>
    <row r="211" spans="1:55" ht="14" hidden="1" customHeight="1" outlineLevel="1" x14ac:dyDescent="0.25">
      <c r="A211" s="987" t="s">
        <v>149</v>
      </c>
      <c r="B211" s="1103"/>
      <c r="C211" s="1103"/>
      <c r="D211" s="1103"/>
      <c r="E211" s="1429"/>
      <c r="F211" s="1103"/>
      <c r="G211" s="1103"/>
      <c r="H211" s="1429"/>
      <c r="I211" s="1429"/>
      <c r="J211" s="1430"/>
      <c r="K211" s="1431"/>
      <c r="L211" s="1432"/>
      <c r="M211" s="1433"/>
      <c r="N211" s="1433"/>
      <c r="O211" s="1431"/>
      <c r="P211" s="1431"/>
      <c r="Q211" s="1431"/>
      <c r="R211" s="1431"/>
      <c r="S211" s="1431"/>
      <c r="T211" s="1431"/>
      <c r="U211" s="1431"/>
      <c r="V211" s="1431"/>
      <c r="W211" s="1431"/>
      <c r="X211" s="1431"/>
      <c r="Y211" s="1431"/>
      <c r="Z211" s="1431"/>
      <c r="AA211" s="1431"/>
      <c r="AB211" s="1431"/>
      <c r="AC211" s="1431"/>
      <c r="AD211" s="1431"/>
      <c r="AE211" s="1431"/>
      <c r="AF211" s="1431"/>
      <c r="AG211" s="1431"/>
      <c r="AH211" s="1431"/>
      <c r="AI211" s="1431"/>
      <c r="AJ211" s="1431"/>
      <c r="AK211" s="1431"/>
      <c r="AL211" s="1431"/>
      <c r="AM211" s="1431"/>
      <c r="AN211" s="1431"/>
      <c r="AO211" s="1431"/>
      <c r="AP211" s="1431"/>
      <c r="AQ211" s="1431"/>
      <c r="AR211" s="1431"/>
      <c r="AS211" s="1635"/>
      <c r="AT211" s="2354"/>
      <c r="AU211" s="1431" t="str">
        <f t="shared" si="105"/>
        <v/>
      </c>
      <c r="AV211" s="2289" t="str">
        <f t="shared" si="111"/>
        <v/>
      </c>
      <c r="AW211" s="1434"/>
      <c r="AX211" s="2016"/>
      <c r="AY211" s="2016"/>
      <c r="AZ211" s="2016"/>
      <c r="BA211" s="2016"/>
      <c r="BB211" s="2016"/>
      <c r="BC211" s="2023"/>
    </row>
    <row r="212" spans="1:55" ht="14" hidden="1" customHeight="1" outlineLevel="1" x14ac:dyDescent="0.25">
      <c r="A212" s="779" t="s">
        <v>677</v>
      </c>
      <c r="B212" s="781"/>
      <c r="C212" s="781"/>
      <c r="D212" s="781"/>
      <c r="E212" s="782"/>
      <c r="F212" s="781"/>
      <c r="G212" s="781"/>
      <c r="H212" s="782"/>
      <c r="I212" s="782"/>
      <c r="J212" s="784"/>
      <c r="K212" s="785"/>
      <c r="L212" s="986"/>
      <c r="M212" s="896"/>
      <c r="N212" s="896"/>
      <c r="O212" s="785"/>
      <c r="P212" s="785"/>
      <c r="Q212" s="785"/>
      <c r="R212" s="785"/>
      <c r="S212" s="785"/>
      <c r="T212" s="785"/>
      <c r="U212" s="785"/>
      <c r="V212" s="785"/>
      <c r="W212" s="785"/>
      <c r="X212" s="785"/>
      <c r="Y212" s="785"/>
      <c r="Z212" s="785"/>
      <c r="AA212" s="785"/>
      <c r="AB212" s="785"/>
      <c r="AC212" s="785"/>
      <c r="AD212" s="785"/>
      <c r="AE212" s="785"/>
      <c r="AF212" s="785"/>
      <c r="AG212" s="785">
        <v>88858.1</v>
      </c>
      <c r="AH212" s="788">
        <v>88050</v>
      </c>
      <c r="AI212" s="810">
        <v>90691.5</v>
      </c>
      <c r="AJ212" s="810">
        <v>92885</v>
      </c>
      <c r="AK212" s="810">
        <v>95671.55</v>
      </c>
      <c r="AL212" s="810">
        <v>95042</v>
      </c>
      <c r="AM212" s="810">
        <f>AL212*$AH$3</f>
        <v>96942.84</v>
      </c>
      <c r="AN212" s="810">
        <v>43439</v>
      </c>
      <c r="AO212" s="810">
        <v>44524.974999999999</v>
      </c>
      <c r="AP212" s="810">
        <v>44708</v>
      </c>
      <c r="AQ212" s="810">
        <f>AP212*$AH$3</f>
        <v>45602.16</v>
      </c>
      <c r="AR212" s="810">
        <v>46618</v>
      </c>
      <c r="AS212" s="1410">
        <f>AR212*$AH$3</f>
        <v>47550.36</v>
      </c>
      <c r="AT212" s="809">
        <f>'[1]BUDGET DETAIL'!$CX$662</f>
        <v>47723</v>
      </c>
      <c r="AU212" s="810">
        <f t="shared" si="105"/>
        <v>1105</v>
      </c>
      <c r="AV212" s="2274">
        <f t="shared" si="111"/>
        <v>2.3703290574456217E-2</v>
      </c>
      <c r="AW212" s="789"/>
      <c r="AX212" s="2016"/>
      <c r="AY212" s="2016"/>
      <c r="AZ212" s="2016"/>
      <c r="BA212" s="2016"/>
      <c r="BB212" s="2016"/>
      <c r="BC212" s="2023"/>
    </row>
    <row r="213" spans="1:55" ht="14" hidden="1" customHeight="1" outlineLevel="1" x14ac:dyDescent="0.25">
      <c r="A213" s="1436" t="s">
        <v>551</v>
      </c>
      <c r="B213" s="781"/>
      <c r="C213" s="781"/>
      <c r="D213" s="781"/>
      <c r="E213" s="782"/>
      <c r="F213" s="781"/>
      <c r="G213" s="781"/>
      <c r="H213" s="782"/>
      <c r="I213" s="782"/>
      <c r="J213" s="784"/>
      <c r="K213" s="785"/>
      <c r="L213" s="986"/>
      <c r="M213" s="896"/>
      <c r="N213" s="896"/>
      <c r="O213" s="785"/>
      <c r="P213" s="785"/>
      <c r="Q213" s="785"/>
      <c r="R213" s="785"/>
      <c r="S213" s="785"/>
      <c r="T213" s="785"/>
      <c r="U213" s="785"/>
      <c r="V213" s="785"/>
      <c r="W213" s="785"/>
      <c r="X213" s="785"/>
      <c r="Y213" s="785"/>
      <c r="Z213" s="785"/>
      <c r="AA213" s="785"/>
      <c r="AB213" s="785"/>
      <c r="AC213" s="785"/>
      <c r="AD213" s="785"/>
      <c r="AE213" s="785"/>
      <c r="AF213" s="785"/>
      <c r="AG213" s="785">
        <v>153227.95000000001</v>
      </c>
      <c r="AH213" s="788">
        <v>150389</v>
      </c>
      <c r="AI213" s="810">
        <v>154900.67000000001</v>
      </c>
      <c r="AJ213" s="810">
        <v>162184</v>
      </c>
      <c r="AK213" s="810">
        <v>167049.52000000002</v>
      </c>
      <c r="AL213" s="810">
        <v>168862</v>
      </c>
      <c r="AM213" s="810">
        <f>AL213*$AK$5</f>
        <v>172239.24</v>
      </c>
      <c r="AN213" s="810">
        <v>182602</v>
      </c>
      <c r="AO213" s="810">
        <v>186254.04</v>
      </c>
      <c r="AP213" s="810">
        <v>190277</v>
      </c>
      <c r="AQ213" s="810">
        <f>AP213*$AK$5</f>
        <v>194082.54</v>
      </c>
      <c r="AR213" s="810">
        <v>192906</v>
      </c>
      <c r="AS213" s="1410">
        <f>AR213*$AK$5</f>
        <v>196764.12</v>
      </c>
      <c r="AT213" s="809">
        <f>'[1]BUDGET DETAIL'!$CX$673</f>
        <v>194394</v>
      </c>
      <c r="AU213" s="810">
        <f t="shared" si="105"/>
        <v>1488</v>
      </c>
      <c r="AV213" s="2274">
        <f t="shared" si="111"/>
        <v>7.713601443189947E-3</v>
      </c>
      <c r="AW213" s="789"/>
      <c r="AX213" s="2016"/>
      <c r="AY213" s="2122"/>
      <c r="AZ213" s="2122"/>
      <c r="BA213" s="2122"/>
      <c r="BB213" s="2122"/>
      <c r="BC213" s="2239"/>
    </row>
    <row r="214" spans="1:55" ht="14" hidden="1" customHeight="1" outlineLevel="1" x14ac:dyDescent="0.25">
      <c r="A214" s="779" t="s">
        <v>812</v>
      </c>
      <c r="B214" s="781"/>
      <c r="C214" s="781"/>
      <c r="D214" s="781"/>
      <c r="E214" s="782"/>
      <c r="F214" s="781"/>
      <c r="G214" s="781"/>
      <c r="H214" s="782"/>
      <c r="I214" s="782"/>
      <c r="J214" s="784"/>
      <c r="K214" s="785"/>
      <c r="L214" s="986"/>
      <c r="M214" s="896"/>
      <c r="N214" s="896"/>
      <c r="O214" s="785"/>
      <c r="P214" s="785"/>
      <c r="Q214" s="785"/>
      <c r="R214" s="785"/>
      <c r="S214" s="785"/>
      <c r="T214" s="785"/>
      <c r="U214" s="785"/>
      <c r="V214" s="785"/>
      <c r="W214" s="785"/>
      <c r="X214" s="785"/>
      <c r="Y214" s="785"/>
      <c r="Z214" s="785"/>
      <c r="AA214" s="785"/>
      <c r="AB214" s="785"/>
      <c r="AC214" s="785"/>
      <c r="AD214" s="785"/>
      <c r="AE214" s="785"/>
      <c r="AF214" s="785"/>
      <c r="AG214" s="785">
        <v>55700</v>
      </c>
      <c r="AH214" s="788">
        <v>57700</v>
      </c>
      <c r="AI214" s="810">
        <v>57700</v>
      </c>
      <c r="AJ214" s="810">
        <v>54770</v>
      </c>
      <c r="AK214" s="810">
        <v>54770</v>
      </c>
      <c r="AL214" s="810">
        <v>54770</v>
      </c>
      <c r="AM214" s="810">
        <f>AL214*$AH$4</f>
        <v>54770</v>
      </c>
      <c r="AN214" s="810">
        <v>54170</v>
      </c>
      <c r="AO214" s="810">
        <v>54170</v>
      </c>
      <c r="AP214" s="810">
        <v>103670</v>
      </c>
      <c r="AQ214" s="810">
        <f>AP214*$AH$4</f>
        <v>103670</v>
      </c>
      <c r="AR214" s="810">
        <v>101970</v>
      </c>
      <c r="AS214" s="1410">
        <f>AR214*$AH$4</f>
        <v>101970</v>
      </c>
      <c r="AT214" s="809">
        <f>'[1]BUDGET DETAIL'!$CX$705</f>
        <v>105970</v>
      </c>
      <c r="AU214" s="810">
        <f t="shared" si="105"/>
        <v>4000</v>
      </c>
      <c r="AV214" s="2274">
        <f t="shared" si="111"/>
        <v>3.9227223693243107E-2</v>
      </c>
      <c r="AW214" s="789"/>
      <c r="AX214" s="2016"/>
      <c r="AY214" s="2016"/>
      <c r="AZ214" s="2016"/>
      <c r="BA214" s="2016"/>
      <c r="BB214" s="2016"/>
      <c r="BC214" s="2023"/>
    </row>
    <row r="215" spans="1:55" ht="14" hidden="1" customHeight="1" outlineLevel="1" x14ac:dyDescent="0.25">
      <c r="A215" s="779" t="s">
        <v>93</v>
      </c>
      <c r="B215" s="781"/>
      <c r="C215" s="781"/>
      <c r="D215" s="781"/>
      <c r="E215" s="782"/>
      <c r="F215" s="781"/>
      <c r="G215" s="781"/>
      <c r="H215" s="782"/>
      <c r="I215" s="782"/>
      <c r="J215" s="784"/>
      <c r="K215" s="785"/>
      <c r="L215" s="986"/>
      <c r="M215" s="896"/>
      <c r="N215" s="896"/>
      <c r="O215" s="785"/>
      <c r="P215" s="785"/>
      <c r="Q215" s="785"/>
      <c r="R215" s="785"/>
      <c r="S215" s="785"/>
      <c r="T215" s="785"/>
      <c r="U215" s="785"/>
      <c r="V215" s="785"/>
      <c r="W215" s="785"/>
      <c r="X215" s="785"/>
      <c r="Y215" s="785"/>
      <c r="Z215" s="785"/>
      <c r="AA215" s="785"/>
      <c r="AB215" s="785"/>
      <c r="AC215" s="785"/>
      <c r="AD215" s="785"/>
      <c r="AE215" s="785"/>
      <c r="AF215" s="785"/>
      <c r="AG215" s="785"/>
      <c r="AH215" s="785"/>
      <c r="AI215" s="788"/>
      <c r="AJ215" s="788"/>
      <c r="AK215" s="788"/>
      <c r="AL215" s="788"/>
      <c r="AM215" s="788"/>
      <c r="AN215" s="788"/>
      <c r="AO215" s="788"/>
      <c r="AP215" s="788"/>
      <c r="AQ215" s="788"/>
      <c r="AR215" s="788"/>
      <c r="AS215" s="841"/>
      <c r="AT215" s="891"/>
      <c r="AU215" s="788" t="str">
        <f t="shared" si="105"/>
        <v/>
      </c>
      <c r="AV215" s="2272" t="str">
        <f t="shared" si="111"/>
        <v/>
      </c>
      <c r="AW215" s="789"/>
      <c r="AX215" s="2016"/>
      <c r="AY215" s="2016"/>
      <c r="AZ215" s="2016"/>
      <c r="BA215" s="2016"/>
      <c r="BB215" s="2016"/>
      <c r="BC215" s="2023"/>
    </row>
    <row r="216" spans="1:55" ht="14" hidden="1" customHeight="1" outlineLevel="1" x14ac:dyDescent="0.25">
      <c r="A216" s="779" t="s">
        <v>622</v>
      </c>
      <c r="B216" s="781"/>
      <c r="C216" s="781"/>
      <c r="D216" s="781"/>
      <c r="E216" s="782"/>
      <c r="F216" s="781"/>
      <c r="G216" s="781"/>
      <c r="H216" s="782"/>
      <c r="I216" s="782"/>
      <c r="J216" s="784"/>
      <c r="K216" s="785"/>
      <c r="L216" s="986"/>
      <c r="M216" s="896"/>
      <c r="N216" s="896"/>
      <c r="O216" s="785"/>
      <c r="P216" s="785"/>
      <c r="Q216" s="785"/>
      <c r="R216" s="785"/>
      <c r="S216" s="785"/>
      <c r="T216" s="785"/>
      <c r="U216" s="785"/>
      <c r="V216" s="785"/>
      <c r="W216" s="785"/>
      <c r="X216" s="785"/>
      <c r="Y216" s="785"/>
      <c r="Z216" s="785"/>
      <c r="AA216" s="785"/>
      <c r="AB216" s="785"/>
      <c r="AC216" s="785"/>
      <c r="AD216" s="785"/>
      <c r="AE216" s="785"/>
      <c r="AF216" s="785"/>
      <c r="AG216" s="785"/>
      <c r="AH216" s="785"/>
      <c r="AI216" s="827"/>
      <c r="AJ216" s="827"/>
      <c r="AK216" s="827"/>
      <c r="AL216" s="827"/>
      <c r="AM216" s="827"/>
      <c r="AN216" s="827"/>
      <c r="AO216" s="827"/>
      <c r="AP216" s="827"/>
      <c r="AQ216" s="827"/>
      <c r="AR216" s="827"/>
      <c r="AS216" s="1127"/>
      <c r="AT216" s="828"/>
      <c r="AU216" s="827" t="str">
        <f t="shared" si="105"/>
        <v/>
      </c>
      <c r="AV216" s="2277" t="str">
        <f t="shared" si="111"/>
        <v/>
      </c>
      <c r="AW216" s="777"/>
      <c r="AX216" s="2016"/>
      <c r="AY216" s="2016"/>
      <c r="AZ216" s="2016"/>
      <c r="BA216" s="2016"/>
      <c r="BB216" s="2016"/>
      <c r="BC216" s="979"/>
    </row>
    <row r="217" spans="1:55" ht="14" hidden="1" customHeight="1" outlineLevel="1" x14ac:dyDescent="0.25">
      <c r="A217" s="842" t="s">
        <v>813</v>
      </c>
      <c r="B217" s="781"/>
      <c r="C217" s="781"/>
      <c r="D217" s="781"/>
      <c r="E217" s="782"/>
      <c r="F217" s="781"/>
      <c r="G217" s="781"/>
      <c r="H217" s="782"/>
      <c r="I217" s="782"/>
      <c r="J217" s="784"/>
      <c r="K217" s="785"/>
      <c r="L217" s="986"/>
      <c r="M217" s="896"/>
      <c r="N217" s="896"/>
      <c r="O217" s="785"/>
      <c r="P217" s="785"/>
      <c r="Q217" s="785"/>
      <c r="R217" s="785"/>
      <c r="S217" s="785"/>
      <c r="T217" s="785"/>
      <c r="U217" s="785"/>
      <c r="V217" s="785"/>
      <c r="W217" s="785"/>
      <c r="X217" s="785"/>
      <c r="Y217" s="785"/>
      <c r="Z217" s="785"/>
      <c r="AA217" s="785"/>
      <c r="AB217" s="785"/>
      <c r="AC217" s="785"/>
      <c r="AD217" s="785"/>
      <c r="AE217" s="785"/>
      <c r="AF217" s="785"/>
      <c r="AG217" s="785">
        <v>297786.05000000005</v>
      </c>
      <c r="AH217" s="819">
        <v>296139</v>
      </c>
      <c r="AI217" s="785">
        <v>303292.17000000004</v>
      </c>
      <c r="AJ217" s="785">
        <v>309839</v>
      </c>
      <c r="AK217" s="785">
        <v>317491.07</v>
      </c>
      <c r="AL217" s="785">
        <v>318674</v>
      </c>
      <c r="AM217" s="785">
        <f t="shared" ref="AM217:AT217" si="112">SUM(AM212:AM214)</f>
        <v>323952.07999999996</v>
      </c>
      <c r="AN217" s="785">
        <f t="shared" si="112"/>
        <v>280211</v>
      </c>
      <c r="AO217" s="785">
        <f t="shared" si="112"/>
        <v>284949.01500000001</v>
      </c>
      <c r="AP217" s="785">
        <f t="shared" si="112"/>
        <v>338655</v>
      </c>
      <c r="AQ217" s="785">
        <f t="shared" si="112"/>
        <v>343354.7</v>
      </c>
      <c r="AR217" s="785">
        <f t="shared" si="112"/>
        <v>341494</v>
      </c>
      <c r="AS217" s="820">
        <f t="shared" ref="AS217" si="113">SUM(AS212:AS214)</f>
        <v>346284.48</v>
      </c>
      <c r="AT217" s="819">
        <f t="shared" si="112"/>
        <v>348087</v>
      </c>
      <c r="AU217" s="785">
        <f t="shared" si="105"/>
        <v>6593</v>
      </c>
      <c r="AV217" s="2275">
        <f t="shared" si="111"/>
        <v>1.9306342131926182E-2</v>
      </c>
      <c r="AW217" s="789"/>
      <c r="AX217" s="2016"/>
      <c r="AY217" s="2016"/>
      <c r="AZ217" s="2016"/>
      <c r="BA217" s="2518">
        <f>POWER(AT217/AJ217,1/5)-1</f>
        <v>2.3553020762161925E-2</v>
      </c>
      <c r="BB217" s="2518">
        <f>POWER(AT217/AA321,1/9)-1</f>
        <v>2.8961832075182103E-2</v>
      </c>
      <c r="BC217" s="2332"/>
    </row>
    <row r="218" spans="1:55" ht="14" hidden="1" customHeight="1" outlineLevel="1" x14ac:dyDescent="0.25">
      <c r="A218" s="842"/>
      <c r="B218" s="781"/>
      <c r="C218" s="781"/>
      <c r="D218" s="781"/>
      <c r="E218" s="782"/>
      <c r="F218" s="781"/>
      <c r="G218" s="781"/>
      <c r="H218" s="782"/>
      <c r="I218" s="782"/>
      <c r="J218" s="784"/>
      <c r="K218" s="785"/>
      <c r="L218" s="986"/>
      <c r="M218" s="896"/>
      <c r="N218" s="896"/>
      <c r="O218" s="785"/>
      <c r="P218" s="785"/>
      <c r="Q218" s="785"/>
      <c r="R218" s="785"/>
      <c r="S218" s="785"/>
      <c r="T218" s="785"/>
      <c r="U218" s="785"/>
      <c r="V218" s="785"/>
      <c r="W218" s="785"/>
      <c r="X218" s="785"/>
      <c r="Y218" s="785"/>
      <c r="Z218" s="785"/>
      <c r="AA218" s="785"/>
      <c r="AB218" s="785"/>
      <c r="AC218" s="785"/>
      <c r="AD218" s="785"/>
      <c r="AE218" s="785"/>
      <c r="AF218" s="785"/>
      <c r="AG218" s="785"/>
      <c r="AH218" s="785"/>
      <c r="AI218" s="785"/>
      <c r="AJ218" s="785"/>
      <c r="AK218" s="785"/>
      <c r="AL218" s="785"/>
      <c r="AM218" s="785"/>
      <c r="AN218" s="785"/>
      <c r="AO218" s="785"/>
      <c r="AP218" s="785"/>
      <c r="AQ218" s="785"/>
      <c r="AR218" s="785"/>
      <c r="AS218" s="820"/>
      <c r="AT218" s="819"/>
      <c r="AU218" s="785" t="str">
        <f t="shared" si="105"/>
        <v/>
      </c>
      <c r="AV218" s="2275" t="str">
        <f t="shared" si="111"/>
        <v/>
      </c>
      <c r="AW218" s="789"/>
      <c r="AX218" s="2016"/>
      <c r="AY218" s="2016"/>
      <c r="AZ218" s="2016"/>
      <c r="BA218" s="2016"/>
      <c r="BB218" s="2016"/>
      <c r="BC218" s="2023"/>
    </row>
    <row r="219" spans="1:55" ht="14" hidden="1" customHeight="1" outlineLevel="1" x14ac:dyDescent="0.25">
      <c r="A219" s="1435" t="s">
        <v>937</v>
      </c>
      <c r="B219" s="1103"/>
      <c r="C219" s="1103"/>
      <c r="D219" s="1103"/>
      <c r="E219" s="1429"/>
      <c r="F219" s="1103"/>
      <c r="G219" s="1103"/>
      <c r="H219" s="1429"/>
      <c r="I219" s="1429"/>
      <c r="J219" s="1430"/>
      <c r="K219" s="1431"/>
      <c r="L219" s="1432"/>
      <c r="M219" s="1433"/>
      <c r="N219" s="1433"/>
      <c r="O219" s="1431"/>
      <c r="P219" s="1431"/>
      <c r="Q219" s="1431"/>
      <c r="R219" s="1431"/>
      <c r="S219" s="1431"/>
      <c r="T219" s="1431"/>
      <c r="U219" s="1431"/>
      <c r="V219" s="1431"/>
      <c r="W219" s="1431"/>
      <c r="X219" s="1431"/>
      <c r="Y219" s="1431"/>
      <c r="Z219" s="1431"/>
      <c r="AA219" s="1431"/>
      <c r="AB219" s="1431"/>
      <c r="AC219" s="1431"/>
      <c r="AD219" s="1431"/>
      <c r="AE219" s="1431"/>
      <c r="AF219" s="1431"/>
      <c r="AG219" s="1431"/>
      <c r="AH219" s="1431"/>
      <c r="AI219" s="1431"/>
      <c r="AJ219" s="1431"/>
      <c r="AK219" s="1431"/>
      <c r="AL219" s="1431"/>
      <c r="AM219" s="1431"/>
      <c r="AN219" s="1431"/>
      <c r="AO219" s="1431"/>
      <c r="AP219" s="1431"/>
      <c r="AQ219" s="1431"/>
      <c r="AR219" s="1431"/>
      <c r="AS219" s="1635"/>
      <c r="AT219" s="2354"/>
      <c r="AU219" s="1431" t="str">
        <f t="shared" si="105"/>
        <v/>
      </c>
      <c r="AV219" s="2289" t="str">
        <f t="shared" si="111"/>
        <v/>
      </c>
      <c r="AW219" s="1434"/>
      <c r="AX219" s="2016"/>
      <c r="AY219" s="2016"/>
      <c r="AZ219" s="2016"/>
      <c r="BA219" s="2016"/>
      <c r="BB219" s="2016"/>
      <c r="BC219" s="2023"/>
    </row>
    <row r="220" spans="1:55" ht="14" hidden="1" customHeight="1" outlineLevel="1" x14ac:dyDescent="0.25">
      <c r="A220" s="1436" t="s">
        <v>812</v>
      </c>
      <c r="B220" s="781"/>
      <c r="C220" s="781"/>
      <c r="D220" s="781"/>
      <c r="E220" s="782"/>
      <c r="F220" s="781"/>
      <c r="G220" s="781"/>
      <c r="H220" s="782"/>
      <c r="I220" s="782"/>
      <c r="J220" s="784"/>
      <c r="K220" s="785"/>
      <c r="L220" s="986"/>
      <c r="M220" s="896"/>
      <c r="N220" s="896"/>
      <c r="O220" s="785"/>
      <c r="P220" s="785"/>
      <c r="Q220" s="785"/>
      <c r="R220" s="785"/>
      <c r="S220" s="785"/>
      <c r="T220" s="785"/>
      <c r="U220" s="785"/>
      <c r="V220" s="785"/>
      <c r="W220" s="785"/>
      <c r="X220" s="785"/>
      <c r="Y220" s="785"/>
      <c r="Z220" s="785"/>
      <c r="AA220" s="785"/>
      <c r="AB220" s="785"/>
      <c r="AC220" s="785"/>
      <c r="AD220" s="785"/>
      <c r="AE220" s="785"/>
      <c r="AF220" s="785"/>
      <c r="AG220" s="785"/>
      <c r="AH220" s="788">
        <v>40000</v>
      </c>
      <c r="AI220" s="788">
        <v>40000</v>
      </c>
      <c r="AJ220" s="788">
        <v>40000</v>
      </c>
      <c r="AK220" s="788">
        <v>40000</v>
      </c>
      <c r="AL220" s="788">
        <v>47000</v>
      </c>
      <c r="AM220" s="788">
        <f>AL220*$AH$4</f>
        <v>47000</v>
      </c>
      <c r="AN220" s="788">
        <v>42300</v>
      </c>
      <c r="AO220" s="788">
        <v>42300</v>
      </c>
      <c r="AP220" s="788">
        <v>29600</v>
      </c>
      <c r="AQ220" s="788">
        <f>AP220*$AH$4</f>
        <v>29600</v>
      </c>
      <c r="AR220" s="788">
        <v>32600</v>
      </c>
      <c r="AS220" s="841">
        <f>AR220*$AH$4</f>
        <v>32600</v>
      </c>
      <c r="AT220" s="891">
        <f>'[1]BUDGET DETAIL'!$CX$714</f>
        <v>32600</v>
      </c>
      <c r="AU220" s="788">
        <f t="shared" si="105"/>
        <v>0</v>
      </c>
      <c r="AV220" s="2272">
        <f t="shared" si="111"/>
        <v>0</v>
      </c>
      <c r="AW220" s="789"/>
      <c r="AX220" s="2016"/>
      <c r="AY220" s="2122"/>
      <c r="AZ220" s="2122"/>
      <c r="BA220" s="2122"/>
      <c r="BB220" s="2122"/>
      <c r="BC220" s="2239"/>
    </row>
    <row r="221" spans="1:55" ht="14" hidden="1" customHeight="1" outlineLevel="1" x14ac:dyDescent="0.25">
      <c r="A221" s="842" t="s">
        <v>813</v>
      </c>
      <c r="B221" s="781"/>
      <c r="C221" s="781"/>
      <c r="D221" s="781"/>
      <c r="E221" s="782"/>
      <c r="F221" s="781"/>
      <c r="G221" s="781"/>
      <c r="H221" s="782"/>
      <c r="I221" s="782"/>
      <c r="J221" s="784"/>
      <c r="K221" s="785"/>
      <c r="L221" s="986"/>
      <c r="M221" s="896"/>
      <c r="N221" s="896"/>
      <c r="O221" s="785"/>
      <c r="P221" s="785"/>
      <c r="Q221" s="785"/>
      <c r="R221" s="785"/>
      <c r="S221" s="785"/>
      <c r="T221" s="785"/>
      <c r="U221" s="785"/>
      <c r="V221" s="785"/>
      <c r="W221" s="785"/>
      <c r="X221" s="785"/>
      <c r="Y221" s="785"/>
      <c r="Z221" s="785"/>
      <c r="AA221" s="785"/>
      <c r="AB221" s="785"/>
      <c r="AC221" s="785"/>
      <c r="AD221" s="785"/>
      <c r="AE221" s="785"/>
      <c r="AF221" s="785"/>
      <c r="AG221" s="785"/>
      <c r="AH221" s="785">
        <v>40000</v>
      </c>
      <c r="AI221" s="785">
        <v>40000</v>
      </c>
      <c r="AJ221" s="785">
        <v>40000</v>
      </c>
      <c r="AK221" s="785">
        <v>40000</v>
      </c>
      <c r="AL221" s="785">
        <v>47000</v>
      </c>
      <c r="AM221" s="785">
        <f t="shared" ref="AM221:AT221" si="114">SUM(AM220:AM220)</f>
        <v>47000</v>
      </c>
      <c r="AN221" s="785">
        <f t="shared" si="114"/>
        <v>42300</v>
      </c>
      <c r="AO221" s="785">
        <f t="shared" si="114"/>
        <v>42300</v>
      </c>
      <c r="AP221" s="785">
        <f t="shared" si="114"/>
        <v>29600</v>
      </c>
      <c r="AQ221" s="785">
        <f t="shared" si="114"/>
        <v>29600</v>
      </c>
      <c r="AR221" s="785">
        <f t="shared" si="114"/>
        <v>32600</v>
      </c>
      <c r="AS221" s="820">
        <f t="shared" ref="AS221" si="115">SUM(AS220:AS220)</f>
        <v>32600</v>
      </c>
      <c r="AT221" s="819">
        <f t="shared" si="114"/>
        <v>32600</v>
      </c>
      <c r="AU221" s="785">
        <f t="shared" si="105"/>
        <v>0</v>
      </c>
      <c r="AV221" s="2275">
        <f t="shared" si="111"/>
        <v>0</v>
      </c>
      <c r="AW221" s="789"/>
      <c r="AX221" s="2016"/>
      <c r="AY221" s="2016"/>
      <c r="AZ221" s="2016"/>
      <c r="BA221" s="2016"/>
      <c r="BB221" s="2016"/>
      <c r="BC221" s="2332"/>
    </row>
    <row r="222" spans="1:55" ht="14" hidden="1" customHeight="1" outlineLevel="1" x14ac:dyDescent="0.25">
      <c r="A222" s="790"/>
      <c r="B222" s="793"/>
      <c r="C222" s="793"/>
      <c r="D222" s="892"/>
      <c r="E222" s="899"/>
      <c r="F222" s="892"/>
      <c r="G222" s="892"/>
      <c r="H222" s="893"/>
      <c r="I222" s="899"/>
      <c r="J222" s="846"/>
      <c r="K222" s="822">
        <v>0</v>
      </c>
      <c r="L222" s="988"/>
      <c r="M222" s="830"/>
      <c r="N222" s="829"/>
      <c r="O222" s="822"/>
      <c r="P222" s="822"/>
      <c r="Q222" s="822"/>
      <c r="R222" s="822"/>
      <c r="S222" s="822"/>
      <c r="T222" s="822"/>
      <c r="U222" s="822"/>
      <c r="V222" s="822"/>
      <c r="W222" s="822"/>
      <c r="X222" s="822"/>
      <c r="Y222" s="822"/>
      <c r="Z222" s="822"/>
      <c r="AA222" s="822"/>
      <c r="AB222" s="822"/>
      <c r="AC222" s="822"/>
      <c r="AD222" s="822"/>
      <c r="AE222" s="822"/>
      <c r="AF222" s="822"/>
      <c r="AG222" s="822"/>
      <c r="AH222" s="822"/>
      <c r="AI222" s="822"/>
      <c r="AJ222" s="822"/>
      <c r="AK222" s="822"/>
      <c r="AL222" s="822"/>
      <c r="AM222" s="822"/>
      <c r="AN222" s="822"/>
      <c r="AO222" s="822"/>
      <c r="AP222" s="822"/>
      <c r="AQ222" s="822"/>
      <c r="AR222" s="822"/>
      <c r="AS222" s="1160"/>
      <c r="AT222" s="823"/>
      <c r="AU222" s="822" t="str">
        <f t="shared" si="105"/>
        <v/>
      </c>
      <c r="AV222" s="2276" t="str">
        <f t="shared" si="111"/>
        <v/>
      </c>
      <c r="AW222" s="862"/>
      <c r="AX222" s="2016"/>
      <c r="AY222" s="2016"/>
      <c r="AZ222" s="2016"/>
      <c r="BA222" s="2016"/>
      <c r="BB222" s="2016"/>
      <c r="BC222" s="2026"/>
    </row>
    <row r="223" spans="1:55" ht="14" hidden="1" customHeight="1" outlineLevel="1" x14ac:dyDescent="0.25">
      <c r="A223" s="779" t="s">
        <v>365</v>
      </c>
      <c r="B223" s="804"/>
      <c r="C223" s="804"/>
      <c r="D223" s="894"/>
      <c r="E223" s="852"/>
      <c r="F223" s="894"/>
      <c r="G223" s="894"/>
      <c r="H223" s="895"/>
      <c r="I223" s="852"/>
      <c r="J223" s="847"/>
      <c r="K223" s="825"/>
      <c r="L223" s="831"/>
      <c r="M223" s="831"/>
      <c r="N223" s="831"/>
      <c r="O223" s="825"/>
      <c r="P223" s="825"/>
      <c r="Q223" s="825"/>
      <c r="R223" s="825"/>
      <c r="S223" s="825"/>
      <c r="T223" s="825"/>
      <c r="U223" s="825"/>
      <c r="V223" s="825"/>
      <c r="W223" s="825"/>
      <c r="X223" s="825"/>
      <c r="Y223" s="825"/>
      <c r="Z223" s="825"/>
      <c r="AA223" s="825"/>
      <c r="AB223" s="825"/>
      <c r="AC223" s="825"/>
      <c r="AD223" s="825"/>
      <c r="AE223" s="825"/>
      <c r="AF223" s="825"/>
      <c r="AG223" s="825"/>
      <c r="AH223" s="825"/>
      <c r="AI223" s="825"/>
      <c r="AJ223" s="825"/>
      <c r="AK223" s="825"/>
      <c r="AL223" s="825"/>
      <c r="AM223" s="825"/>
      <c r="AN223" s="825"/>
      <c r="AO223" s="825"/>
      <c r="AP223" s="825"/>
      <c r="AQ223" s="825"/>
      <c r="AR223" s="825"/>
      <c r="AS223" s="1110"/>
      <c r="AT223" s="1040"/>
      <c r="AU223" s="825" t="str">
        <f t="shared" si="105"/>
        <v/>
      </c>
      <c r="AV223" s="2274" t="str">
        <f t="shared" si="111"/>
        <v/>
      </c>
      <c r="AW223" s="778"/>
      <c r="AX223" s="2016"/>
      <c r="AY223" s="2016"/>
      <c r="AZ223" s="2016"/>
      <c r="BA223" s="2016"/>
      <c r="BB223" s="2016"/>
    </row>
    <row r="224" spans="1:55" ht="14" hidden="1" customHeight="1" outlineLevel="1" x14ac:dyDescent="0.25">
      <c r="A224" s="779" t="s">
        <v>677</v>
      </c>
      <c r="B224" s="775">
        <v>63644</v>
      </c>
      <c r="C224" s="773">
        <v>63644</v>
      </c>
      <c r="D224" s="850">
        <v>65554</v>
      </c>
      <c r="E224" s="777">
        <v>65554</v>
      </c>
      <c r="F224" s="850">
        <v>65554</v>
      </c>
      <c r="G224" s="850">
        <v>65554</v>
      </c>
      <c r="H224" s="851">
        <v>67792</v>
      </c>
      <c r="I224" s="777">
        <v>67792</v>
      </c>
      <c r="J224" s="806">
        <v>69973</v>
      </c>
      <c r="K224" s="788"/>
      <c r="L224" s="840">
        <v>72093</v>
      </c>
      <c r="M224" s="807">
        <v>74012</v>
      </c>
      <c r="N224" s="808">
        <v>75983</v>
      </c>
      <c r="O224" s="788">
        <v>75983</v>
      </c>
      <c r="P224" s="788">
        <v>75983</v>
      </c>
      <c r="Q224" s="788">
        <v>75983</v>
      </c>
      <c r="R224" s="788">
        <v>75983</v>
      </c>
      <c r="S224" s="788"/>
      <c r="T224" s="788">
        <v>77983</v>
      </c>
      <c r="U224" s="788">
        <v>77983</v>
      </c>
      <c r="V224" s="810">
        <v>79763</v>
      </c>
      <c r="W224" s="788">
        <f t="shared" ref="W224:W229" si="116">V224</f>
        <v>79763</v>
      </c>
      <c r="X224" s="810">
        <v>81323</v>
      </c>
      <c r="Y224" s="810">
        <v>81323</v>
      </c>
      <c r="Z224" s="810">
        <v>90244</v>
      </c>
      <c r="AA224" s="810">
        <f t="shared" ref="AA224:AC229" si="117">Z224</f>
        <v>90244</v>
      </c>
      <c r="AB224" s="810">
        <v>96900</v>
      </c>
      <c r="AC224" s="810">
        <f t="shared" si="117"/>
        <v>96900</v>
      </c>
      <c r="AD224" s="810"/>
      <c r="AE224" s="810">
        <v>100883</v>
      </c>
      <c r="AF224" s="810"/>
      <c r="AG224" s="810">
        <v>103909.49</v>
      </c>
      <c r="AH224" s="810">
        <v>105646</v>
      </c>
      <c r="AI224" s="810">
        <v>108815.38</v>
      </c>
      <c r="AJ224" s="810">
        <v>111497</v>
      </c>
      <c r="AK224" s="810">
        <v>114841.91</v>
      </c>
      <c r="AL224" s="810">
        <v>94625</v>
      </c>
      <c r="AM224" s="810">
        <f>AL224*$AH$3</f>
        <v>96517.5</v>
      </c>
      <c r="AN224" s="810">
        <v>66846</v>
      </c>
      <c r="AO224" s="810">
        <v>68517.149999999994</v>
      </c>
      <c r="AP224" s="810">
        <v>66956</v>
      </c>
      <c r="AQ224" s="810">
        <f>AP224*$AH$3</f>
        <v>68295.12</v>
      </c>
      <c r="AR224" s="810">
        <v>69927</v>
      </c>
      <c r="AS224" s="1410">
        <f>AR224*$AH$3</f>
        <v>71325.540000000008</v>
      </c>
      <c r="AT224" s="809">
        <f>'[1]BUDGET DETAIL'!$CX$554</f>
        <v>71584</v>
      </c>
      <c r="AU224" s="810">
        <f t="shared" si="105"/>
        <v>1657</v>
      </c>
      <c r="AV224" s="2274">
        <f t="shared" si="111"/>
        <v>2.3696140260557438E-2</v>
      </c>
      <c r="AW224" s="778"/>
      <c r="AX224" s="2016"/>
      <c r="AY224" s="2016"/>
      <c r="AZ224" s="2016"/>
      <c r="BA224" s="2016"/>
      <c r="BB224" s="2016"/>
    </row>
    <row r="225" spans="1:55" ht="14" hidden="1" customHeight="1" outlineLevel="1" x14ac:dyDescent="0.25">
      <c r="A225" s="779" t="s">
        <v>551</v>
      </c>
      <c r="B225" s="775">
        <v>163174</v>
      </c>
      <c r="C225" s="773">
        <v>163064.95000000001</v>
      </c>
      <c r="D225" s="850">
        <v>173186</v>
      </c>
      <c r="E225" s="777">
        <v>147541.67000000001</v>
      </c>
      <c r="F225" s="850">
        <v>168818</v>
      </c>
      <c r="G225" s="850">
        <v>154476.65</v>
      </c>
      <c r="H225" s="851">
        <v>174100</v>
      </c>
      <c r="I225" s="777">
        <v>160592.57</v>
      </c>
      <c r="J225" s="806">
        <v>177920</v>
      </c>
      <c r="K225" s="788"/>
      <c r="L225" s="840">
        <v>173284</v>
      </c>
      <c r="M225" s="807">
        <v>189060</v>
      </c>
      <c r="N225" s="808">
        <v>185169</v>
      </c>
      <c r="O225" s="788">
        <v>185169</v>
      </c>
      <c r="P225" s="788">
        <f>185419+5000</f>
        <v>190419</v>
      </c>
      <c r="Q225" s="788">
        <f>185419+5000</f>
        <v>190419</v>
      </c>
      <c r="R225" s="788">
        <v>191069</v>
      </c>
      <c r="S225" s="788"/>
      <c r="T225" s="788">
        <v>191410</v>
      </c>
      <c r="U225" s="788">
        <v>191410</v>
      </c>
      <c r="V225" s="810">
        <v>195542</v>
      </c>
      <c r="W225" s="788">
        <v>249092</v>
      </c>
      <c r="X225" s="810">
        <v>263989</v>
      </c>
      <c r="Y225" s="810">
        <v>263989</v>
      </c>
      <c r="Z225" s="810">
        <v>284892</v>
      </c>
      <c r="AA225" s="810">
        <f t="shared" si="117"/>
        <v>284892</v>
      </c>
      <c r="AB225" s="810">
        <v>297184</v>
      </c>
      <c r="AC225" s="810">
        <f t="shared" si="117"/>
        <v>297184</v>
      </c>
      <c r="AD225" s="810"/>
      <c r="AE225" s="810">
        <v>299234</v>
      </c>
      <c r="AF225" s="810"/>
      <c r="AG225" s="810">
        <v>308211.02</v>
      </c>
      <c r="AH225" s="810">
        <v>300123</v>
      </c>
      <c r="AI225" s="810">
        <v>309126.69</v>
      </c>
      <c r="AJ225" s="810">
        <v>323512</v>
      </c>
      <c r="AK225" s="810">
        <v>333217.36</v>
      </c>
      <c r="AL225" s="810">
        <v>328766</v>
      </c>
      <c r="AM225" s="810">
        <f>AL225*$AK$5</f>
        <v>335341.32</v>
      </c>
      <c r="AN225" s="810">
        <v>331042</v>
      </c>
      <c r="AO225" s="810">
        <v>337662.84</v>
      </c>
      <c r="AP225" s="810">
        <v>344790</v>
      </c>
      <c r="AQ225" s="810">
        <f>AP225*$AK$5</f>
        <v>351685.8</v>
      </c>
      <c r="AR225" s="810">
        <v>341338</v>
      </c>
      <c r="AS225" s="1410">
        <f>AR225*$AK$5</f>
        <v>348164.76</v>
      </c>
      <c r="AT225" s="809">
        <f>'[1]BUDGET DETAIL'!$CX$565</f>
        <v>360111</v>
      </c>
      <c r="AU225" s="810">
        <f t="shared" si="105"/>
        <v>18773</v>
      </c>
      <c r="AV225" s="2274">
        <f t="shared" si="111"/>
        <v>5.4998271508006728E-2</v>
      </c>
      <c r="AW225" s="778"/>
      <c r="AX225" s="2016"/>
      <c r="AY225" s="2016"/>
      <c r="AZ225" s="2016"/>
      <c r="BA225" s="2016"/>
      <c r="BB225" s="2016"/>
    </row>
    <row r="226" spans="1:55" ht="14" hidden="1" customHeight="1" outlineLevel="1" x14ac:dyDescent="0.25">
      <c r="A226" s="779" t="s">
        <v>172</v>
      </c>
      <c r="B226" s="775"/>
      <c r="C226" s="773"/>
      <c r="D226" s="850"/>
      <c r="E226" s="777"/>
      <c r="F226" s="850"/>
      <c r="G226" s="850"/>
      <c r="H226" s="851"/>
      <c r="I226" s="777"/>
      <c r="J226" s="806"/>
      <c r="K226" s="788"/>
      <c r="L226" s="840">
        <v>23837</v>
      </c>
      <c r="M226" s="807">
        <v>49577</v>
      </c>
      <c r="N226" s="808">
        <v>49577</v>
      </c>
      <c r="O226" s="788">
        <f>49577-23837</f>
        <v>25740</v>
      </c>
      <c r="P226" s="788">
        <f>O226</f>
        <v>25740</v>
      </c>
      <c r="Q226" s="788">
        <f>P226</f>
        <v>25740</v>
      </c>
      <c r="R226" s="788"/>
      <c r="S226" s="788"/>
      <c r="T226" s="788"/>
      <c r="U226" s="788">
        <v>0</v>
      </c>
      <c r="V226" s="788">
        <v>29257</v>
      </c>
      <c r="W226" s="788">
        <f t="shared" si="116"/>
        <v>29257</v>
      </c>
      <c r="X226" s="810">
        <v>29257</v>
      </c>
      <c r="Y226" s="810">
        <v>29257</v>
      </c>
      <c r="Z226" s="810">
        <v>29257</v>
      </c>
      <c r="AA226" s="810">
        <f t="shared" si="117"/>
        <v>29257</v>
      </c>
      <c r="AB226" s="810">
        <v>29527</v>
      </c>
      <c r="AC226" s="810">
        <f t="shared" si="117"/>
        <v>29527</v>
      </c>
      <c r="AD226" s="810"/>
      <c r="AE226" s="810">
        <v>29527</v>
      </c>
      <c r="AF226" s="810"/>
      <c r="AG226" s="810">
        <v>29527</v>
      </c>
      <c r="AH226" s="810">
        <v>0</v>
      </c>
      <c r="AI226" s="810">
        <v>0</v>
      </c>
      <c r="AJ226" s="810"/>
      <c r="AK226" s="810"/>
      <c r="AL226" s="810"/>
      <c r="AM226" s="810"/>
      <c r="AN226" s="810"/>
      <c r="AO226" s="810"/>
      <c r="AP226" s="810"/>
      <c r="AQ226" s="810"/>
      <c r="AR226" s="810"/>
      <c r="AS226" s="1410"/>
      <c r="AT226" s="809"/>
      <c r="AU226" s="810" t="str">
        <f t="shared" si="105"/>
        <v/>
      </c>
      <c r="AV226" s="2274" t="str">
        <f t="shared" si="111"/>
        <v/>
      </c>
      <c r="AX226" s="2016"/>
      <c r="AY226" s="2016"/>
      <c r="AZ226" s="2016"/>
      <c r="BA226" s="2016"/>
      <c r="BB226" s="2016"/>
    </row>
    <row r="227" spans="1:55" ht="14" hidden="1" customHeight="1" outlineLevel="1" x14ac:dyDescent="0.25">
      <c r="A227" s="779" t="s">
        <v>173</v>
      </c>
      <c r="B227" s="775"/>
      <c r="C227" s="773"/>
      <c r="D227" s="850"/>
      <c r="E227" s="777"/>
      <c r="F227" s="850"/>
      <c r="G227" s="850"/>
      <c r="H227" s="851"/>
      <c r="I227" s="777"/>
      <c r="J227" s="806"/>
      <c r="K227" s="788"/>
      <c r="L227" s="840">
        <v>94676.4</v>
      </c>
      <c r="M227" s="807">
        <v>102000</v>
      </c>
      <c r="N227" s="808">
        <f>76000-25915</f>
        <v>50085</v>
      </c>
      <c r="O227" s="788">
        <f>50085+25000</f>
        <v>75085</v>
      </c>
      <c r="P227" s="788">
        <f>O227</f>
        <v>75085</v>
      </c>
      <c r="Q227" s="788">
        <f>P227-25000+25000</f>
        <v>75085</v>
      </c>
      <c r="R227" s="788">
        <v>65085</v>
      </c>
      <c r="S227" s="788"/>
      <c r="T227" s="788">
        <v>65085</v>
      </c>
      <c r="U227" s="788">
        <v>65085</v>
      </c>
      <c r="V227" s="810">
        <v>66500</v>
      </c>
      <c r="W227" s="788">
        <f t="shared" si="116"/>
        <v>66500</v>
      </c>
      <c r="X227" s="810">
        <v>68500</v>
      </c>
      <c r="Y227" s="810">
        <v>68500</v>
      </c>
      <c r="Z227" s="810">
        <v>70500</v>
      </c>
      <c r="AA227" s="810">
        <f t="shared" si="117"/>
        <v>70500</v>
      </c>
      <c r="AB227" s="810">
        <v>72615</v>
      </c>
      <c r="AC227" s="810">
        <f t="shared" si="117"/>
        <v>72615</v>
      </c>
      <c r="AD227" s="810"/>
      <c r="AE227" s="810">
        <v>74067</v>
      </c>
      <c r="AF227" s="810"/>
      <c r="AG227" s="810">
        <v>74067</v>
      </c>
      <c r="AH227" s="810">
        <v>74067</v>
      </c>
      <c r="AI227" s="810">
        <v>74067</v>
      </c>
      <c r="AJ227" s="810">
        <v>74067</v>
      </c>
      <c r="AK227" s="810">
        <v>74067</v>
      </c>
      <c r="AL227" s="810">
        <v>74067</v>
      </c>
      <c r="AM227" s="810">
        <f>AL227*$AH$4</f>
        <v>74067</v>
      </c>
      <c r="AN227" s="810">
        <v>74067</v>
      </c>
      <c r="AO227" s="810">
        <v>74067</v>
      </c>
      <c r="AP227" s="810">
        <v>74067</v>
      </c>
      <c r="AQ227" s="810">
        <f>AP227*$AH$4</f>
        <v>74067</v>
      </c>
      <c r="AR227" s="810">
        <v>74067</v>
      </c>
      <c r="AS227" s="1410">
        <f>AR227*$AH$4</f>
        <v>74067</v>
      </c>
      <c r="AT227" s="809">
        <f>'[1]BUDGET DETAIL'!$CX$606</f>
        <v>74067</v>
      </c>
      <c r="AU227" s="810">
        <f t="shared" si="105"/>
        <v>0</v>
      </c>
      <c r="AV227" s="2274">
        <f t="shared" si="111"/>
        <v>0</v>
      </c>
      <c r="AW227" s="778"/>
      <c r="AX227" s="2016"/>
      <c r="AY227" s="2016"/>
      <c r="AZ227" s="2016"/>
      <c r="BA227" s="2016"/>
      <c r="BB227" s="2016"/>
    </row>
    <row r="228" spans="1:55" ht="14" hidden="1" customHeight="1" outlineLevel="1" x14ac:dyDescent="0.25">
      <c r="A228" s="779" t="s">
        <v>174</v>
      </c>
      <c r="B228" s="775">
        <v>127882</v>
      </c>
      <c r="C228" s="773">
        <v>126224.96000000001</v>
      </c>
      <c r="D228" s="850">
        <v>107942</v>
      </c>
      <c r="E228" s="777">
        <v>134947.19</v>
      </c>
      <c r="F228" s="850">
        <v>126647</v>
      </c>
      <c r="G228" s="850">
        <v>126423.9</v>
      </c>
      <c r="H228" s="851">
        <v>178695</v>
      </c>
      <c r="I228" s="777">
        <v>248421</v>
      </c>
      <c r="J228" s="806">
        <v>240258</v>
      </c>
      <c r="K228" s="827" t="s">
        <v>455</v>
      </c>
      <c r="L228" s="990">
        <f>194023.99-94676.4</f>
        <v>99347.59</v>
      </c>
      <c r="M228" s="812">
        <v>127775</v>
      </c>
      <c r="N228" s="813">
        <v>74810</v>
      </c>
      <c r="O228" s="825">
        <v>74810</v>
      </c>
      <c r="P228" s="825">
        <v>73720</v>
      </c>
      <c r="Q228" s="825">
        <v>73720</v>
      </c>
      <c r="R228" s="825">
        <v>83720</v>
      </c>
      <c r="S228" s="825"/>
      <c r="T228" s="825">
        <v>86480</v>
      </c>
      <c r="U228" s="825">
        <v>86480</v>
      </c>
      <c r="V228" s="810">
        <f>214094-V227-V229</f>
        <v>87594</v>
      </c>
      <c r="W228" s="788">
        <v>88594</v>
      </c>
      <c r="X228" s="810">
        <f>221520-X227-X229</f>
        <v>91020</v>
      </c>
      <c r="Y228" s="810">
        <v>91020</v>
      </c>
      <c r="Z228" s="810">
        <f>242170-Z227-Z229</f>
        <v>109670</v>
      </c>
      <c r="AA228" s="810">
        <f t="shared" si="117"/>
        <v>109670</v>
      </c>
      <c r="AB228" s="810">
        <f>248845-AB227-AB229</f>
        <v>114230</v>
      </c>
      <c r="AC228" s="810">
        <f t="shared" si="117"/>
        <v>114230</v>
      </c>
      <c r="AD228" s="810"/>
      <c r="AE228" s="810">
        <v>119762</v>
      </c>
      <c r="AF228" s="810"/>
      <c r="AG228" s="810">
        <v>119762</v>
      </c>
      <c r="AH228" s="810">
        <v>124451</v>
      </c>
      <c r="AI228" s="810">
        <v>124451</v>
      </c>
      <c r="AJ228" s="810">
        <v>124451</v>
      </c>
      <c r="AK228" s="810">
        <v>124451</v>
      </c>
      <c r="AL228" s="810">
        <v>118491</v>
      </c>
      <c r="AM228" s="810">
        <f>AL228*$AH$4</f>
        <v>118491</v>
      </c>
      <c r="AN228" s="810">
        <v>118491</v>
      </c>
      <c r="AO228" s="810">
        <v>118491</v>
      </c>
      <c r="AP228" s="810">
        <v>118491</v>
      </c>
      <c r="AQ228" s="810">
        <f>AP228*$AH$4</f>
        <v>118491</v>
      </c>
      <c r="AR228" s="810">
        <v>119509</v>
      </c>
      <c r="AS228" s="1410">
        <f>AR228*$AH$4</f>
        <v>119509</v>
      </c>
      <c r="AT228" s="809">
        <f>SUM('[1]BUDGET DETAIL'!$CX$569:$CX$605)</f>
        <v>119509</v>
      </c>
      <c r="AU228" s="810">
        <f t="shared" si="105"/>
        <v>0</v>
      </c>
      <c r="AV228" s="2274">
        <f t="shared" si="111"/>
        <v>0</v>
      </c>
      <c r="AW228" s="991"/>
      <c r="AX228" s="2016"/>
      <c r="AY228" s="2016"/>
      <c r="AZ228" s="2016"/>
      <c r="BA228" s="2016"/>
      <c r="BB228" s="2016"/>
      <c r="BC228" s="979"/>
    </row>
    <row r="229" spans="1:55" ht="14" hidden="1" customHeight="1" outlineLevel="1" x14ac:dyDescent="0.25">
      <c r="A229" s="779" t="s">
        <v>44</v>
      </c>
      <c r="B229" s="775"/>
      <c r="C229" s="773"/>
      <c r="D229" s="850"/>
      <c r="E229" s="777"/>
      <c r="F229" s="850"/>
      <c r="G229" s="850"/>
      <c r="H229" s="851"/>
      <c r="I229" s="777"/>
      <c r="J229" s="992"/>
      <c r="K229" s="827"/>
      <c r="L229" s="990">
        <v>54754</v>
      </c>
      <c r="M229" s="812">
        <v>12795</v>
      </c>
      <c r="N229" s="813">
        <v>38300</v>
      </c>
      <c r="O229" s="825">
        <v>38300</v>
      </c>
      <c r="P229" s="825">
        <v>50000</v>
      </c>
      <c r="Q229" s="825">
        <v>50000</v>
      </c>
      <c r="R229" s="825">
        <v>50000</v>
      </c>
      <c r="S229" s="825"/>
      <c r="T229" s="825">
        <v>51000</v>
      </c>
      <c r="U229" s="825">
        <v>51000</v>
      </c>
      <c r="V229" s="810">
        <v>60000</v>
      </c>
      <c r="W229" s="788">
        <f t="shared" si="116"/>
        <v>60000</v>
      </c>
      <c r="X229" s="810">
        <v>62000</v>
      </c>
      <c r="Y229" s="810">
        <v>62000</v>
      </c>
      <c r="Z229" s="810">
        <v>62000</v>
      </c>
      <c r="AA229" s="810">
        <f t="shared" si="117"/>
        <v>62000</v>
      </c>
      <c r="AB229" s="810">
        <v>62000</v>
      </c>
      <c r="AC229" s="810">
        <f t="shared" si="117"/>
        <v>62000</v>
      </c>
      <c r="AD229" s="810"/>
      <c r="AE229" s="810">
        <v>60000</v>
      </c>
      <c r="AF229" s="810"/>
      <c r="AG229" s="810">
        <v>60000</v>
      </c>
      <c r="AH229" s="810">
        <v>54000</v>
      </c>
      <c r="AI229" s="810">
        <v>54000</v>
      </c>
      <c r="AJ229" s="810">
        <v>54000</v>
      </c>
      <c r="AK229" s="810">
        <v>54000</v>
      </c>
      <c r="AL229" s="810">
        <v>54000</v>
      </c>
      <c r="AM229" s="810">
        <f>AL229*$AH$4</f>
        <v>54000</v>
      </c>
      <c r="AN229" s="810">
        <v>54000</v>
      </c>
      <c r="AO229" s="810">
        <v>54000</v>
      </c>
      <c r="AP229" s="810">
        <v>54000</v>
      </c>
      <c r="AQ229" s="810">
        <f>AP229*$AH$4</f>
        <v>54000</v>
      </c>
      <c r="AR229" s="810"/>
      <c r="AS229" s="1410">
        <f>AR229*$AH$4</f>
        <v>0</v>
      </c>
      <c r="AT229" s="809"/>
      <c r="AU229" s="810" t="str">
        <f t="shared" si="105"/>
        <v/>
      </c>
      <c r="AV229" s="2274" t="str">
        <f t="shared" si="111"/>
        <v/>
      </c>
      <c r="AW229" s="993"/>
      <c r="AX229" s="2016"/>
      <c r="AY229" s="2016"/>
      <c r="AZ229" s="2016"/>
      <c r="BA229" s="2016"/>
      <c r="BB229" s="2016"/>
      <c r="BC229" s="2030"/>
    </row>
    <row r="230" spans="1:55" ht="14" hidden="1" customHeight="1" outlineLevel="1" x14ac:dyDescent="0.25">
      <c r="A230" s="842" t="s">
        <v>813</v>
      </c>
      <c r="B230" s="781">
        <f t="shared" ref="B230:I230" si="118">SUM(B224:B228)</f>
        <v>354700</v>
      </c>
      <c r="C230" s="781">
        <f t="shared" si="118"/>
        <v>352933.91000000003</v>
      </c>
      <c r="D230" s="900">
        <f t="shared" si="118"/>
        <v>346682</v>
      </c>
      <c r="E230" s="782">
        <f t="shared" si="118"/>
        <v>348042.86</v>
      </c>
      <c r="F230" s="900">
        <f t="shared" si="118"/>
        <v>361019</v>
      </c>
      <c r="G230" s="900">
        <f t="shared" si="118"/>
        <v>346454.55</v>
      </c>
      <c r="H230" s="868">
        <f t="shared" si="118"/>
        <v>420587</v>
      </c>
      <c r="I230" s="868">
        <f t="shared" si="118"/>
        <v>476805.57</v>
      </c>
      <c r="J230" s="994">
        <f>SUM(J224:J228)</f>
        <v>488151</v>
      </c>
      <c r="K230" s="995">
        <v>38796</v>
      </c>
      <c r="L230" s="843">
        <f>SUM(L224:L229)</f>
        <v>517991.99</v>
      </c>
      <c r="M230" s="843">
        <f>SUM(M224:M229)</f>
        <v>555219</v>
      </c>
      <c r="N230" s="844">
        <f>SUM(N224:N229)</f>
        <v>473924</v>
      </c>
      <c r="O230" s="845">
        <f>SUM(O224:O229)</f>
        <v>475087</v>
      </c>
      <c r="P230" s="845">
        <f>SUM(P224:P229)</f>
        <v>490947</v>
      </c>
      <c r="Q230" s="819">
        <f>IF(SUM(Q228:Q229)=0,P230,SUM(Q224:Q229))</f>
        <v>490947</v>
      </c>
      <c r="R230" s="845">
        <f>SUM(R224:R229)</f>
        <v>465857</v>
      </c>
      <c r="S230" s="819">
        <f>IF(SUM(S228:S229)=0,R230,SUM(S224:S229))</f>
        <v>465857</v>
      </c>
      <c r="T230" s="819">
        <v>471958</v>
      </c>
      <c r="U230" s="819">
        <v>471958</v>
      </c>
      <c r="V230" s="845">
        <f>SUM(V224:V229)</f>
        <v>518656</v>
      </c>
      <c r="W230" s="819">
        <f>IF(SUM(W228:W229)=0,V230,SUM(W224:W229))</f>
        <v>573206</v>
      </c>
      <c r="X230" s="845">
        <f>SUM(X224:X229)</f>
        <v>596089</v>
      </c>
      <c r="Y230" s="819">
        <f>IF(SUM(Y228:Y229)=0,X230,SUM(Y224:Y229))</f>
        <v>596089</v>
      </c>
      <c r="Z230" s="845">
        <f>SUM(Z224:Z229)</f>
        <v>646563</v>
      </c>
      <c r="AA230" s="819">
        <f>IF(SUM(AA228:AA229)=0,Z230,SUM(AA224:AA229))</f>
        <v>646563</v>
      </c>
      <c r="AB230" s="845">
        <f>SUM(AB224:AB229)</f>
        <v>672456</v>
      </c>
      <c r="AC230" s="819">
        <f>IF(SUM(AC228:AC229)=0,AB230,SUM(AC224:AC229))</f>
        <v>672456</v>
      </c>
      <c r="AD230" s="819"/>
      <c r="AE230" s="819">
        <v>683473</v>
      </c>
      <c r="AF230" s="819">
        <v>683473</v>
      </c>
      <c r="AG230" s="819">
        <v>695476.51</v>
      </c>
      <c r="AH230" s="819">
        <v>658287</v>
      </c>
      <c r="AI230" s="785">
        <v>670460.07000000007</v>
      </c>
      <c r="AJ230" s="785">
        <v>687527</v>
      </c>
      <c r="AK230" s="785">
        <v>700577.27</v>
      </c>
      <c r="AL230" s="785">
        <v>669949</v>
      </c>
      <c r="AM230" s="785">
        <f t="shared" ref="AM230:AT230" si="119">SUM(AM224:AM229)</f>
        <v>678416.82000000007</v>
      </c>
      <c r="AN230" s="785">
        <f t="shared" si="119"/>
        <v>644446</v>
      </c>
      <c r="AO230" s="785">
        <f t="shared" si="119"/>
        <v>652737.99</v>
      </c>
      <c r="AP230" s="785">
        <f t="shared" si="119"/>
        <v>658304</v>
      </c>
      <c r="AQ230" s="785">
        <f t="shared" si="119"/>
        <v>666538.91999999993</v>
      </c>
      <c r="AR230" s="785">
        <f t="shared" si="119"/>
        <v>604841</v>
      </c>
      <c r="AS230" s="820">
        <f t="shared" ref="AS230" si="120">SUM(AS224:AS229)</f>
        <v>613066.30000000005</v>
      </c>
      <c r="AT230" s="819">
        <f t="shared" si="119"/>
        <v>625271</v>
      </c>
      <c r="AU230" s="785">
        <f t="shared" si="105"/>
        <v>20430</v>
      </c>
      <c r="AV230" s="2275">
        <f t="shared" si="111"/>
        <v>3.377747209597233E-2</v>
      </c>
      <c r="AW230" s="1616"/>
      <c r="AX230" s="2016"/>
      <c r="AY230" s="2016"/>
      <c r="AZ230" s="2016"/>
      <c r="BA230" s="2518">
        <f>POWER(AT230/AJ230,1/5)-1</f>
        <v>-1.8804143157066466E-2</v>
      </c>
      <c r="BB230" s="2518">
        <f>POWER(AT230/AA230,1/9)-1</f>
        <v>-3.7136966086237511E-3</v>
      </c>
      <c r="BC230" s="2332"/>
    </row>
    <row r="231" spans="1:55" ht="14" hidden="1" customHeight="1" outlineLevel="1" x14ac:dyDescent="0.25">
      <c r="A231" s="821" t="s">
        <v>160</v>
      </c>
      <c r="B231" s="793"/>
      <c r="C231" s="793"/>
      <c r="D231" s="892"/>
      <c r="E231" s="899"/>
      <c r="F231" s="892"/>
      <c r="G231" s="892"/>
      <c r="H231" s="893"/>
      <c r="I231" s="899"/>
      <c r="J231" s="996"/>
      <c r="K231" s="997"/>
      <c r="L231" s="829"/>
      <c r="M231" s="830"/>
      <c r="N231" s="824"/>
      <c r="O231" s="797"/>
      <c r="P231" s="797"/>
      <c r="Q231" s="797"/>
      <c r="R231" s="797"/>
      <c r="S231" s="797"/>
      <c r="T231" s="797"/>
      <c r="U231" s="797"/>
      <c r="V231" s="797"/>
      <c r="W231" s="797"/>
      <c r="X231" s="797"/>
      <c r="Y231" s="797"/>
      <c r="Z231" s="797"/>
      <c r="AA231" s="797"/>
      <c r="AB231" s="797"/>
      <c r="AC231" s="797"/>
      <c r="AD231" s="797"/>
      <c r="AE231" s="797"/>
      <c r="AF231" s="797"/>
      <c r="AG231" s="797"/>
      <c r="AH231" s="797"/>
      <c r="AI231" s="797"/>
      <c r="AJ231" s="797"/>
      <c r="AK231" s="797"/>
      <c r="AL231" s="797"/>
      <c r="AM231" s="797"/>
      <c r="AN231" s="797"/>
      <c r="AO231" s="797"/>
      <c r="AP231" s="797"/>
      <c r="AQ231" s="797"/>
      <c r="AR231" s="797"/>
      <c r="AS231" s="1636"/>
      <c r="AT231" s="997"/>
      <c r="AU231" s="797" t="str">
        <f t="shared" si="105"/>
        <v/>
      </c>
      <c r="AV231" s="2290" t="str">
        <f t="shared" si="111"/>
        <v/>
      </c>
      <c r="AW231" s="803"/>
      <c r="AX231" s="2016"/>
      <c r="AY231" s="2016"/>
      <c r="AZ231" s="2016"/>
      <c r="BA231" s="2016"/>
      <c r="BB231" s="2016"/>
    </row>
    <row r="232" spans="1:55" ht="14" hidden="1" customHeight="1" outlineLevel="1" x14ac:dyDescent="0.25">
      <c r="A232" s="779" t="s">
        <v>219</v>
      </c>
      <c r="B232" s="804"/>
      <c r="C232" s="804"/>
      <c r="D232" s="894"/>
      <c r="E232" s="852"/>
      <c r="F232" s="894"/>
      <c r="G232" s="894"/>
      <c r="H232" s="895"/>
      <c r="I232" s="852"/>
      <c r="J232" s="847"/>
      <c r="K232" s="825"/>
      <c r="L232" s="831"/>
      <c r="M232" s="831"/>
      <c r="N232" s="805"/>
      <c r="O232" s="825"/>
      <c r="P232" s="825"/>
      <c r="Q232" s="825"/>
      <c r="R232" s="825"/>
      <c r="S232" s="825"/>
      <c r="T232" s="825"/>
      <c r="U232" s="825"/>
      <c r="V232" s="825"/>
      <c r="W232" s="825"/>
      <c r="X232" s="825"/>
      <c r="Y232" s="825"/>
      <c r="Z232" s="825"/>
      <c r="AA232" s="825"/>
      <c r="AB232" s="825"/>
      <c r="AC232" s="825"/>
      <c r="AD232" s="825"/>
      <c r="AE232" s="825"/>
      <c r="AF232" s="825"/>
      <c r="AG232" s="825"/>
      <c r="AH232" s="825"/>
      <c r="AI232" s="825"/>
      <c r="AJ232" s="825"/>
      <c r="AK232" s="825"/>
      <c r="AL232" s="825"/>
      <c r="AM232" s="825"/>
      <c r="AN232" s="825"/>
      <c r="AO232" s="825"/>
      <c r="AP232" s="825"/>
      <c r="AQ232" s="825"/>
      <c r="AR232" s="825"/>
      <c r="AS232" s="1110"/>
      <c r="AT232" s="1040"/>
      <c r="AU232" s="825" t="str">
        <f t="shared" si="105"/>
        <v/>
      </c>
      <c r="AV232" s="2274" t="str">
        <f t="shared" si="111"/>
        <v/>
      </c>
      <c r="AW232" s="778"/>
      <c r="AX232" s="2016"/>
      <c r="AY232" s="2016"/>
      <c r="AZ232" s="2016"/>
      <c r="BA232" s="2016"/>
      <c r="BB232" s="2016"/>
    </row>
    <row r="233" spans="1:55" ht="14" hidden="1" customHeight="1" outlineLevel="1" x14ac:dyDescent="0.25">
      <c r="A233" s="998" t="s">
        <v>551</v>
      </c>
      <c r="B233" s="775">
        <v>62078</v>
      </c>
      <c r="C233" s="773">
        <v>85323.6</v>
      </c>
      <c r="D233" s="850">
        <v>64331</v>
      </c>
      <c r="E233" s="777">
        <v>64331</v>
      </c>
      <c r="F233" s="850">
        <v>64382</v>
      </c>
      <c r="G233" s="850">
        <v>96115.54</v>
      </c>
      <c r="H233" s="851">
        <v>65718</v>
      </c>
      <c r="I233" s="777">
        <v>63879.63</v>
      </c>
      <c r="J233" s="806">
        <v>67033</v>
      </c>
      <c r="K233" s="788"/>
      <c r="L233" s="840">
        <v>84989.57</v>
      </c>
      <c r="M233" s="999">
        <v>92251</v>
      </c>
      <c r="N233" s="808">
        <v>78581</v>
      </c>
      <c r="O233" s="788">
        <v>78581</v>
      </c>
      <c r="P233" s="788">
        <v>78581</v>
      </c>
      <c r="Q233" s="788">
        <v>78581</v>
      </c>
      <c r="R233" s="788">
        <v>78581</v>
      </c>
      <c r="S233" s="788"/>
      <c r="T233" s="788">
        <v>78581</v>
      </c>
      <c r="U233" s="788">
        <v>78581</v>
      </c>
      <c r="V233" s="788">
        <v>80152</v>
      </c>
      <c r="W233" s="788">
        <v>26600</v>
      </c>
      <c r="X233" s="810">
        <v>28000</v>
      </c>
      <c r="Y233" s="810">
        <v>28000</v>
      </c>
      <c r="Z233" s="810">
        <v>29720</v>
      </c>
      <c r="AA233" s="810">
        <f>Z233</f>
        <v>29720</v>
      </c>
      <c r="AB233" s="810">
        <v>30828</v>
      </c>
      <c r="AC233" s="810">
        <f>AB233</f>
        <v>30828</v>
      </c>
      <c r="AD233" s="810"/>
      <c r="AE233" s="810">
        <v>30828</v>
      </c>
      <c r="AF233" s="810"/>
      <c r="AG233" s="810">
        <v>31752.84</v>
      </c>
      <c r="AH233" s="810">
        <v>30828</v>
      </c>
      <c r="AI233" s="810">
        <v>31752.84</v>
      </c>
      <c r="AJ233" s="810">
        <v>32370</v>
      </c>
      <c r="AK233" s="810">
        <v>33341.1</v>
      </c>
      <c r="AL233" s="810">
        <v>33870</v>
      </c>
      <c r="AM233" s="810">
        <f>AL233*$AK$5</f>
        <v>34547.4</v>
      </c>
      <c r="AN233" s="810">
        <v>33870</v>
      </c>
      <c r="AO233" s="810">
        <v>34547.4</v>
      </c>
      <c r="AP233" s="810">
        <v>38870</v>
      </c>
      <c r="AQ233" s="810">
        <f>AP233*$AK$5</f>
        <v>39647.4</v>
      </c>
      <c r="AR233" s="810">
        <v>38870</v>
      </c>
      <c r="AS233" s="1410">
        <f>AR233*$AK$5</f>
        <v>39647.4</v>
      </c>
      <c r="AT233" s="809">
        <f>'[1]BUDGET DETAIL'!$CX$619</f>
        <v>38870</v>
      </c>
      <c r="AU233" s="810">
        <f t="shared" si="105"/>
        <v>0</v>
      </c>
      <c r="AV233" s="2274">
        <f t="shared" si="111"/>
        <v>0</v>
      </c>
      <c r="AW233" s="778"/>
      <c r="AX233" s="2016"/>
      <c r="AY233" s="2016"/>
      <c r="AZ233" s="2016"/>
      <c r="BA233" s="2016"/>
      <c r="BB233" s="2016"/>
    </row>
    <row r="234" spans="1:55" ht="14" hidden="1" customHeight="1" outlineLevel="1" x14ac:dyDescent="0.25">
      <c r="A234" s="779" t="s">
        <v>812</v>
      </c>
      <c r="B234" s="775">
        <v>103950</v>
      </c>
      <c r="C234" s="773">
        <v>162773.01999999999</v>
      </c>
      <c r="D234" s="850">
        <v>101825</v>
      </c>
      <c r="E234" s="777">
        <v>101565.63</v>
      </c>
      <c r="F234" s="850">
        <v>102605</v>
      </c>
      <c r="G234" s="850">
        <v>278462.90000000002</v>
      </c>
      <c r="H234" s="851">
        <v>105105</v>
      </c>
      <c r="I234" s="777">
        <v>126882.74</v>
      </c>
      <c r="J234" s="806">
        <v>107615</v>
      </c>
      <c r="K234" s="827" t="s">
        <v>455</v>
      </c>
      <c r="L234" s="812">
        <v>235829.54</v>
      </c>
      <c r="M234" s="1000">
        <v>290227</v>
      </c>
      <c r="N234" s="813">
        <v>160080</v>
      </c>
      <c r="O234" s="825">
        <v>160080</v>
      </c>
      <c r="P234" s="788">
        <v>164285</v>
      </c>
      <c r="Q234" s="788">
        <v>164285</v>
      </c>
      <c r="R234" s="788">
        <v>164285</v>
      </c>
      <c r="S234" s="825"/>
      <c r="T234" s="825">
        <v>167565</v>
      </c>
      <c r="U234" s="825">
        <v>167565</v>
      </c>
      <c r="V234" s="788">
        <v>170565</v>
      </c>
      <c r="W234" s="788">
        <v>169565</v>
      </c>
      <c r="X234" s="810">
        <v>174400</v>
      </c>
      <c r="Y234" s="810">
        <v>174400</v>
      </c>
      <c r="Z234" s="810">
        <v>176445</v>
      </c>
      <c r="AA234" s="810">
        <f>Z234</f>
        <v>176445</v>
      </c>
      <c r="AB234" s="810">
        <v>180155</v>
      </c>
      <c r="AC234" s="810">
        <f>AB234</f>
        <v>180155</v>
      </c>
      <c r="AD234" s="810"/>
      <c r="AE234" s="810">
        <v>183345</v>
      </c>
      <c r="AF234" s="810"/>
      <c r="AG234" s="810">
        <v>183345</v>
      </c>
      <c r="AH234" s="810">
        <v>183345</v>
      </c>
      <c r="AI234" s="810">
        <v>183345</v>
      </c>
      <c r="AJ234" s="810">
        <v>183345</v>
      </c>
      <c r="AK234" s="810">
        <v>183345</v>
      </c>
      <c r="AL234" s="810">
        <v>181845</v>
      </c>
      <c r="AM234" s="810">
        <f>AL234*$AH$4</f>
        <v>181845</v>
      </c>
      <c r="AN234" s="810">
        <v>181845</v>
      </c>
      <c r="AO234" s="810">
        <v>181845</v>
      </c>
      <c r="AP234" s="810">
        <v>176845</v>
      </c>
      <c r="AQ234" s="810">
        <f>AP234*$AH$4</f>
        <v>176845</v>
      </c>
      <c r="AR234" s="810">
        <v>176845</v>
      </c>
      <c r="AS234" s="1410">
        <f>AR234*$AH$4</f>
        <v>176845</v>
      </c>
      <c r="AT234" s="809">
        <f>'[1]BUDGET DETAIL'!$CX$628</f>
        <v>176845</v>
      </c>
      <c r="AU234" s="810">
        <f t="shared" si="105"/>
        <v>0</v>
      </c>
      <c r="AV234" s="2274">
        <f t="shared" si="111"/>
        <v>0</v>
      </c>
      <c r="AW234" s="1423" t="s">
        <v>1056</v>
      </c>
      <c r="AX234" s="2016"/>
      <c r="AY234" s="2016"/>
      <c r="AZ234" s="2016"/>
      <c r="BA234" s="2016"/>
      <c r="BB234" s="2016"/>
      <c r="BC234" s="2011"/>
    </row>
    <row r="235" spans="1:55" ht="14" hidden="1" customHeight="1" outlineLevel="1" x14ac:dyDescent="0.25">
      <c r="A235" s="842" t="s">
        <v>813</v>
      </c>
      <c r="B235" s="781">
        <f t="shared" ref="B235:I235" si="121">SUM(B233:B234)</f>
        <v>166028</v>
      </c>
      <c r="C235" s="781">
        <f t="shared" si="121"/>
        <v>248096.62</v>
      </c>
      <c r="D235" s="900">
        <f t="shared" si="121"/>
        <v>166156</v>
      </c>
      <c r="E235" s="782">
        <f t="shared" si="121"/>
        <v>165896.63</v>
      </c>
      <c r="F235" s="900">
        <f t="shared" si="121"/>
        <v>166987</v>
      </c>
      <c r="G235" s="900">
        <f t="shared" si="121"/>
        <v>374578.44</v>
      </c>
      <c r="H235" s="868">
        <f t="shared" si="121"/>
        <v>170823</v>
      </c>
      <c r="I235" s="868">
        <f t="shared" si="121"/>
        <v>190762.37</v>
      </c>
      <c r="J235" s="784">
        <f>SUM(J233:J234)</f>
        <v>174648</v>
      </c>
      <c r="K235" s="995">
        <v>38796</v>
      </c>
      <c r="L235" s="950">
        <f>SUM(L232:L234)</f>
        <v>320819.11</v>
      </c>
      <c r="M235" s="950">
        <f>SUM(M232:M234)</f>
        <v>382478</v>
      </c>
      <c r="N235" s="844">
        <f>SUM(N233:N234)</f>
        <v>238661</v>
      </c>
      <c r="O235" s="928">
        <f>O233+O234</f>
        <v>238661</v>
      </c>
      <c r="P235" s="928">
        <f>P233+P234</f>
        <v>242866</v>
      </c>
      <c r="Q235" s="819">
        <f>IF(SUM(Q233:Q234)=0,P235,SUM(Q233:Q234))</f>
        <v>242866</v>
      </c>
      <c r="R235" s="928">
        <f>R233+R234</f>
        <v>242866</v>
      </c>
      <c r="S235" s="819">
        <f>IF(SUM(S233:S234)=0,R235,SUM(S233:S234))</f>
        <v>242866</v>
      </c>
      <c r="T235" s="819">
        <v>246146</v>
      </c>
      <c r="U235" s="819">
        <v>246146</v>
      </c>
      <c r="V235" s="928">
        <f>V233+V234</f>
        <v>250717</v>
      </c>
      <c r="W235" s="819">
        <f>IF(SUM(W233:W234)=0,V235,SUM(W233:W234))</f>
        <v>196165</v>
      </c>
      <c r="X235" s="928">
        <f>X233+X234</f>
        <v>202400</v>
      </c>
      <c r="Y235" s="819">
        <f>IF(SUM(Y233:Y234)=0,X235,SUM(Y233:Y234))</f>
        <v>202400</v>
      </c>
      <c r="Z235" s="928">
        <f>Z233+Z234</f>
        <v>206165</v>
      </c>
      <c r="AA235" s="819">
        <f>IF(SUM(AA233:AA234)=0,Z235,SUM(AA233:AA234))</f>
        <v>206165</v>
      </c>
      <c r="AB235" s="928">
        <f>AB233+AB234</f>
        <v>210983</v>
      </c>
      <c r="AC235" s="819">
        <f>IF(SUM(AC233:AC234)=0,AB235,SUM(AC233:AC234))</f>
        <v>210983</v>
      </c>
      <c r="AD235" s="819"/>
      <c r="AE235" s="819">
        <v>214173</v>
      </c>
      <c r="AF235" s="819">
        <v>214173</v>
      </c>
      <c r="AG235" s="819">
        <v>215097.84</v>
      </c>
      <c r="AH235" s="819">
        <v>214173</v>
      </c>
      <c r="AI235" s="785">
        <v>215097.84</v>
      </c>
      <c r="AJ235" s="785">
        <v>215715</v>
      </c>
      <c r="AK235" s="785">
        <v>216686.1</v>
      </c>
      <c r="AL235" s="785">
        <v>215715</v>
      </c>
      <c r="AM235" s="785">
        <f t="shared" ref="AM235:AT235" si="122">SUM(AM233:AM234)</f>
        <v>216392.4</v>
      </c>
      <c r="AN235" s="785">
        <f t="shared" si="122"/>
        <v>215715</v>
      </c>
      <c r="AO235" s="785">
        <f t="shared" si="122"/>
        <v>216392.4</v>
      </c>
      <c r="AP235" s="785">
        <f t="shared" si="122"/>
        <v>215715</v>
      </c>
      <c r="AQ235" s="785">
        <f t="shared" si="122"/>
        <v>216492.4</v>
      </c>
      <c r="AR235" s="785">
        <f t="shared" si="122"/>
        <v>215715</v>
      </c>
      <c r="AS235" s="820">
        <f t="shared" ref="AS235" si="123">SUM(AS233:AS234)</f>
        <v>216492.4</v>
      </c>
      <c r="AT235" s="819">
        <f t="shared" si="122"/>
        <v>215715</v>
      </c>
      <c r="AU235" s="785">
        <f t="shared" si="105"/>
        <v>0</v>
      </c>
      <c r="AV235" s="2275">
        <f t="shared" si="111"/>
        <v>0</v>
      </c>
      <c r="AW235" s="778"/>
      <c r="AX235" s="2016"/>
      <c r="AY235" s="2016"/>
      <c r="AZ235" s="2016"/>
      <c r="BA235" s="2518">
        <f>POWER(AT235/AJ235,1/5)-1</f>
        <v>0</v>
      </c>
      <c r="BB235" s="2518">
        <f>POWER(AT235/AA235,1/9)-1</f>
        <v>5.0439305541698509E-3</v>
      </c>
      <c r="BC235" s="2332"/>
    </row>
    <row r="236" spans="1:55" ht="14" hidden="1" customHeight="1" outlineLevel="1" x14ac:dyDescent="0.25">
      <c r="A236" s="790" t="s">
        <v>62</v>
      </c>
      <c r="B236" s="791"/>
      <c r="C236" s="793"/>
      <c r="D236" s="792"/>
      <c r="E236" s="794"/>
      <c r="F236" s="792"/>
      <c r="G236" s="792"/>
      <c r="H236" s="794"/>
      <c r="I236" s="795"/>
      <c r="J236" s="996"/>
      <c r="K236" s="997"/>
      <c r="L236" s="829"/>
      <c r="M236" s="830"/>
      <c r="N236" s="824"/>
      <c r="O236" s="797"/>
      <c r="P236" s="797"/>
      <c r="Q236" s="797"/>
      <c r="R236" s="797"/>
      <c r="S236" s="797"/>
      <c r="T236" s="797"/>
      <c r="U236" s="797"/>
      <c r="V236" s="797"/>
      <c r="W236" s="797"/>
      <c r="X236" s="797"/>
      <c r="Y236" s="797"/>
      <c r="Z236" s="797"/>
      <c r="AA236" s="797"/>
      <c r="AB236" s="797"/>
      <c r="AC236" s="797"/>
      <c r="AD236" s="797"/>
      <c r="AE236" s="797"/>
      <c r="AF236" s="797"/>
      <c r="AG236" s="797"/>
      <c r="AH236" s="797"/>
      <c r="AI236" s="797"/>
      <c r="AJ236" s="797"/>
      <c r="AK236" s="797"/>
      <c r="AL236" s="797"/>
      <c r="AM236" s="797"/>
      <c r="AN236" s="797"/>
      <c r="AO236" s="797"/>
      <c r="AP236" s="797"/>
      <c r="AQ236" s="797"/>
      <c r="AR236" s="797"/>
      <c r="AS236" s="1636"/>
      <c r="AT236" s="997"/>
      <c r="AU236" s="797" t="str">
        <f t="shared" si="105"/>
        <v/>
      </c>
      <c r="AV236" s="2290" t="str">
        <f t="shared" si="111"/>
        <v/>
      </c>
      <c r="AW236" s="803"/>
      <c r="AX236" s="2016"/>
      <c r="AY236" s="2016"/>
      <c r="AZ236" s="2016"/>
      <c r="BA236" s="2016"/>
      <c r="BB236" s="2016"/>
    </row>
    <row r="237" spans="1:55" ht="14" hidden="1" customHeight="1" outlineLevel="1" x14ac:dyDescent="0.25">
      <c r="A237" s="779" t="s">
        <v>220</v>
      </c>
      <c r="B237" s="772"/>
      <c r="C237" s="804"/>
      <c r="D237" s="773"/>
      <c r="E237" s="834"/>
      <c r="F237" s="834"/>
      <c r="G237" s="834"/>
      <c r="H237" s="774"/>
      <c r="J237" s="847"/>
      <c r="K237" s="825"/>
      <c r="L237" s="831"/>
      <c r="M237" s="831"/>
      <c r="N237" s="805"/>
      <c r="O237" s="825"/>
      <c r="P237" s="825"/>
      <c r="Q237" s="825"/>
      <c r="R237" s="825"/>
      <c r="S237" s="825"/>
      <c r="T237" s="825"/>
      <c r="U237" s="825"/>
      <c r="V237" s="825"/>
      <c r="W237" s="825"/>
      <c r="X237" s="825"/>
      <c r="Y237" s="825"/>
      <c r="Z237" s="825"/>
      <c r="AA237" s="825"/>
      <c r="AB237" s="825"/>
      <c r="AC237" s="825"/>
      <c r="AD237" s="825"/>
      <c r="AE237" s="825"/>
      <c r="AF237" s="825"/>
      <c r="AG237" s="825"/>
      <c r="AH237" s="825"/>
      <c r="AI237" s="825"/>
      <c r="AJ237" s="825"/>
      <c r="AK237" s="825"/>
      <c r="AL237" s="825"/>
      <c r="AM237" s="825"/>
      <c r="AN237" s="825"/>
      <c r="AO237" s="825"/>
      <c r="AP237" s="825"/>
      <c r="AQ237" s="825"/>
      <c r="AR237" s="825"/>
      <c r="AS237" s="1110"/>
      <c r="AT237" s="1040"/>
      <c r="AU237" s="825" t="str">
        <f t="shared" si="105"/>
        <v/>
      </c>
      <c r="AV237" s="2274" t="str">
        <f t="shared" si="111"/>
        <v/>
      </c>
      <c r="AW237" s="778"/>
      <c r="AX237" s="2016"/>
      <c r="AY237" s="2016"/>
      <c r="AZ237" s="2016"/>
      <c r="BA237" s="2016"/>
      <c r="BB237" s="2016"/>
    </row>
    <row r="238" spans="1:55" ht="14" hidden="1" customHeight="1" outlineLevel="1" x14ac:dyDescent="0.25">
      <c r="A238" s="779" t="s">
        <v>811</v>
      </c>
      <c r="B238" s="772">
        <v>0</v>
      </c>
      <c r="C238" s="773"/>
      <c r="D238" s="773"/>
      <c r="E238" s="773"/>
      <c r="F238" s="773"/>
      <c r="G238" s="773"/>
      <c r="H238" s="774"/>
      <c r="J238" s="806"/>
      <c r="K238" s="788"/>
      <c r="L238" s="855"/>
      <c r="M238" s="855"/>
      <c r="N238" s="813"/>
      <c r="O238" s="788"/>
      <c r="P238" s="788"/>
      <c r="Q238" s="788"/>
      <c r="R238" s="788"/>
      <c r="S238" s="788"/>
      <c r="T238" s="788"/>
      <c r="U238" s="788"/>
      <c r="V238" s="788"/>
      <c r="W238" s="788"/>
      <c r="X238" s="788"/>
      <c r="Y238" s="788"/>
      <c r="Z238" s="788"/>
      <c r="AA238" s="788"/>
      <c r="AB238" s="788"/>
      <c r="AC238" s="788"/>
      <c r="AD238" s="788"/>
      <c r="AE238" s="788"/>
      <c r="AF238" s="788"/>
      <c r="AG238" s="788"/>
      <c r="AH238" s="788"/>
      <c r="AI238" s="788"/>
      <c r="AJ238" s="788"/>
      <c r="AK238" s="788"/>
      <c r="AL238" s="788"/>
      <c r="AM238" s="788"/>
      <c r="AN238" s="788"/>
      <c r="AO238" s="788"/>
      <c r="AP238" s="788"/>
      <c r="AQ238" s="788"/>
      <c r="AR238" s="788"/>
      <c r="AS238" s="841"/>
      <c r="AT238" s="891"/>
      <c r="AU238" s="788" t="str">
        <f t="shared" si="105"/>
        <v/>
      </c>
      <c r="AV238" s="2272" t="str">
        <f t="shared" si="111"/>
        <v/>
      </c>
      <c r="AW238" s="778"/>
      <c r="AX238" s="2016"/>
      <c r="AY238" s="2016"/>
      <c r="AZ238" s="2016"/>
      <c r="BA238" s="2016"/>
      <c r="BB238" s="2016"/>
    </row>
    <row r="239" spans="1:55" ht="14" hidden="1" customHeight="1" outlineLevel="1" x14ac:dyDescent="0.25">
      <c r="A239" s="779" t="s">
        <v>812</v>
      </c>
      <c r="B239" s="772">
        <v>16000</v>
      </c>
      <c r="C239" s="773">
        <v>14308.5</v>
      </c>
      <c r="D239" s="773">
        <v>16000</v>
      </c>
      <c r="E239" s="773">
        <v>15950.93</v>
      </c>
      <c r="F239" s="773">
        <v>16000</v>
      </c>
      <c r="G239" s="773">
        <v>15958.93</v>
      </c>
      <c r="H239" s="774">
        <v>16800</v>
      </c>
      <c r="I239" s="712">
        <v>17364.93</v>
      </c>
      <c r="J239" s="806">
        <v>20160</v>
      </c>
      <c r="K239" s="825"/>
      <c r="L239" s="898">
        <v>19937.560000000001</v>
      </c>
      <c r="M239" s="898">
        <v>21065</v>
      </c>
      <c r="N239" s="805">
        <v>18900</v>
      </c>
      <c r="O239" s="825">
        <v>18900</v>
      </c>
      <c r="P239" s="788">
        <v>18900</v>
      </c>
      <c r="Q239" s="788">
        <v>18900</v>
      </c>
      <c r="R239" s="788">
        <v>18900</v>
      </c>
      <c r="S239" s="825"/>
      <c r="T239" s="825">
        <v>19275</v>
      </c>
      <c r="U239" s="825">
        <v>19275</v>
      </c>
      <c r="V239" s="810">
        <v>19660</v>
      </c>
      <c r="W239" s="788">
        <f>V239</f>
        <v>19660</v>
      </c>
      <c r="X239" s="810">
        <v>20250</v>
      </c>
      <c r="Y239" s="810">
        <v>20250</v>
      </c>
      <c r="Z239" s="810">
        <v>20858</v>
      </c>
      <c r="AA239" s="810">
        <f>Z239</f>
        <v>20858</v>
      </c>
      <c r="AB239" s="810">
        <v>21200</v>
      </c>
      <c r="AC239" s="810">
        <f>AB239</f>
        <v>21200</v>
      </c>
      <c r="AD239" s="810"/>
      <c r="AE239" s="810">
        <v>22685</v>
      </c>
      <c r="AF239" s="810"/>
      <c r="AG239" s="810">
        <v>22685</v>
      </c>
      <c r="AH239" s="810">
        <v>24860</v>
      </c>
      <c r="AI239" s="810">
        <v>24860</v>
      </c>
      <c r="AJ239" s="810">
        <v>26104</v>
      </c>
      <c r="AK239" s="810">
        <v>26104</v>
      </c>
      <c r="AL239" s="810">
        <v>26104</v>
      </c>
      <c r="AM239" s="810">
        <f>AL239*$AH$4</f>
        <v>26104</v>
      </c>
      <c r="AN239" s="810">
        <v>30000</v>
      </c>
      <c r="AO239" s="810">
        <v>30000</v>
      </c>
      <c r="AP239" s="810">
        <v>30000</v>
      </c>
      <c r="AQ239" s="810">
        <f>AP239*$AH$4</f>
        <v>30000</v>
      </c>
      <c r="AR239" s="810">
        <v>33000</v>
      </c>
      <c r="AS239" s="1410">
        <f>AR239*$AH$4</f>
        <v>33000</v>
      </c>
      <c r="AT239" s="809">
        <f>'[1]BUDGET DETAIL'!$CX$634</f>
        <v>33000</v>
      </c>
      <c r="AU239" s="810">
        <f t="shared" si="105"/>
        <v>0</v>
      </c>
      <c r="AV239" s="2274">
        <f t="shared" si="111"/>
        <v>0</v>
      </c>
      <c r="AW239" s="1423"/>
      <c r="AX239" s="2016"/>
      <c r="AY239" s="2122"/>
      <c r="AZ239" s="2122"/>
      <c r="BA239" s="2122"/>
      <c r="BB239" s="2122"/>
      <c r="BC239" s="2239"/>
    </row>
    <row r="240" spans="1:55" ht="14" hidden="1" customHeight="1" outlineLevel="1" x14ac:dyDescent="0.25">
      <c r="A240" s="856" t="s">
        <v>813</v>
      </c>
      <c r="B240" s="781">
        <f>SUM(B238:B239)</f>
        <v>16000</v>
      </c>
      <c r="C240" s="782">
        <f>SUM(C238:C239)</f>
        <v>14308.5</v>
      </c>
      <c r="D240" s="868">
        <f>SUM(D238:D239)</f>
        <v>16000</v>
      </c>
      <c r="E240" s="782">
        <f>SUM(E239)</f>
        <v>15950.93</v>
      </c>
      <c r="F240" s="868">
        <f>SUM(F238:F239)</f>
        <v>16000</v>
      </c>
      <c r="G240" s="868">
        <f>SUM(G238:G239)</f>
        <v>15958.93</v>
      </c>
      <c r="H240" s="868">
        <f>SUM(H238:H239)</f>
        <v>16800</v>
      </c>
      <c r="I240" s="868">
        <f>SUM(I238:I239)</f>
        <v>17364.93</v>
      </c>
      <c r="J240" s="869">
        <f>SUM(J238:J239)</f>
        <v>20160</v>
      </c>
      <c r="K240" s="785" t="s">
        <v>455</v>
      </c>
      <c r="L240" s="879">
        <f>SUM(L238:L239)</f>
        <v>19937.560000000001</v>
      </c>
      <c r="M240" s="879">
        <f>SUM(M238:M239)</f>
        <v>21065</v>
      </c>
      <c r="N240" s="880">
        <f>SUM(N238:N239)</f>
        <v>18900</v>
      </c>
      <c r="O240" s="785">
        <f>O239</f>
        <v>18900</v>
      </c>
      <c r="P240" s="820">
        <f>P239</f>
        <v>18900</v>
      </c>
      <c r="Q240" s="819">
        <f>IF(SUM(Q238:Q239)=0,P240,SUM(Q238:Q239))</f>
        <v>18900</v>
      </c>
      <c r="R240" s="820">
        <f>R239</f>
        <v>18900</v>
      </c>
      <c r="S240" s="819">
        <f>IF(SUM(S238:S239)=0,R240,SUM(S238:S239))</f>
        <v>18900</v>
      </c>
      <c r="T240" s="820">
        <v>19275</v>
      </c>
      <c r="U240" s="820">
        <v>19275</v>
      </c>
      <c r="V240" s="820">
        <f>V239</f>
        <v>19660</v>
      </c>
      <c r="W240" s="819">
        <f>IF(SUM(W238:W239)=0,V240,SUM(W238:W239))</f>
        <v>19660</v>
      </c>
      <c r="X240" s="820">
        <f>X239</f>
        <v>20250</v>
      </c>
      <c r="Y240" s="819">
        <f>IF(SUM(Y238:Y239)=0,X240,SUM(Y238:Y239))</f>
        <v>20250</v>
      </c>
      <c r="Z240" s="820">
        <f>Z239</f>
        <v>20858</v>
      </c>
      <c r="AA240" s="819">
        <f>IF(SUM(AA238:AA239)=0,Z240,SUM(AA238:AA239))</f>
        <v>20858</v>
      </c>
      <c r="AB240" s="820">
        <f>AB239</f>
        <v>21200</v>
      </c>
      <c r="AC240" s="819">
        <f>IF(SUM(AC238:AC239)=0,AB240,SUM(AC238:AC239))</f>
        <v>21200</v>
      </c>
      <c r="AD240" s="819"/>
      <c r="AE240" s="819">
        <v>22685</v>
      </c>
      <c r="AF240" s="819">
        <v>22685</v>
      </c>
      <c r="AG240" s="819">
        <v>22685</v>
      </c>
      <c r="AH240" s="819">
        <v>24860</v>
      </c>
      <c r="AI240" s="785">
        <v>24860</v>
      </c>
      <c r="AJ240" s="785">
        <v>26104</v>
      </c>
      <c r="AK240" s="785">
        <v>26104</v>
      </c>
      <c r="AL240" s="785">
        <v>26104</v>
      </c>
      <c r="AM240" s="785">
        <f t="shared" ref="AM240:AT240" si="124">SUM(AM239)</f>
        <v>26104</v>
      </c>
      <c r="AN240" s="785">
        <f t="shared" si="124"/>
        <v>30000</v>
      </c>
      <c r="AO240" s="785">
        <f t="shared" si="124"/>
        <v>30000</v>
      </c>
      <c r="AP240" s="785">
        <f t="shared" si="124"/>
        <v>30000</v>
      </c>
      <c r="AQ240" s="785">
        <f t="shared" si="124"/>
        <v>30000</v>
      </c>
      <c r="AR240" s="785">
        <f t="shared" si="124"/>
        <v>33000</v>
      </c>
      <c r="AS240" s="820">
        <f t="shared" ref="AS240" si="125">SUM(AS239)</f>
        <v>33000</v>
      </c>
      <c r="AT240" s="819">
        <f t="shared" si="124"/>
        <v>33000</v>
      </c>
      <c r="AU240" s="785">
        <f t="shared" si="105"/>
        <v>0</v>
      </c>
      <c r="AV240" s="2275">
        <f t="shared" si="111"/>
        <v>0</v>
      </c>
      <c r="AX240" s="2016"/>
      <c r="AY240" s="2016"/>
      <c r="AZ240" s="2016"/>
      <c r="BA240" s="2518">
        <f>POWER(AT240/AJ240,1/5)-1</f>
        <v>4.8000224834005456E-2</v>
      </c>
      <c r="BB240" s="2518">
        <f>POWER(AT240/AA240,1/9)-1</f>
        <v>5.2296000201948356E-2</v>
      </c>
      <c r="BC240" s="2332"/>
    </row>
    <row r="241" spans="1:55" ht="14" hidden="1" customHeight="1" outlineLevel="1" x14ac:dyDescent="0.25">
      <c r="A241" s="790"/>
      <c r="B241" s="871"/>
      <c r="C241" s="872"/>
      <c r="D241" s="1001"/>
      <c r="E241" s="872"/>
      <c r="F241" s="1001"/>
      <c r="G241" s="1001"/>
      <c r="H241" s="1002"/>
      <c r="I241" s="874"/>
      <c r="J241" s="1003"/>
      <c r="K241" s="997"/>
      <c r="L241" s="829"/>
      <c r="M241" s="830"/>
      <c r="N241" s="824"/>
      <c r="O241" s="797"/>
      <c r="P241" s="797"/>
      <c r="Q241" s="797"/>
      <c r="R241" s="797"/>
      <c r="S241" s="797"/>
      <c r="T241" s="797"/>
      <c r="U241" s="797"/>
      <c r="V241" s="797"/>
      <c r="W241" s="797"/>
      <c r="X241" s="797"/>
      <c r="Y241" s="797"/>
      <c r="Z241" s="797"/>
      <c r="AA241" s="797"/>
      <c r="AB241" s="797"/>
      <c r="AC241" s="797"/>
      <c r="AD241" s="797"/>
      <c r="AE241" s="797"/>
      <c r="AF241" s="797"/>
      <c r="AG241" s="797"/>
      <c r="AH241" s="797"/>
      <c r="AI241" s="797"/>
      <c r="AJ241" s="797"/>
      <c r="AK241" s="797"/>
      <c r="AL241" s="797"/>
      <c r="AM241" s="797"/>
      <c r="AN241" s="797"/>
      <c r="AO241" s="797"/>
      <c r="AP241" s="797"/>
      <c r="AQ241" s="797"/>
      <c r="AR241" s="797"/>
      <c r="AS241" s="1636"/>
      <c r="AT241" s="997"/>
      <c r="AU241" s="797" t="str">
        <f t="shared" si="105"/>
        <v/>
      </c>
      <c r="AV241" s="2290" t="str">
        <f t="shared" si="111"/>
        <v/>
      </c>
      <c r="AW241" s="803"/>
      <c r="AX241" s="2016"/>
      <c r="AY241" s="2016"/>
      <c r="AZ241" s="2016"/>
      <c r="BA241" s="2016"/>
      <c r="BB241" s="2016"/>
    </row>
    <row r="242" spans="1:55" ht="14" customHeight="1" thickTop="1" x14ac:dyDescent="0.25">
      <c r="A242" s="771" t="s">
        <v>582</v>
      </c>
      <c r="B242" s="772"/>
      <c r="C242" s="773"/>
      <c r="D242" s="773"/>
      <c r="E242" s="773"/>
      <c r="F242" s="773"/>
      <c r="G242" s="834"/>
      <c r="H242" s="774"/>
      <c r="J242" s="847"/>
      <c r="K242" s="825"/>
      <c r="L242" s="831"/>
      <c r="M242" s="831"/>
      <c r="N242" s="805"/>
      <c r="O242" s="825"/>
      <c r="P242" s="825"/>
      <c r="Q242" s="825"/>
      <c r="R242" s="825"/>
      <c r="S242" s="825"/>
      <c r="T242" s="825"/>
      <c r="U242" s="825"/>
      <c r="V242" s="825"/>
      <c r="W242" s="825"/>
      <c r="X242" s="825"/>
      <c r="Y242" s="825"/>
      <c r="Z242" s="825"/>
      <c r="AA242" s="825"/>
      <c r="AB242" s="825"/>
      <c r="AC242" s="825"/>
      <c r="AD242" s="825"/>
      <c r="AE242" s="825"/>
      <c r="AF242" s="825"/>
      <c r="AG242" s="825"/>
      <c r="AH242" s="825"/>
      <c r="AI242" s="825"/>
      <c r="AJ242" s="825"/>
      <c r="AK242" s="825"/>
      <c r="AL242" s="825"/>
      <c r="AM242" s="825"/>
      <c r="AN242" s="825"/>
      <c r="AO242" s="825"/>
      <c r="AP242" s="825"/>
      <c r="AQ242" s="825"/>
      <c r="AR242" s="825"/>
      <c r="AS242" s="1110"/>
      <c r="AT242" s="1040"/>
      <c r="AU242" s="825" t="str">
        <f t="shared" si="105"/>
        <v/>
      </c>
      <c r="AV242" s="2274" t="str">
        <f t="shared" si="111"/>
        <v/>
      </c>
      <c r="AW242" s="865"/>
      <c r="AX242" s="2016"/>
      <c r="AY242" s="2016"/>
      <c r="AZ242" s="2016"/>
      <c r="BA242" s="2016"/>
      <c r="BB242" s="2016"/>
      <c r="BC242" s="2026"/>
    </row>
    <row r="243" spans="1:55" ht="14" customHeight="1" x14ac:dyDescent="0.25">
      <c r="A243" s="771" t="s">
        <v>560</v>
      </c>
      <c r="B243" s="814">
        <f>SUM($B$186+$B$224)</f>
        <v>128164</v>
      </c>
      <c r="C243" s="814">
        <f>SUM($C$186+$C$224)</f>
        <v>124949.6</v>
      </c>
      <c r="D243" s="814">
        <f>SUM($D$186+$D$224)</f>
        <v>65554</v>
      </c>
      <c r="E243" s="814">
        <f>SUM($E$186+$E$224)</f>
        <v>65554</v>
      </c>
      <c r="F243" s="814">
        <f>SUM($F$186+$F$224)</f>
        <v>65554</v>
      </c>
      <c r="G243" s="875">
        <f>SUM($G$186+$G$224)</f>
        <v>65554</v>
      </c>
      <c r="H243" s="875">
        <f>SUM($H$186+$H$224)</f>
        <v>67792</v>
      </c>
      <c r="I243" s="875">
        <f>SUM($I$186+$I$224)</f>
        <v>67792</v>
      </c>
      <c r="J243" s="847">
        <f t="shared" ref="J243:R243" si="126">SUM(J$186+J$224)</f>
        <v>69973</v>
      </c>
      <c r="K243" s="847">
        <f t="shared" si="126"/>
        <v>0</v>
      </c>
      <c r="L243" s="944">
        <f t="shared" si="126"/>
        <v>72093</v>
      </c>
      <c r="M243" s="944">
        <f t="shared" si="126"/>
        <v>74012</v>
      </c>
      <c r="N243" s="1004">
        <f t="shared" si="126"/>
        <v>75983</v>
      </c>
      <c r="O243" s="809">
        <f t="shared" si="126"/>
        <v>75983</v>
      </c>
      <c r="P243" s="809">
        <f t="shared" si="126"/>
        <v>75983</v>
      </c>
      <c r="Q243" s="809">
        <f t="shared" si="126"/>
        <v>75983</v>
      </c>
      <c r="R243" s="809">
        <f t="shared" si="126"/>
        <v>75983</v>
      </c>
      <c r="S243" s="809"/>
      <c r="T243" s="809">
        <v>77983</v>
      </c>
      <c r="U243" s="809">
        <v>77983</v>
      </c>
      <c r="V243" s="809">
        <f t="shared" ref="V243:AC243" si="127">SUM(V$186+V$224)</f>
        <v>79763</v>
      </c>
      <c r="W243" s="809">
        <f t="shared" si="127"/>
        <v>79763</v>
      </c>
      <c r="X243" s="809">
        <f t="shared" si="127"/>
        <v>81323</v>
      </c>
      <c r="Y243" s="809">
        <f t="shared" si="127"/>
        <v>81323</v>
      </c>
      <c r="Z243" s="1005">
        <f t="shared" si="127"/>
        <v>90244</v>
      </c>
      <c r="AA243" s="1005">
        <f t="shared" si="127"/>
        <v>90244</v>
      </c>
      <c r="AB243" s="1005">
        <f t="shared" si="127"/>
        <v>96900</v>
      </c>
      <c r="AC243" s="1005">
        <f t="shared" si="127"/>
        <v>96900</v>
      </c>
      <c r="AD243" s="1005"/>
      <c r="AE243" s="1005">
        <v>100883</v>
      </c>
      <c r="AF243" s="1005" t="s">
        <v>160</v>
      </c>
      <c r="AG243" s="1005">
        <v>192767.59000000003</v>
      </c>
      <c r="AH243" s="1005">
        <v>193696</v>
      </c>
      <c r="AI243" s="1453">
        <v>199506.88</v>
      </c>
      <c r="AJ243" s="888">
        <v>204382</v>
      </c>
      <c r="AK243" s="888">
        <v>210513.46000000002</v>
      </c>
      <c r="AL243" s="888">
        <v>189667</v>
      </c>
      <c r="AM243" s="888">
        <f t="shared" ref="AM243:AQ243" si="128">SUM(AM$186+AM$110+ AM$212+AM$224)</f>
        <v>193460.34</v>
      </c>
      <c r="AN243" s="888">
        <f t="shared" si="128"/>
        <v>110285</v>
      </c>
      <c r="AO243" s="888">
        <f t="shared" si="128"/>
        <v>113042.125</v>
      </c>
      <c r="AP243" s="888">
        <f t="shared" si="128"/>
        <v>111664</v>
      </c>
      <c r="AQ243" s="888">
        <f t="shared" si="128"/>
        <v>113897.28</v>
      </c>
      <c r="AR243" s="888">
        <f>SUM(AR$186+ AR$212+AR$224)</f>
        <v>116545</v>
      </c>
      <c r="AS243" s="1626">
        <f>SUM(AS$186+ AS$212+AS$224)</f>
        <v>118875.90000000001</v>
      </c>
      <c r="AT243" s="845">
        <f>SUM(AT$186+ AT$212+AT$224)</f>
        <v>119307</v>
      </c>
      <c r="AU243" s="888">
        <f t="shared" si="105"/>
        <v>2762</v>
      </c>
      <c r="AV243" s="2275">
        <f t="shared" si="111"/>
        <v>2.3699000386116952E-2</v>
      </c>
      <c r="AW243" s="865"/>
      <c r="AX243" s="2016"/>
      <c r="AY243" s="2016"/>
      <c r="AZ243" s="2016"/>
      <c r="BA243" s="2016"/>
      <c r="BB243" s="2016"/>
      <c r="BC243" s="2026"/>
    </row>
    <row r="244" spans="1:55" ht="14" customHeight="1" x14ac:dyDescent="0.25">
      <c r="A244" s="771" t="s">
        <v>551</v>
      </c>
      <c r="B244" s="814">
        <f>SUM($B$187+$B225+$B$233)</f>
        <v>242974</v>
      </c>
      <c r="C244" s="814">
        <f>SUM($C$187+$C$225+$C$233)</f>
        <v>267391.62</v>
      </c>
      <c r="D244" s="814">
        <f>SUM($D$187+$D$225+$D$233)</f>
        <v>237517</v>
      </c>
      <c r="E244" s="814">
        <f>SUM($E$187+$E$225+$E$233)</f>
        <v>211872.67</v>
      </c>
      <c r="F244" s="814">
        <f>SUM($F$187+$F$225+$F$233)</f>
        <v>233200</v>
      </c>
      <c r="G244" s="875">
        <f>SUM($G$187+$G$225+$G$233)</f>
        <v>250592.19</v>
      </c>
      <c r="H244" s="875">
        <f>SUM($H$187+$H$225+$H$233)</f>
        <v>239818</v>
      </c>
      <c r="I244" s="875">
        <f>SUM($I$187+$I$225+$I$233)</f>
        <v>224472.2</v>
      </c>
      <c r="J244" s="847">
        <f t="shared" ref="J244:R244" si="129">SUM(J$187+J$225+J$233)</f>
        <v>244953</v>
      </c>
      <c r="K244" s="847">
        <f t="shared" si="129"/>
        <v>0</v>
      </c>
      <c r="L244" s="944">
        <f t="shared" si="129"/>
        <v>258273.57</v>
      </c>
      <c r="M244" s="944">
        <f t="shared" si="129"/>
        <v>281311</v>
      </c>
      <c r="N244" s="1004">
        <f t="shared" si="129"/>
        <v>263750</v>
      </c>
      <c r="O244" s="809">
        <f t="shared" si="129"/>
        <v>263750</v>
      </c>
      <c r="P244" s="809">
        <f t="shared" si="129"/>
        <v>269000</v>
      </c>
      <c r="Q244" s="809">
        <f t="shared" si="129"/>
        <v>269000</v>
      </c>
      <c r="R244" s="809">
        <f t="shared" si="129"/>
        <v>269650</v>
      </c>
      <c r="S244" s="809"/>
      <c r="T244" s="809">
        <v>269991</v>
      </c>
      <c r="U244" s="809">
        <v>269991</v>
      </c>
      <c r="V244" s="809">
        <f t="shared" ref="V244:AC244" si="130">SUM(V$187+V$225+V$233)</f>
        <v>275694</v>
      </c>
      <c r="W244" s="809">
        <f t="shared" si="130"/>
        <v>275692</v>
      </c>
      <c r="X244" s="809">
        <f t="shared" si="130"/>
        <v>291989</v>
      </c>
      <c r="Y244" s="809">
        <f t="shared" si="130"/>
        <v>291989</v>
      </c>
      <c r="Z244" s="1005">
        <f t="shared" si="130"/>
        <v>314612</v>
      </c>
      <c r="AA244" s="1005">
        <f t="shared" si="130"/>
        <v>314612</v>
      </c>
      <c r="AB244" s="1005">
        <f t="shared" si="130"/>
        <v>328012</v>
      </c>
      <c r="AC244" s="1005">
        <f t="shared" si="130"/>
        <v>328012</v>
      </c>
      <c r="AD244" s="1005"/>
      <c r="AE244" s="1005">
        <v>335368</v>
      </c>
      <c r="AF244" s="1005">
        <v>0</v>
      </c>
      <c r="AG244" s="1005">
        <v>498656.99000000005</v>
      </c>
      <c r="AH244" s="1005">
        <v>486646</v>
      </c>
      <c r="AI244" s="1453">
        <v>501245.38000000006</v>
      </c>
      <c r="AJ244" s="888">
        <v>523479</v>
      </c>
      <c r="AK244" s="888">
        <v>539183.37</v>
      </c>
      <c r="AL244" s="888">
        <v>536911</v>
      </c>
      <c r="AM244" s="888">
        <f t="shared" ref="AM244:AT244" si="131">SUM(AM$187+AM$193+AM$213+AM$225+AM$233)</f>
        <v>547649.22</v>
      </c>
      <c r="AN244" s="888">
        <f t="shared" si="131"/>
        <v>552927</v>
      </c>
      <c r="AO244" s="888">
        <f t="shared" si="131"/>
        <v>563985.54</v>
      </c>
      <c r="AP244" s="888">
        <f t="shared" si="131"/>
        <v>579350</v>
      </c>
      <c r="AQ244" s="888">
        <f t="shared" si="131"/>
        <v>590937</v>
      </c>
      <c r="AR244" s="888">
        <f t="shared" si="131"/>
        <v>578527</v>
      </c>
      <c r="AS244" s="1626">
        <f t="shared" si="131"/>
        <v>590097.54</v>
      </c>
      <c r="AT244" s="845">
        <f t="shared" si="131"/>
        <v>600793</v>
      </c>
      <c r="AU244" s="888">
        <f t="shared" si="105"/>
        <v>22266</v>
      </c>
      <c r="AV244" s="2275">
        <f t="shared" si="111"/>
        <v>3.8487399896634036E-2</v>
      </c>
      <c r="AW244" s="865"/>
      <c r="AX244" s="2016"/>
      <c r="AY244" s="2016"/>
      <c r="AZ244" s="2016"/>
      <c r="BA244" s="2016"/>
      <c r="BB244" s="2016"/>
      <c r="BC244" s="2026"/>
    </row>
    <row r="245" spans="1:55" ht="14" customHeight="1" x14ac:dyDescent="0.25">
      <c r="A245" s="771" t="s">
        <v>812</v>
      </c>
      <c r="B245" s="814">
        <f>SUM($B$188+$B$228+$B$234+$B$239)</f>
        <v>254704</v>
      </c>
      <c r="C245" s="814">
        <f>SUM($C$188+$C$228+$C$234+$C$239)</f>
        <v>309025.83999999997</v>
      </c>
      <c r="D245" s="814">
        <f>SUM($D$188+$D$228+$D$234+$D$239)</f>
        <v>225767</v>
      </c>
      <c r="E245" s="814">
        <f>SUM($E$188+$E$228+$E$234+$E$239)</f>
        <v>252463.75</v>
      </c>
      <c r="F245" s="814">
        <f>SUM($F$188+$F$228+$F$234+$F$239)</f>
        <v>245252</v>
      </c>
      <c r="G245" s="875">
        <f>SUM($G$188+$G$228+$G$234+$G$239)</f>
        <v>420845.73000000004</v>
      </c>
      <c r="H245" s="875">
        <f>SUM($H$188+$H$228+$H$234+$H$239)</f>
        <v>300600</v>
      </c>
      <c r="I245" s="875">
        <f>SUM($I$188+$I$228+$I$234+$I$239)</f>
        <v>392668.67</v>
      </c>
      <c r="J245" s="1006">
        <f>SUM(J$188+J$228+J$234+J$239)</f>
        <v>368033</v>
      </c>
      <c r="K245" s="1006"/>
      <c r="L245" s="944">
        <f t="shared" ref="L245:R245" si="132">SUM(L$188+L227+L$228+L229+L$234+L$239)</f>
        <v>504545.09</v>
      </c>
      <c r="M245" s="944">
        <f t="shared" si="132"/>
        <v>553862</v>
      </c>
      <c r="N245" s="1004">
        <f t="shared" si="132"/>
        <v>342175</v>
      </c>
      <c r="O245" s="809">
        <f t="shared" si="132"/>
        <v>367175</v>
      </c>
      <c r="P245" s="809">
        <f t="shared" si="132"/>
        <v>381990</v>
      </c>
      <c r="Q245" s="809">
        <f t="shared" si="132"/>
        <v>381990</v>
      </c>
      <c r="R245" s="809">
        <f t="shared" si="132"/>
        <v>381990</v>
      </c>
      <c r="S245" s="809"/>
      <c r="T245" s="809">
        <v>389405</v>
      </c>
      <c r="U245" s="809">
        <v>389405</v>
      </c>
      <c r="V245" s="809">
        <f>SUM(V$188+V227+V$228+V229+V$234+V$239)</f>
        <v>404319</v>
      </c>
      <c r="W245" s="809">
        <f>SUM(W$188+W$227+W$228+W$229+W$234+W$239)</f>
        <v>404319</v>
      </c>
      <c r="X245" s="809">
        <f>SUM(X$188+X227+X$228+X229+X$234+X$239)</f>
        <v>416170</v>
      </c>
      <c r="Y245" s="809">
        <f>SUM(Y$188+Y$227+Y$228+Y$229+Y$234+Y$239)</f>
        <v>416170</v>
      </c>
      <c r="Z245" s="1005">
        <f>SUM(Z$188+Z227+Z$228+Z229+Z$234+Z$239)</f>
        <v>439473</v>
      </c>
      <c r="AA245" s="1005">
        <f>SUM(AA$188+AA$227+AA$228+AA$229+AA$234+AA$239)</f>
        <v>439473</v>
      </c>
      <c r="AB245" s="1005">
        <f>SUM(AB$188+AB227+AB$228+AB229+AB$234+AB$239)</f>
        <v>450200</v>
      </c>
      <c r="AC245" s="1005">
        <f>SUM(AC$188+AC$227+AC$228+AC$229+AC$234+AC$239)</f>
        <v>450200</v>
      </c>
      <c r="AD245" s="1005"/>
      <c r="AE245" s="1005">
        <v>469859</v>
      </c>
      <c r="AF245" s="1005">
        <v>0</v>
      </c>
      <c r="AG245" s="1005">
        <v>957173.5</v>
      </c>
      <c r="AH245" s="1005">
        <v>999988</v>
      </c>
      <c r="AI245" s="1005">
        <v>999988</v>
      </c>
      <c r="AJ245" s="845">
        <v>998302</v>
      </c>
      <c r="AK245" s="845">
        <v>998302</v>
      </c>
      <c r="AL245" s="845">
        <v>997842</v>
      </c>
      <c r="AM245" s="845">
        <f>SUM(AM$188+AM$194+AM$198+AM$203+AM$214+ AM$227+AM$228+AM$229+AM$234+AM$239+AM220)</f>
        <v>997842</v>
      </c>
      <c r="AN245" s="845">
        <f>SUM(AN$188+AN$194+AN$198+AN$203+AN$214+ AN$227+AN$228+AN$229+AN$234+AN$239+AN220)</f>
        <v>996438</v>
      </c>
      <c r="AO245" s="845">
        <f>SUM(AO$188+AO$194+AO$198+AO$203+AO$214+ AO$227+AO$228+AO$229+AO$234+AO$239+AO220)</f>
        <v>996438</v>
      </c>
      <c r="AP245" s="845">
        <f>SUM(AP$188+AP$194+AP$198+AP$203+AP$214+ AP$227+AP$228+AP$229+AP$234+AP$239+AP220)</f>
        <v>1027238</v>
      </c>
      <c r="AQ245" s="845">
        <f>SUM(AQ$188+AQ$194+AQ$198+AQ$203+AQ$214+ AQ$227+AQ$228+AQ$229+AQ$234+AQ$239+AQ220)</f>
        <v>1027238</v>
      </c>
      <c r="AR245" s="845">
        <f>SUM(AR$188+AR$194+AR$198+AR$203+AR$214+ AR$227+AR$228+AR$229+AR$234+AR$239+AR220+AR209)</f>
        <v>1204141</v>
      </c>
      <c r="AS245" s="1074">
        <f>SUM(AS$188+AS$194+AS$198+AS$203+AS$214+ AS$227+AS$228+AS$229+AS$234+AS$239+AS220+AS209)</f>
        <v>1204141</v>
      </c>
      <c r="AT245" s="845">
        <f>SUM(AT$188+AT$194+AT$198+AT$203+AT$214+ AT$227+AT$228+AT$229+AT$234+AT$239+AT220+AT209)</f>
        <v>1328641</v>
      </c>
      <c r="AU245" s="888">
        <f t="shared" si="105"/>
        <v>124500</v>
      </c>
      <c r="AV245" s="2278">
        <f t="shared" si="111"/>
        <v>0.10339320727389899</v>
      </c>
      <c r="AW245" s="865"/>
      <c r="AX245" s="2016"/>
      <c r="AY245" s="2016"/>
      <c r="AZ245" s="2016"/>
      <c r="BA245" s="2016"/>
      <c r="BB245" s="2016"/>
      <c r="BC245" s="2026"/>
    </row>
    <row r="246" spans="1:55" ht="14" customHeight="1" x14ac:dyDescent="0.25">
      <c r="A246" s="771" t="s">
        <v>43</v>
      </c>
      <c r="B246" s="814"/>
      <c r="C246" s="814"/>
      <c r="D246" s="814"/>
      <c r="E246" s="814"/>
      <c r="F246" s="814"/>
      <c r="G246" s="875"/>
      <c r="H246" s="875"/>
      <c r="I246" s="875"/>
      <c r="J246" s="1006"/>
      <c r="K246" s="1006"/>
      <c r="L246" s="1007">
        <f t="shared" ref="L246:R246" si="133">L226</f>
        <v>23837</v>
      </c>
      <c r="M246" s="1007">
        <f t="shared" si="133"/>
        <v>49577</v>
      </c>
      <c r="N246" s="1008">
        <f t="shared" si="133"/>
        <v>49577</v>
      </c>
      <c r="O246" s="1009">
        <f t="shared" si="133"/>
        <v>25740</v>
      </c>
      <c r="P246" s="1009">
        <f t="shared" si="133"/>
        <v>25740</v>
      </c>
      <c r="Q246" s="1009">
        <f t="shared" si="133"/>
        <v>25740</v>
      </c>
      <c r="R246" s="1009">
        <f t="shared" si="133"/>
        <v>0</v>
      </c>
      <c r="S246" s="809"/>
      <c r="T246" s="809">
        <v>0</v>
      </c>
      <c r="U246" s="809">
        <v>0</v>
      </c>
      <c r="V246" s="1009">
        <f t="shared" ref="V246:AC246" si="134">V226</f>
        <v>29257</v>
      </c>
      <c r="W246" s="1009">
        <f t="shared" si="134"/>
        <v>29257</v>
      </c>
      <c r="X246" s="1009">
        <f t="shared" si="134"/>
        <v>29257</v>
      </c>
      <c r="Y246" s="1009">
        <f t="shared" si="134"/>
        <v>29257</v>
      </c>
      <c r="Z246" s="1010">
        <f t="shared" si="134"/>
        <v>29257</v>
      </c>
      <c r="AA246" s="1010">
        <f t="shared" si="134"/>
        <v>29257</v>
      </c>
      <c r="AB246" s="1010">
        <f t="shared" si="134"/>
        <v>29527</v>
      </c>
      <c r="AC246" s="1010">
        <f t="shared" si="134"/>
        <v>29527</v>
      </c>
      <c r="AD246" s="1010"/>
      <c r="AE246" s="1010">
        <v>29527</v>
      </c>
      <c r="AF246" s="1010">
        <v>0</v>
      </c>
      <c r="AG246" s="1010">
        <v>29527</v>
      </c>
      <c r="AH246" s="1010">
        <v>0</v>
      </c>
      <c r="AI246" s="1453">
        <v>0</v>
      </c>
      <c r="AJ246" s="1453"/>
      <c r="AK246" s="1453"/>
      <c r="AL246" s="1453"/>
      <c r="AM246" s="1453"/>
      <c r="AN246" s="1453"/>
      <c r="AO246" s="1453"/>
      <c r="AP246" s="1453"/>
      <c r="AQ246" s="1453"/>
      <c r="AR246" s="1453"/>
      <c r="AS246" s="1637"/>
      <c r="AT246" s="1005"/>
      <c r="AU246" s="1453" t="str">
        <f t="shared" si="105"/>
        <v/>
      </c>
      <c r="AV246" s="2272" t="str">
        <f t="shared" si="111"/>
        <v/>
      </c>
      <c r="AW246" s="865"/>
      <c r="AX246" s="2016"/>
      <c r="AY246" s="2016"/>
      <c r="AZ246" s="2016"/>
      <c r="BA246" s="2016"/>
      <c r="BB246" s="2016"/>
      <c r="BC246" s="2332"/>
    </row>
    <row r="247" spans="1:55" ht="14" customHeight="1" collapsed="1" thickBot="1" x14ac:dyDescent="0.3">
      <c r="A247" s="967" t="s">
        <v>221</v>
      </c>
      <c r="B247" s="968">
        <f>SUM(B243:B245)</f>
        <v>625842</v>
      </c>
      <c r="C247" s="968">
        <f>SUM($C$243:$C$245)</f>
        <v>701367.05999999994</v>
      </c>
      <c r="D247" s="968">
        <f>SUM($D$243:$D$245)</f>
        <v>528838</v>
      </c>
      <c r="E247" s="968">
        <f>SUM($E$243:$E$245)</f>
        <v>529890.42000000004</v>
      </c>
      <c r="F247" s="968">
        <f>SUM($F$243:$F$245)</f>
        <v>544006</v>
      </c>
      <c r="G247" s="1011">
        <f>SUM($G$243:$G$245)</f>
        <v>736991.92</v>
      </c>
      <c r="H247" s="1011">
        <f>SUM($H$243:$H$245)</f>
        <v>608210</v>
      </c>
      <c r="I247" s="1012">
        <f>SUM($I$243:$I$245)</f>
        <v>684932.87</v>
      </c>
      <c r="J247" s="972">
        <f>SUM(J$243:J$245)</f>
        <v>682959</v>
      </c>
      <c r="K247" s="1013">
        <f>SUM(K$243:K$245)</f>
        <v>0</v>
      </c>
      <c r="L247" s="1014">
        <f>SUM(L$243:L$246)</f>
        <v>858748.66</v>
      </c>
      <c r="M247" s="1014">
        <f>SUM(M$243:M$246)</f>
        <v>958762</v>
      </c>
      <c r="N247" s="1015">
        <f>SUM(N$243:N$246)</f>
        <v>731485</v>
      </c>
      <c r="O247" s="867">
        <f>SUM(O$243:O$246)</f>
        <v>732648</v>
      </c>
      <c r="P247" s="867">
        <f>SUM(P$243:P$246)</f>
        <v>752713</v>
      </c>
      <c r="Q247" s="1016">
        <f>IF(SUM(Q244:Q246)=0,P247,SUM(Q243:Q246))</f>
        <v>752713</v>
      </c>
      <c r="R247" s="867">
        <f>SUM(R$243:R$246)</f>
        <v>727623</v>
      </c>
      <c r="S247" s="1016">
        <f>IF(SUM(S244:S246)=0,R247,SUM(S243:S246))</f>
        <v>727623</v>
      </c>
      <c r="T247" s="1016">
        <v>737379</v>
      </c>
      <c r="U247" s="1016">
        <v>737379</v>
      </c>
      <c r="V247" s="1016">
        <f>IF(SUM(V244:V246)=0,R65,SUM(V243:V246))</f>
        <v>789033</v>
      </c>
      <c r="W247" s="1016">
        <f>IF(SUM(W244:W246)=0,S65,SUM(W243:W246))</f>
        <v>789031</v>
      </c>
      <c r="X247" s="1016">
        <f t="shared" ref="X247:AC247" si="135">IF(SUM(X244:X246)=0,R65,SUM(X243:X246))</f>
        <v>818739</v>
      </c>
      <c r="Y247" s="1016">
        <f t="shared" si="135"/>
        <v>818739</v>
      </c>
      <c r="Z247" s="1017">
        <f t="shared" si="135"/>
        <v>873586</v>
      </c>
      <c r="AA247" s="1017">
        <f t="shared" si="135"/>
        <v>873586</v>
      </c>
      <c r="AB247" s="1017">
        <f t="shared" si="135"/>
        <v>904639</v>
      </c>
      <c r="AC247" s="1017">
        <f t="shared" si="135"/>
        <v>904639</v>
      </c>
      <c r="AD247" s="1017"/>
      <c r="AE247" s="1017">
        <v>935637</v>
      </c>
      <c r="AF247" s="1017">
        <v>0</v>
      </c>
      <c r="AG247" s="1017">
        <v>1678125.08</v>
      </c>
      <c r="AH247" s="1017">
        <v>1680330</v>
      </c>
      <c r="AI247" s="1017">
        <v>1700740.26</v>
      </c>
      <c r="AJ247" s="1017">
        <v>1726163</v>
      </c>
      <c r="AK247" s="1017">
        <v>1747998.83</v>
      </c>
      <c r="AL247" s="1017">
        <v>1724420</v>
      </c>
      <c r="AM247" s="1017">
        <f t="shared" ref="AM247:AT247" si="136">SUM(AM243:AM245)</f>
        <v>1738951.56</v>
      </c>
      <c r="AN247" s="1017">
        <f t="shared" si="136"/>
        <v>1659650</v>
      </c>
      <c r="AO247" s="1017">
        <f t="shared" si="136"/>
        <v>1673465.665</v>
      </c>
      <c r="AP247" s="1017">
        <f t="shared" si="136"/>
        <v>1718252</v>
      </c>
      <c r="AQ247" s="1017">
        <f t="shared" si="136"/>
        <v>1732072.28</v>
      </c>
      <c r="AR247" s="1017">
        <f t="shared" si="136"/>
        <v>1899213</v>
      </c>
      <c r="AS247" s="1638">
        <f t="shared" si="136"/>
        <v>1913114.44</v>
      </c>
      <c r="AT247" s="2266">
        <f t="shared" si="136"/>
        <v>2048741</v>
      </c>
      <c r="AU247" s="1017">
        <f t="shared" si="105"/>
        <v>149528</v>
      </c>
      <c r="AV247" s="2291">
        <f t="shared" si="111"/>
        <v>7.8731558808832924E-2</v>
      </c>
      <c r="AW247" s="910" t="s">
        <v>725</v>
      </c>
      <c r="AX247" s="2016"/>
      <c r="AY247" s="2122"/>
      <c r="AZ247" s="2122"/>
      <c r="BA247" s="2518">
        <f>POWER(AT247/AJ247,1/5)-1</f>
        <v>3.4858690405459525E-2</v>
      </c>
      <c r="BB247" s="2518">
        <f>POWER(AT247/AA247,1/9)-1</f>
        <v>9.933806520166244E-2</v>
      </c>
      <c r="BC247" s="2332"/>
    </row>
    <row r="248" spans="1:55" ht="14" hidden="1" customHeight="1" outlineLevel="1" thickTop="1" x14ac:dyDescent="0.25">
      <c r="A248" s="771" t="s">
        <v>222</v>
      </c>
      <c r="B248" s="772"/>
      <c r="C248" s="773"/>
      <c r="D248" s="773"/>
      <c r="E248" s="773"/>
      <c r="F248" s="773"/>
      <c r="G248" s="773"/>
      <c r="H248" s="774"/>
      <c r="I248" s="774"/>
      <c r="J248" s="847"/>
      <c r="K248" s="825"/>
      <c r="L248" s="831"/>
      <c r="M248" s="831"/>
      <c r="N248" s="831"/>
      <c r="O248" s="825"/>
      <c r="P248" s="825"/>
      <c r="Q248" s="825"/>
      <c r="R248" s="825"/>
      <c r="S248" s="825"/>
      <c r="T248" s="825"/>
      <c r="U248" s="825"/>
      <c r="V248" s="825"/>
      <c r="W248" s="825"/>
      <c r="X248" s="825"/>
      <c r="Y248" s="825"/>
      <c r="Z248" s="825"/>
      <c r="AA248" s="825"/>
      <c r="AB248" s="825"/>
      <c r="AC248" s="825"/>
      <c r="AD248" s="825"/>
      <c r="AE248" s="825"/>
      <c r="AF248" s="825"/>
      <c r="AG248" s="825"/>
      <c r="AH248" s="825"/>
      <c r="AI248" s="825"/>
      <c r="AJ248" s="825"/>
      <c r="AK248" s="825"/>
      <c r="AL248" s="825"/>
      <c r="AM248" s="825"/>
      <c r="AN248" s="825"/>
      <c r="AO248" s="825"/>
      <c r="AP248" s="825"/>
      <c r="AQ248" s="825"/>
      <c r="AR248" s="825"/>
      <c r="AS248" s="1110"/>
      <c r="AT248" s="1040"/>
      <c r="AU248" s="825" t="str">
        <f t="shared" si="105"/>
        <v/>
      </c>
      <c r="AV248" s="2274" t="str">
        <f t="shared" si="111"/>
        <v/>
      </c>
      <c r="AW248" s="778"/>
      <c r="AX248" s="2016"/>
      <c r="AY248" s="2016"/>
      <c r="AZ248" s="2016"/>
      <c r="BA248" s="2016"/>
      <c r="BB248" s="2016"/>
    </row>
    <row r="249" spans="1:55" ht="14" hidden="1" customHeight="1" outlineLevel="1" x14ac:dyDescent="0.25">
      <c r="A249" s="779" t="s">
        <v>360</v>
      </c>
      <c r="B249" s="772"/>
      <c r="C249" s="773"/>
      <c r="D249" s="773"/>
      <c r="E249" s="773"/>
      <c r="F249" s="773"/>
      <c r="G249" s="773"/>
      <c r="H249" s="774"/>
      <c r="I249" s="774"/>
      <c r="J249" s="847"/>
      <c r="K249" s="788"/>
      <c r="L249" s="855"/>
      <c r="M249" s="855"/>
      <c r="N249" s="855"/>
      <c r="O249" s="788"/>
      <c r="P249" s="788"/>
      <c r="Q249" s="788"/>
      <c r="R249" s="788"/>
      <c r="S249" s="788"/>
      <c r="T249" s="788"/>
      <c r="U249" s="788"/>
      <c r="V249" s="788"/>
      <c r="W249" s="788"/>
      <c r="X249" s="788"/>
      <c r="Y249" s="788"/>
      <c r="Z249" s="788"/>
      <c r="AA249" s="788"/>
      <c r="AB249" s="788"/>
      <c r="AC249" s="788"/>
      <c r="AD249" s="788"/>
      <c r="AE249" s="788"/>
      <c r="AF249" s="788" t="s">
        <v>160</v>
      </c>
      <c r="AG249" s="788"/>
      <c r="AH249" s="788"/>
      <c r="AI249" s="788"/>
      <c r="AJ249" s="788"/>
      <c r="AK249" s="788"/>
      <c r="AL249" s="788"/>
      <c r="AM249" s="788"/>
      <c r="AN249" s="788"/>
      <c r="AO249" s="788"/>
      <c r="AP249" s="788"/>
      <c r="AQ249" s="788"/>
      <c r="AR249" s="788"/>
      <c r="AS249" s="841"/>
      <c r="AT249" s="891"/>
      <c r="AU249" s="788" t="str">
        <f t="shared" si="105"/>
        <v/>
      </c>
      <c r="AV249" s="2272" t="str">
        <f t="shared" si="111"/>
        <v/>
      </c>
      <c r="AW249" s="778"/>
      <c r="AX249" s="2016"/>
      <c r="AY249" s="2016"/>
      <c r="AZ249" s="2016"/>
      <c r="BA249" s="2016"/>
      <c r="BB249" s="2016"/>
    </row>
    <row r="250" spans="1:55" ht="14" hidden="1" customHeight="1" outlineLevel="1" x14ac:dyDescent="0.25">
      <c r="A250" s="779" t="s">
        <v>560</v>
      </c>
      <c r="B250" s="772">
        <v>0</v>
      </c>
      <c r="C250" s="773">
        <v>0</v>
      </c>
      <c r="D250" s="773"/>
      <c r="E250" s="773">
        <v>12811</v>
      </c>
      <c r="F250" s="773">
        <v>51280</v>
      </c>
      <c r="G250" s="773">
        <v>51280</v>
      </c>
      <c r="H250" s="774">
        <v>54414</v>
      </c>
      <c r="I250" s="774">
        <v>54092</v>
      </c>
      <c r="J250" s="806">
        <v>55627</v>
      </c>
      <c r="K250" s="785" t="s">
        <v>197</v>
      </c>
      <c r="L250" s="840">
        <v>59163</v>
      </c>
      <c r="M250" s="807">
        <v>62583</v>
      </c>
      <c r="N250" s="808">
        <v>61714</v>
      </c>
      <c r="O250" s="788">
        <f>61862+2410</f>
        <v>64272</v>
      </c>
      <c r="P250" s="788">
        <v>64272</v>
      </c>
      <c r="Q250" s="788">
        <v>64272</v>
      </c>
      <c r="R250" s="788">
        <v>64272</v>
      </c>
      <c r="S250" s="788"/>
      <c r="T250" s="788">
        <v>65557</v>
      </c>
      <c r="U250" s="788">
        <v>65557</v>
      </c>
      <c r="V250" s="810">
        <v>66868</v>
      </c>
      <c r="W250" s="788">
        <f>V250</f>
        <v>66868</v>
      </c>
      <c r="X250" s="810">
        <v>68205</v>
      </c>
      <c r="Y250" s="810">
        <v>68205</v>
      </c>
      <c r="Z250" s="810">
        <v>72229</v>
      </c>
      <c r="AA250" s="810">
        <f>Z250</f>
        <v>72229</v>
      </c>
      <c r="AB250" s="810">
        <v>73393</v>
      </c>
      <c r="AC250" s="810">
        <f>AB250</f>
        <v>73393</v>
      </c>
      <c r="AD250" s="810"/>
      <c r="AE250" s="810">
        <v>75318</v>
      </c>
      <c r="AF250" s="810"/>
      <c r="AG250" s="810">
        <v>77577.540000000008</v>
      </c>
      <c r="AH250" s="810">
        <v>76816</v>
      </c>
      <c r="AI250" s="810">
        <v>79120.479999999996</v>
      </c>
      <c r="AJ250" s="810">
        <v>78931</v>
      </c>
      <c r="AK250" s="810">
        <v>81298.930000000008</v>
      </c>
      <c r="AL250" s="810">
        <v>68028</v>
      </c>
      <c r="AM250" s="810">
        <f>AL250*$AH$3</f>
        <v>69388.56</v>
      </c>
      <c r="AN250" s="810">
        <v>69385</v>
      </c>
      <c r="AO250" s="810">
        <v>71119.625</v>
      </c>
      <c r="AP250" s="810">
        <v>70763</v>
      </c>
      <c r="AQ250" s="810">
        <f>AP250*$AH$3</f>
        <v>72178.259999999995</v>
      </c>
      <c r="AR250" s="810">
        <v>74187</v>
      </c>
      <c r="AS250" s="1410">
        <f>AR250*$AH$3</f>
        <v>75670.740000000005</v>
      </c>
      <c r="AT250" s="809">
        <f>'[1]BUDGET DETAIL'!$CX$722</f>
        <v>81228</v>
      </c>
      <c r="AU250" s="810">
        <f t="shared" si="105"/>
        <v>7041</v>
      </c>
      <c r="AV250" s="2274">
        <f t="shared" si="111"/>
        <v>9.4908811516842578E-2</v>
      </c>
      <c r="AW250" s="778"/>
      <c r="AX250" s="2016"/>
      <c r="AY250" s="2016"/>
      <c r="AZ250" s="2016"/>
      <c r="BA250" s="2016"/>
      <c r="BB250" s="2016"/>
    </row>
    <row r="251" spans="1:55" ht="14" hidden="1" customHeight="1" outlineLevel="1" x14ac:dyDescent="0.25">
      <c r="A251" s="779" t="s">
        <v>551</v>
      </c>
      <c r="B251" s="775">
        <v>9239</v>
      </c>
      <c r="C251" s="850">
        <v>7842.53</v>
      </c>
      <c r="D251" s="850">
        <v>27800</v>
      </c>
      <c r="E251" s="850">
        <v>27597.5</v>
      </c>
      <c r="F251" s="850">
        <v>2800</v>
      </c>
      <c r="G251" s="850">
        <v>2786.1</v>
      </c>
      <c r="H251" s="851">
        <v>4500</v>
      </c>
      <c r="I251" s="851">
        <v>4635.8500000000004</v>
      </c>
      <c r="J251" s="806">
        <v>4976</v>
      </c>
      <c r="K251" s="788"/>
      <c r="L251" s="840">
        <v>12287.84</v>
      </c>
      <c r="M251" s="807">
        <v>17882</v>
      </c>
      <c r="N251" s="808">
        <v>12003</v>
      </c>
      <c r="O251" s="788">
        <f>12003+1199</f>
        <v>13202</v>
      </c>
      <c r="P251" s="785">
        <v>12182</v>
      </c>
      <c r="Q251" s="785">
        <v>12182</v>
      </c>
      <c r="R251" s="785">
        <v>12182</v>
      </c>
      <c r="S251" s="788"/>
      <c r="T251" s="788">
        <v>13518</v>
      </c>
      <c r="U251" s="788">
        <v>13518</v>
      </c>
      <c r="V251" s="810">
        <v>14633</v>
      </c>
      <c r="W251" s="788">
        <f>V251</f>
        <v>14633</v>
      </c>
      <c r="X251" s="810">
        <v>15383</v>
      </c>
      <c r="Y251" s="810">
        <v>15383</v>
      </c>
      <c r="Z251" s="810">
        <v>16358</v>
      </c>
      <c r="AA251" s="810">
        <f>Z251+4906</f>
        <v>21264</v>
      </c>
      <c r="AB251" s="810">
        <v>21732</v>
      </c>
      <c r="AC251" s="810">
        <f>AB251</f>
        <v>21732</v>
      </c>
      <c r="AD251" s="810"/>
      <c r="AE251" s="810">
        <v>20406</v>
      </c>
      <c r="AF251" s="810"/>
      <c r="AG251" s="810">
        <v>21018.18</v>
      </c>
      <c r="AH251" s="810">
        <v>22330</v>
      </c>
      <c r="AI251" s="810">
        <v>22999.9</v>
      </c>
      <c r="AJ251" s="810">
        <v>24240</v>
      </c>
      <c r="AK251" s="810">
        <v>24967.200000000001</v>
      </c>
      <c r="AL251" s="810">
        <v>24786</v>
      </c>
      <c r="AM251" s="810">
        <f>AL251*$AH$3</f>
        <v>25281.72</v>
      </c>
      <c r="AN251" s="810">
        <v>28268</v>
      </c>
      <c r="AO251" s="810">
        <v>28974.699999999997</v>
      </c>
      <c r="AP251" s="810">
        <v>29743</v>
      </c>
      <c r="AQ251" s="810">
        <f>AP251*$AH$3</f>
        <v>30337.86</v>
      </c>
      <c r="AR251" s="810">
        <v>30532</v>
      </c>
      <c r="AS251" s="1410">
        <f>AR251*$AH$3</f>
        <v>31142.639999999999</v>
      </c>
      <c r="AT251" s="809">
        <f>'[1]BUDGET DETAIL'!$CX$730</f>
        <v>31286</v>
      </c>
      <c r="AU251" s="810">
        <f t="shared" si="105"/>
        <v>754</v>
      </c>
      <c r="AV251" s="2274">
        <f t="shared" si="111"/>
        <v>2.4695401545919034E-2</v>
      </c>
      <c r="AW251" s="778"/>
      <c r="AX251" s="2016"/>
      <c r="AY251" s="2016"/>
      <c r="AZ251" s="2016"/>
      <c r="BA251" s="2016"/>
      <c r="BB251" s="2016"/>
    </row>
    <row r="252" spans="1:55" ht="14" hidden="1" customHeight="1" outlineLevel="1" x14ac:dyDescent="0.25">
      <c r="A252" s="779" t="s">
        <v>812</v>
      </c>
      <c r="B252" s="775">
        <v>11720</v>
      </c>
      <c r="C252" s="850">
        <v>10808.2</v>
      </c>
      <c r="D252" s="850">
        <v>14970</v>
      </c>
      <c r="E252" s="850">
        <v>13260.06</v>
      </c>
      <c r="F252" s="850">
        <v>14470</v>
      </c>
      <c r="G252" s="850">
        <v>14187.14</v>
      </c>
      <c r="H252" s="851">
        <v>14440</v>
      </c>
      <c r="I252" s="851">
        <v>12395</v>
      </c>
      <c r="J252" s="806">
        <v>16970</v>
      </c>
      <c r="K252" s="825"/>
      <c r="L252" s="812">
        <v>15946.19</v>
      </c>
      <c r="M252" s="812">
        <v>18417</v>
      </c>
      <c r="N252" s="813">
        <v>15276</v>
      </c>
      <c r="O252" s="825">
        <f>15128+873</f>
        <v>16001</v>
      </c>
      <c r="P252" s="788">
        <v>16730</v>
      </c>
      <c r="Q252" s="788">
        <v>16730</v>
      </c>
      <c r="R252" s="788">
        <v>16730</v>
      </c>
      <c r="S252" s="825"/>
      <c r="T252" s="825">
        <v>16815</v>
      </c>
      <c r="U252" s="825">
        <v>16815</v>
      </c>
      <c r="V252" s="810">
        <v>17118</v>
      </c>
      <c r="W252" s="788">
        <f>V252</f>
        <v>17118</v>
      </c>
      <c r="X252" s="810">
        <v>17629</v>
      </c>
      <c r="Y252" s="810">
        <v>17629</v>
      </c>
      <c r="Z252" s="810">
        <v>18158</v>
      </c>
      <c r="AA252" s="810">
        <f>Z252</f>
        <v>18158</v>
      </c>
      <c r="AB252" s="810">
        <v>18702</v>
      </c>
      <c r="AC252" s="810">
        <f>AB252</f>
        <v>18702</v>
      </c>
      <c r="AD252" s="810"/>
      <c r="AE252" s="810">
        <v>20208</v>
      </c>
      <c r="AF252" s="810"/>
      <c r="AG252" s="810">
        <v>20208</v>
      </c>
      <c r="AH252" s="810">
        <v>20208</v>
      </c>
      <c r="AI252" s="810">
        <v>20208</v>
      </c>
      <c r="AJ252" s="810">
        <v>20208</v>
      </c>
      <c r="AK252" s="810">
        <v>20208</v>
      </c>
      <c r="AL252" s="810">
        <v>26586</v>
      </c>
      <c r="AM252" s="810">
        <f>AL252*$AH$4</f>
        <v>26586</v>
      </c>
      <c r="AN252" s="810">
        <v>36076</v>
      </c>
      <c r="AO252" s="810">
        <v>36076</v>
      </c>
      <c r="AP252" s="810">
        <v>36576</v>
      </c>
      <c r="AQ252" s="810">
        <f>AP252*$AH$4</f>
        <v>36576</v>
      </c>
      <c r="AR252" s="810">
        <v>36884</v>
      </c>
      <c r="AS252" s="1410">
        <f>AR252*$AH$4</f>
        <v>36884</v>
      </c>
      <c r="AT252" s="809">
        <f>'[1]BUDGET DETAIL'!$CX$747</f>
        <v>35892</v>
      </c>
      <c r="AU252" s="810">
        <f t="shared" si="105"/>
        <v>-992</v>
      </c>
      <c r="AV252" s="2274">
        <f t="shared" si="111"/>
        <v>-2.6895130679969636E-2</v>
      </c>
      <c r="AW252" s="1423"/>
      <c r="AX252" s="2016"/>
      <c r="AY252" s="2122"/>
      <c r="AZ252" s="2122"/>
      <c r="BA252" s="2122"/>
      <c r="BB252" s="2122"/>
      <c r="BC252" s="2239"/>
    </row>
    <row r="253" spans="1:55" ht="14" hidden="1" customHeight="1" outlineLevel="1" x14ac:dyDescent="0.25">
      <c r="A253" s="842" t="s">
        <v>813</v>
      </c>
      <c r="B253" s="1018">
        <f>SUM(B251:B252)</f>
        <v>20959</v>
      </c>
      <c r="C253" s="1019">
        <f>SUM(C250:C252)</f>
        <v>18650.73</v>
      </c>
      <c r="D253" s="1019">
        <f t="shared" ref="D253:N253" si="137">SUM(D250:D252)</f>
        <v>42770</v>
      </c>
      <c r="E253" s="1019">
        <f t="shared" si="137"/>
        <v>53668.56</v>
      </c>
      <c r="F253" s="1019">
        <f t="shared" si="137"/>
        <v>68550</v>
      </c>
      <c r="G253" s="1019">
        <f t="shared" si="137"/>
        <v>68253.239999999991</v>
      </c>
      <c r="H253" s="1019">
        <f t="shared" si="137"/>
        <v>73354</v>
      </c>
      <c r="I253" s="1019">
        <f t="shared" si="137"/>
        <v>71122.850000000006</v>
      </c>
      <c r="J253" s="1020">
        <f t="shared" si="137"/>
        <v>77573</v>
      </c>
      <c r="K253" s="785" t="s">
        <v>455</v>
      </c>
      <c r="L253" s="1021">
        <f t="shared" si="137"/>
        <v>87397.03</v>
      </c>
      <c r="M253" s="1021">
        <f t="shared" si="137"/>
        <v>98882</v>
      </c>
      <c r="N253" s="1022">
        <f t="shared" si="137"/>
        <v>88993</v>
      </c>
      <c r="O253" s="785">
        <f>SUM(O250:O252)</f>
        <v>93475</v>
      </c>
      <c r="P253" s="785">
        <f>SUM(P250:P252)</f>
        <v>93184</v>
      </c>
      <c r="Q253" s="820">
        <f>IF(SUM(Q250:Q252)=0,P253,SUM(Q250:Q252))</f>
        <v>93184</v>
      </c>
      <c r="R253" s="819">
        <f>SUM(R250:R252)</f>
        <v>93184</v>
      </c>
      <c r="S253" s="820">
        <f>IF(SUM(S250:S252)=0,R253,SUM(S250:S252))</f>
        <v>93184</v>
      </c>
      <c r="T253" s="820">
        <v>95890</v>
      </c>
      <c r="U253" s="820">
        <v>95890</v>
      </c>
      <c r="V253" s="819">
        <f>SUM(V250:V252)</f>
        <v>98619</v>
      </c>
      <c r="W253" s="820">
        <f>IF(SUM(W250:W252)=0,V253,SUM(W250:W252))</f>
        <v>98619</v>
      </c>
      <c r="X253" s="819">
        <f>SUM(X250:X252)</f>
        <v>101217</v>
      </c>
      <c r="Y253" s="820">
        <f>IF(SUM(Y250:Y252)=0,X253,SUM(Y250:Y252))</f>
        <v>101217</v>
      </c>
      <c r="Z253" s="819">
        <f>SUM(Z250:Z252)</f>
        <v>106745</v>
      </c>
      <c r="AA253" s="820">
        <f>IF(SUM(AA250:AA252)=0,Z253,SUM(AA250:AA252))</f>
        <v>111651</v>
      </c>
      <c r="AB253" s="819">
        <f>SUM(AB250:AB252)</f>
        <v>113827</v>
      </c>
      <c r="AC253" s="820">
        <f>IF(SUM(AC250:AC252)=0,AB253,SUM(AC250:AC252))</f>
        <v>113827</v>
      </c>
      <c r="AD253" s="820"/>
      <c r="AE253" s="820">
        <v>115932</v>
      </c>
      <c r="AF253" s="820">
        <v>115932</v>
      </c>
      <c r="AG253" s="820">
        <v>118803.72</v>
      </c>
      <c r="AH253" s="819">
        <v>119354</v>
      </c>
      <c r="AI253" s="785">
        <v>122328.38</v>
      </c>
      <c r="AJ253" s="785">
        <v>123379</v>
      </c>
      <c r="AK253" s="785">
        <v>126474.13</v>
      </c>
      <c r="AL253" s="785">
        <v>119400</v>
      </c>
      <c r="AM253" s="785">
        <f t="shared" ref="AM253:AT253" si="138">SUM(AM250:AM252)</f>
        <v>121256.28</v>
      </c>
      <c r="AN253" s="785">
        <f t="shared" si="138"/>
        <v>133729</v>
      </c>
      <c r="AO253" s="785">
        <f t="shared" si="138"/>
        <v>136170.32500000001</v>
      </c>
      <c r="AP253" s="785">
        <f t="shared" si="138"/>
        <v>137082</v>
      </c>
      <c r="AQ253" s="785">
        <f t="shared" si="138"/>
        <v>139092.12</v>
      </c>
      <c r="AR253" s="785">
        <f t="shared" si="138"/>
        <v>141603</v>
      </c>
      <c r="AS253" s="820">
        <f t="shared" ref="AS253" si="139">SUM(AS250:AS252)</f>
        <v>143697.38</v>
      </c>
      <c r="AT253" s="819">
        <f t="shared" si="138"/>
        <v>148406</v>
      </c>
      <c r="AU253" s="785">
        <f t="shared" si="105"/>
        <v>6803</v>
      </c>
      <c r="AV253" s="2275">
        <f t="shared" si="111"/>
        <v>4.8042767455491762E-2</v>
      </c>
      <c r="AW253" s="778"/>
      <c r="AX253" s="2016"/>
      <c r="AY253" s="2122"/>
      <c r="AZ253" s="2122"/>
      <c r="BA253" s="2518">
        <f>POWER(AT253/AJ253,1/5)-1</f>
        <v>3.7628860700632538E-2</v>
      </c>
      <c r="BB253" s="2518">
        <f>POWER(AT253/AA253,1/9)-1</f>
        <v>3.2124515196891856E-2</v>
      </c>
      <c r="BC253" s="2332"/>
    </row>
    <row r="254" spans="1:55" ht="14" hidden="1" customHeight="1" outlineLevel="1" x14ac:dyDescent="0.25">
      <c r="A254" s="790"/>
      <c r="B254" s="793"/>
      <c r="C254" s="793"/>
      <c r="D254" s="892"/>
      <c r="E254" s="793"/>
      <c r="F254" s="892"/>
      <c r="G254" s="892"/>
      <c r="H254" s="893"/>
      <c r="I254" s="893"/>
      <c r="J254" s="846"/>
      <c r="K254" s="822"/>
      <c r="L254" s="829"/>
      <c r="M254" s="830"/>
      <c r="N254" s="824"/>
      <c r="O254" s="822"/>
      <c r="P254" s="822"/>
      <c r="Q254" s="822"/>
      <c r="R254" s="822"/>
      <c r="S254" s="822"/>
      <c r="T254" s="822"/>
      <c r="U254" s="822"/>
      <c r="V254" s="822"/>
      <c r="W254" s="822"/>
      <c r="X254" s="822"/>
      <c r="Y254" s="822"/>
      <c r="Z254" s="822"/>
      <c r="AA254" s="822"/>
      <c r="AB254" s="822"/>
      <c r="AC254" s="822"/>
      <c r="AD254" s="822"/>
      <c r="AE254" s="822"/>
      <c r="AF254" s="822"/>
      <c r="AG254" s="822" t="s">
        <v>160</v>
      </c>
      <c r="AH254" s="822"/>
      <c r="AI254" s="822" t="s">
        <v>160</v>
      </c>
      <c r="AJ254" s="822"/>
      <c r="AK254" s="822"/>
      <c r="AL254" s="822"/>
      <c r="AM254" s="822"/>
      <c r="AN254" s="822"/>
      <c r="AO254" s="822"/>
      <c r="AP254" s="822"/>
      <c r="AQ254" s="822"/>
      <c r="AR254" s="822"/>
      <c r="AS254" s="1160"/>
      <c r="AT254" s="823"/>
      <c r="AU254" s="822" t="str">
        <f t="shared" si="105"/>
        <v/>
      </c>
      <c r="AV254" s="2276" t="str">
        <f t="shared" si="111"/>
        <v/>
      </c>
      <c r="AW254" s="862"/>
      <c r="AX254" s="2016"/>
      <c r="AY254" s="2016"/>
      <c r="AZ254" s="2016"/>
      <c r="BA254" s="2016"/>
      <c r="BB254" s="2016"/>
      <c r="BC254" s="2026"/>
    </row>
    <row r="255" spans="1:55" ht="14" hidden="1" customHeight="1" outlineLevel="1" x14ac:dyDescent="0.25">
      <c r="A255" s="779" t="s">
        <v>249</v>
      </c>
      <c r="B255" s="804"/>
      <c r="C255" s="804"/>
      <c r="D255" s="894"/>
      <c r="E255" s="804"/>
      <c r="F255" s="894"/>
      <c r="G255" s="894"/>
      <c r="H255" s="895"/>
      <c r="I255" s="895"/>
      <c r="J255" s="847"/>
      <c r="K255" s="825"/>
      <c r="L255" s="831"/>
      <c r="M255" s="831"/>
      <c r="N255" s="805"/>
      <c r="O255" s="825"/>
      <c r="P255" s="825"/>
      <c r="Q255" s="825"/>
      <c r="R255" s="825"/>
      <c r="S255" s="825"/>
      <c r="T255" s="825"/>
      <c r="U255" s="825"/>
      <c r="V255" s="825"/>
      <c r="W255" s="825"/>
      <c r="X255" s="825"/>
      <c r="Y255" s="825"/>
      <c r="Z255" s="825"/>
      <c r="AA255" s="825"/>
      <c r="AB255" s="825"/>
      <c r="AC255" s="825"/>
      <c r="AD255" s="825"/>
      <c r="AE255" s="825"/>
      <c r="AF255" s="825"/>
      <c r="AG255" s="825"/>
      <c r="AH255" s="825"/>
      <c r="AI255" s="825"/>
      <c r="AJ255" s="825"/>
      <c r="AK255" s="825"/>
      <c r="AL255" s="825"/>
      <c r="AM255" s="825"/>
      <c r="AN255" s="825"/>
      <c r="AO255" s="825"/>
      <c r="AP255" s="825"/>
      <c r="AQ255" s="825"/>
      <c r="AR255" s="825"/>
      <c r="AS255" s="825"/>
      <c r="AT255" s="825"/>
      <c r="AU255" s="825" t="str">
        <f t="shared" ref="AU255:AU281" si="140">IF(AL255&gt;0,AN255-AL255,"")</f>
        <v/>
      </c>
      <c r="AV255" s="2316" t="str">
        <f t="shared" si="111"/>
        <v/>
      </c>
      <c r="AW255" s="865"/>
      <c r="AX255" s="2016"/>
      <c r="AY255" s="2016"/>
      <c r="AZ255" s="2016"/>
      <c r="BA255" s="2016"/>
      <c r="BB255" s="2016"/>
      <c r="BC255" s="2031" t="s">
        <v>1072</v>
      </c>
    </row>
    <row r="256" spans="1:55" ht="14" hidden="1" customHeight="1" outlineLevel="1" x14ac:dyDescent="0.25">
      <c r="A256" s="779" t="s">
        <v>312</v>
      </c>
      <c r="B256" s="804"/>
      <c r="C256" s="804"/>
      <c r="D256" s="894"/>
      <c r="E256" s="804"/>
      <c r="F256" s="894"/>
      <c r="G256" s="894"/>
      <c r="H256" s="895"/>
      <c r="I256" s="895"/>
      <c r="J256" s="847">
        <v>0</v>
      </c>
      <c r="K256" s="825"/>
      <c r="L256" s="831">
        <v>0</v>
      </c>
      <c r="M256" s="1023"/>
      <c r="N256" s="1024"/>
      <c r="O256" s="825"/>
      <c r="P256" s="825"/>
      <c r="Q256" s="825"/>
      <c r="R256" s="825"/>
      <c r="S256" s="825"/>
      <c r="T256" s="825"/>
      <c r="U256" s="825"/>
      <c r="V256" s="825"/>
      <c r="W256" s="825"/>
      <c r="X256" s="825"/>
      <c r="Y256" s="825"/>
      <c r="Z256" s="825"/>
      <c r="AA256" s="825"/>
      <c r="AB256" s="825"/>
      <c r="AC256" s="825"/>
      <c r="AD256" s="825"/>
      <c r="AE256" s="825"/>
      <c r="AF256" s="810">
        <v>0</v>
      </c>
      <c r="AG256" s="810"/>
      <c r="AH256" s="810"/>
      <c r="AI256" s="825"/>
      <c r="AJ256" s="825"/>
      <c r="AK256" s="825"/>
      <c r="AL256" s="825"/>
      <c r="AM256" s="825"/>
      <c r="AN256" s="825"/>
      <c r="AO256" s="825"/>
      <c r="AP256" s="825"/>
      <c r="AQ256" s="825"/>
      <c r="AR256" s="825"/>
      <c r="AS256" s="825"/>
      <c r="AT256" s="825"/>
      <c r="AU256" s="825" t="str">
        <f t="shared" si="140"/>
        <v/>
      </c>
      <c r="AV256" s="2316" t="str">
        <f t="shared" si="111"/>
        <v/>
      </c>
      <c r="AW256" s="865"/>
      <c r="AX256" s="2016"/>
      <c r="AY256" s="2016"/>
      <c r="AZ256" s="2016"/>
      <c r="BA256" s="2016"/>
      <c r="BB256" s="2016"/>
      <c r="BC256" s="2031" t="s">
        <v>1072</v>
      </c>
    </row>
    <row r="257" spans="1:55" ht="14" hidden="1" customHeight="1" outlineLevel="1" x14ac:dyDescent="0.25">
      <c r="A257" s="779" t="s">
        <v>244</v>
      </c>
      <c r="B257" s="804"/>
      <c r="C257" s="804"/>
      <c r="D257" s="894"/>
      <c r="E257" s="804"/>
      <c r="F257" s="894"/>
      <c r="G257" s="894"/>
      <c r="H257" s="895"/>
      <c r="I257" s="895"/>
      <c r="J257" s="831">
        <v>0</v>
      </c>
      <c r="K257" s="825"/>
      <c r="L257" s="831">
        <v>0</v>
      </c>
      <c r="M257" s="1023">
        <v>0</v>
      </c>
      <c r="N257" s="1024"/>
      <c r="O257" s="825"/>
      <c r="P257" s="825"/>
      <c r="Q257" s="825"/>
      <c r="R257" s="825"/>
      <c r="S257" s="825"/>
      <c r="T257" s="825"/>
      <c r="U257" s="825"/>
      <c r="V257" s="825"/>
      <c r="W257" s="825"/>
      <c r="X257" s="825"/>
      <c r="Y257" s="825"/>
      <c r="Z257" s="810">
        <f>Y257*(1+$A$4/100)</f>
        <v>0</v>
      </c>
      <c r="AA257" s="825"/>
      <c r="AB257" s="810">
        <f>AA257*(1+$A$4/100)</f>
        <v>0</v>
      </c>
      <c r="AC257" s="825"/>
      <c r="AD257" s="825"/>
      <c r="AE257" s="825"/>
      <c r="AF257" s="825">
        <v>0</v>
      </c>
      <c r="AG257" s="825"/>
      <c r="AH257" s="825"/>
      <c r="AI257" s="825"/>
      <c r="AJ257" s="825"/>
      <c r="AK257" s="825"/>
      <c r="AL257" s="825"/>
      <c r="AM257" s="825"/>
      <c r="AN257" s="825"/>
      <c r="AO257" s="825"/>
      <c r="AP257" s="825"/>
      <c r="AQ257" s="825"/>
      <c r="AR257" s="825"/>
      <c r="AS257" s="825"/>
      <c r="AT257" s="825"/>
      <c r="AU257" s="825" t="str">
        <f t="shared" si="140"/>
        <v/>
      </c>
      <c r="AV257" s="2316" t="str">
        <f t="shared" si="111"/>
        <v/>
      </c>
      <c r="AW257" s="778"/>
      <c r="AX257" s="2016"/>
      <c r="AY257" s="2016"/>
      <c r="AZ257" s="2016"/>
      <c r="BA257" s="2016"/>
      <c r="BB257" s="2016"/>
      <c r="BC257" s="2031" t="s">
        <v>1072</v>
      </c>
    </row>
    <row r="258" spans="1:55" ht="14" hidden="1" customHeight="1" outlineLevel="1" x14ac:dyDescent="0.25">
      <c r="A258" s="842" t="s">
        <v>575</v>
      </c>
      <c r="B258" s="826"/>
      <c r="C258" s="826"/>
      <c r="D258" s="1025"/>
      <c r="E258" s="826"/>
      <c r="F258" s="1025"/>
      <c r="G258" s="1025"/>
      <c r="H258" s="1026"/>
      <c r="I258" s="1026"/>
      <c r="J258" s="855">
        <f>SUM(J256,J257)</f>
        <v>0</v>
      </c>
      <c r="K258" s="788"/>
      <c r="L258" s="896">
        <f>SUM(L256,L257)</f>
        <v>0</v>
      </c>
      <c r="M258" s="986">
        <f>SUM(M256,M257)</f>
        <v>0</v>
      </c>
      <c r="N258" s="1022">
        <f>SUM(N255:N257)</f>
        <v>0</v>
      </c>
      <c r="O258" s="785">
        <f>SUM(O255:O257)</f>
        <v>0</v>
      </c>
      <c r="P258" s="785">
        <f>SUM(P255:P257)</f>
        <v>0</v>
      </c>
      <c r="Q258" s="819">
        <f>IF(SUM(Q255:Q257)=0,P258,SUM(Q255:Q257))</f>
        <v>0</v>
      </c>
      <c r="R258" s="785">
        <f>SUM(R255:R257)</f>
        <v>0</v>
      </c>
      <c r="S258" s="819">
        <f>IF(SUM(S255:S257)=0,R258,SUM(S255:S257))</f>
        <v>0</v>
      </c>
      <c r="T258" s="785">
        <v>0</v>
      </c>
      <c r="U258" s="785">
        <v>0</v>
      </c>
      <c r="V258" s="785">
        <f>SUM(V255:V257)</f>
        <v>0</v>
      </c>
      <c r="W258" s="819">
        <f>IF(SUM(W255:W257)=0,V258,SUM(W255:W257))</f>
        <v>0</v>
      </c>
      <c r="X258" s="785">
        <f>SUM(X255:X257)</f>
        <v>0</v>
      </c>
      <c r="Y258" s="819">
        <f>IF(SUM(Y255:Y257)=0,X258,SUM(Y255:Y257))</f>
        <v>0</v>
      </c>
      <c r="Z258" s="785">
        <f>SUM(Z255:Z257)</f>
        <v>0</v>
      </c>
      <c r="AA258" s="819">
        <f>IF(SUM(AA255:AA257)=0,Z258,SUM(AA255:AA257))</f>
        <v>0</v>
      </c>
      <c r="AB258" s="785">
        <f>SUM(AB255:AB257)</f>
        <v>0</v>
      </c>
      <c r="AC258" s="819">
        <f>IF(SUM(AC255:AC257)=0,AB258,SUM(AC255:AC257))</f>
        <v>0</v>
      </c>
      <c r="AD258" s="819"/>
      <c r="AE258" s="819"/>
      <c r="AF258" s="785">
        <v>0</v>
      </c>
      <c r="AG258" s="785"/>
      <c r="AH258" s="785"/>
      <c r="AI258" s="785"/>
      <c r="AJ258" s="785"/>
      <c r="AK258" s="785"/>
      <c r="AL258" s="785"/>
      <c r="AM258" s="785"/>
      <c r="AN258" s="785"/>
      <c r="AO258" s="785"/>
      <c r="AP258" s="785"/>
      <c r="AQ258" s="785"/>
      <c r="AR258" s="785"/>
      <c r="AS258" s="785"/>
      <c r="AT258" s="785"/>
      <c r="AU258" s="785" t="str">
        <f t="shared" si="140"/>
        <v/>
      </c>
      <c r="AV258" s="2317" t="str">
        <f t="shared" si="111"/>
        <v/>
      </c>
      <c r="AW258" s="778"/>
      <c r="AX258" s="2016"/>
      <c r="AY258" s="2016"/>
      <c r="AZ258" s="2016"/>
      <c r="BA258" s="2016"/>
      <c r="BB258" s="2016"/>
      <c r="BC258" s="2031" t="s">
        <v>1072</v>
      </c>
    </row>
    <row r="259" spans="1:55" ht="14" hidden="1" customHeight="1" outlineLevel="1" x14ac:dyDescent="0.25">
      <c r="A259" s="790"/>
      <c r="B259" s="793"/>
      <c r="C259" s="793"/>
      <c r="D259" s="892"/>
      <c r="E259" s="793"/>
      <c r="F259" s="892"/>
      <c r="G259" s="892"/>
      <c r="H259" s="893"/>
      <c r="I259" s="893"/>
      <c r="J259" s="846"/>
      <c r="K259" s="822"/>
      <c r="L259" s="829"/>
      <c r="M259" s="1027"/>
      <c r="N259" s="926"/>
      <c r="O259" s="822"/>
      <c r="P259" s="822"/>
      <c r="Q259" s="822"/>
      <c r="R259" s="822"/>
      <c r="S259" s="822"/>
      <c r="T259" s="822"/>
      <c r="U259" s="822"/>
      <c r="V259" s="822"/>
      <c r="W259" s="822"/>
      <c r="X259" s="822"/>
      <c r="Y259" s="822"/>
      <c r="Z259" s="822"/>
      <c r="AA259" s="822"/>
      <c r="AB259" s="822"/>
      <c r="AC259" s="822"/>
      <c r="AD259" s="822"/>
      <c r="AE259" s="822"/>
      <c r="AF259" s="822"/>
      <c r="AG259" s="822"/>
      <c r="AH259" s="822"/>
      <c r="AI259" s="822"/>
      <c r="AJ259" s="822"/>
      <c r="AK259" s="822"/>
      <c r="AL259" s="822"/>
      <c r="AM259" s="822"/>
      <c r="AN259" s="822"/>
      <c r="AO259" s="822"/>
      <c r="AP259" s="822"/>
      <c r="AQ259" s="822"/>
      <c r="AR259" s="822"/>
      <c r="AS259" s="822"/>
      <c r="AT259" s="822"/>
      <c r="AU259" s="822" t="str">
        <f t="shared" si="140"/>
        <v/>
      </c>
      <c r="AV259" s="2318" t="str">
        <f t="shared" si="111"/>
        <v/>
      </c>
      <c r="AW259" s="865"/>
      <c r="AX259" s="2016"/>
      <c r="AY259" s="2016"/>
      <c r="AZ259" s="2016"/>
      <c r="BA259" s="2016"/>
      <c r="BB259" s="2016"/>
      <c r="BC259" s="2031" t="s">
        <v>1072</v>
      </c>
    </row>
    <row r="260" spans="1:55" ht="14" hidden="1" customHeight="1" outlineLevel="1" x14ac:dyDescent="0.25">
      <c r="A260" s="779" t="s">
        <v>491</v>
      </c>
      <c r="B260" s="804"/>
      <c r="C260" s="804"/>
      <c r="D260" s="894"/>
      <c r="E260" s="804"/>
      <c r="F260" s="894"/>
      <c r="G260" s="894"/>
      <c r="H260" s="895"/>
      <c r="I260" s="895"/>
      <c r="J260" s="847"/>
      <c r="K260" s="788"/>
      <c r="L260" s="855"/>
      <c r="M260" s="1028"/>
      <c r="N260" s="1029"/>
      <c r="O260" s="788"/>
      <c r="P260" s="788"/>
      <c r="Q260" s="788"/>
      <c r="R260" s="788"/>
      <c r="S260" s="788"/>
      <c r="T260" s="788"/>
      <c r="U260" s="788"/>
      <c r="V260" s="788"/>
      <c r="W260" s="788"/>
      <c r="X260" s="788"/>
      <c r="Y260" s="788"/>
      <c r="Z260" s="788"/>
      <c r="AA260" s="788"/>
      <c r="AB260" s="788"/>
      <c r="AC260" s="788"/>
      <c r="AD260" s="788"/>
      <c r="AE260" s="788"/>
      <c r="AF260" s="788"/>
      <c r="AG260" s="788"/>
      <c r="AH260" s="1030"/>
      <c r="AI260" s="1030"/>
      <c r="AJ260" s="1030"/>
      <c r="AK260" s="1030"/>
      <c r="AL260" s="1030"/>
      <c r="AM260" s="1030"/>
      <c r="AN260" s="1030"/>
      <c r="AO260" s="1030"/>
      <c r="AP260" s="1030"/>
      <c r="AQ260" s="1030"/>
      <c r="AR260" s="1030"/>
      <c r="AS260" s="1030"/>
      <c r="AT260" s="1030"/>
      <c r="AU260" s="1030" t="str">
        <f t="shared" si="140"/>
        <v/>
      </c>
      <c r="AV260" s="2320" t="str">
        <f t="shared" si="111"/>
        <v/>
      </c>
      <c r="AW260" s="778"/>
      <c r="AX260" s="2016"/>
      <c r="AY260" s="2016"/>
      <c r="AZ260" s="2016"/>
      <c r="BA260" s="2016"/>
      <c r="BB260" s="2016"/>
      <c r="BC260" s="2031" t="s">
        <v>1072</v>
      </c>
    </row>
    <row r="261" spans="1:55" ht="14" hidden="1" customHeight="1" outlineLevel="1" x14ac:dyDescent="0.25">
      <c r="A261" s="779" t="s">
        <v>811</v>
      </c>
      <c r="B261" s="775">
        <v>281237</v>
      </c>
      <c r="C261" s="773">
        <v>272745.94</v>
      </c>
      <c r="D261" s="850">
        <v>330000</v>
      </c>
      <c r="E261" s="773">
        <v>314082.90000000002</v>
      </c>
      <c r="F261" s="850">
        <v>324210</v>
      </c>
      <c r="G261" s="850">
        <v>319578.94</v>
      </c>
      <c r="H261" s="851">
        <v>330544</v>
      </c>
      <c r="I261" s="851">
        <f>323043.96+4658.32</f>
        <v>327702.28000000003</v>
      </c>
      <c r="J261" s="806">
        <v>335005</v>
      </c>
      <c r="K261" s="825"/>
      <c r="L261" s="898">
        <v>341090.64</v>
      </c>
      <c r="M261" s="1023">
        <v>352914</v>
      </c>
      <c r="N261" s="1024">
        <v>350787</v>
      </c>
      <c r="O261" s="825">
        <f>350787+5000</f>
        <v>355787</v>
      </c>
      <c r="P261" s="825">
        <v>369819</v>
      </c>
      <c r="Q261" s="825">
        <v>369819</v>
      </c>
      <c r="R261" s="825">
        <v>387560</v>
      </c>
      <c r="S261" s="825"/>
      <c r="T261" s="825">
        <v>406713</v>
      </c>
      <c r="U261" s="825">
        <v>406713</v>
      </c>
      <c r="V261" s="810">
        <v>409713</v>
      </c>
      <c r="W261" s="788">
        <f>V261</f>
        <v>409713</v>
      </c>
      <c r="X261" s="810">
        <v>409713</v>
      </c>
      <c r="Y261" s="810">
        <f>X261</f>
        <v>409713</v>
      </c>
      <c r="Z261" s="810">
        <v>409713</v>
      </c>
      <c r="AA261" s="810">
        <f>Z261</f>
        <v>409713</v>
      </c>
      <c r="AB261" s="810">
        <v>409713</v>
      </c>
      <c r="AC261" s="810">
        <f>AB261</f>
        <v>409713</v>
      </c>
      <c r="AD261" s="810"/>
      <c r="AE261" s="810">
        <v>409803</v>
      </c>
      <c r="AF261" s="810"/>
      <c r="AG261" s="1410"/>
      <c r="AH261" s="1418"/>
      <c r="AI261" s="1031"/>
      <c r="AJ261" s="1031"/>
      <c r="AK261" s="1031"/>
      <c r="AL261" s="1031"/>
      <c r="AM261" s="1031"/>
      <c r="AN261" s="1031"/>
      <c r="AO261" s="1031"/>
      <c r="AP261" s="1031"/>
      <c r="AQ261" s="1031"/>
      <c r="AR261" s="1031"/>
      <c r="AS261" s="1031"/>
      <c r="AT261" s="1031"/>
      <c r="AU261" s="1031" t="str">
        <f t="shared" si="140"/>
        <v/>
      </c>
      <c r="AV261" s="2326" t="str">
        <f t="shared" si="111"/>
        <v/>
      </c>
      <c r="AW261" s="778"/>
      <c r="AX261" s="2016"/>
      <c r="AY261" s="2016"/>
      <c r="AZ261" s="2016"/>
      <c r="BA261" s="2016"/>
      <c r="BB261" s="2016"/>
      <c r="BC261" s="2031" t="s">
        <v>1072</v>
      </c>
    </row>
    <row r="262" spans="1:55" ht="14" hidden="1" customHeight="1" outlineLevel="1" x14ac:dyDescent="0.25">
      <c r="A262" s="842" t="s">
        <v>813</v>
      </c>
      <c r="B262" s="780">
        <f>SUM(B261:B261)</f>
        <v>281237</v>
      </c>
      <c r="C262" s="781">
        <f>SUM(C261:C261)</f>
        <v>272745.94</v>
      </c>
      <c r="D262" s="900">
        <f>SUM(D261:D261)</f>
        <v>330000</v>
      </c>
      <c r="E262" s="900">
        <f t="shared" ref="E262:N262" si="141">SUM(E261:E261)</f>
        <v>314082.90000000002</v>
      </c>
      <c r="F262" s="900">
        <f t="shared" si="141"/>
        <v>324210</v>
      </c>
      <c r="G262" s="900">
        <f t="shared" si="141"/>
        <v>319578.94</v>
      </c>
      <c r="H262" s="900">
        <f t="shared" si="141"/>
        <v>330544</v>
      </c>
      <c r="I262" s="900">
        <f t="shared" si="141"/>
        <v>327702.28000000003</v>
      </c>
      <c r="J262" s="784">
        <f t="shared" si="141"/>
        <v>335005</v>
      </c>
      <c r="K262" s="785" t="s">
        <v>455</v>
      </c>
      <c r="L262" s="843">
        <f t="shared" si="141"/>
        <v>341090.64</v>
      </c>
      <c r="M262" s="1032">
        <f t="shared" si="141"/>
        <v>352914</v>
      </c>
      <c r="N262" s="844">
        <f t="shared" si="141"/>
        <v>350787</v>
      </c>
      <c r="O262" s="785">
        <f>O261</f>
        <v>355787</v>
      </c>
      <c r="P262" s="820">
        <f>P261</f>
        <v>369819</v>
      </c>
      <c r="Q262" s="819">
        <f>IF(SUM(Q261)=0,P262,Q261)</f>
        <v>369819</v>
      </c>
      <c r="R262" s="820">
        <f>R261</f>
        <v>387560</v>
      </c>
      <c r="S262" s="819">
        <f>IF(SUM(S261)=0,R262,S261)</f>
        <v>387560</v>
      </c>
      <c r="T262" s="820">
        <v>406713</v>
      </c>
      <c r="U262" s="820">
        <v>406713</v>
      </c>
      <c r="V262" s="820">
        <f>V261</f>
        <v>409713</v>
      </c>
      <c r="W262" s="819">
        <f>IF(SUM(W261)=0,V262,W261)</f>
        <v>409713</v>
      </c>
      <c r="X262" s="820">
        <f>X261</f>
        <v>409713</v>
      </c>
      <c r="Y262" s="819">
        <f>IF(SUM(Y261)=0,X262,Y261)</f>
        <v>409713</v>
      </c>
      <c r="Z262" s="820">
        <f>Z261</f>
        <v>409713</v>
      </c>
      <c r="AA262" s="819">
        <f>IF(SUM(AA261)=0,Z262,AA261)</f>
        <v>409713</v>
      </c>
      <c r="AB262" s="820">
        <f>AB261</f>
        <v>409713</v>
      </c>
      <c r="AC262" s="819">
        <f>IF(SUM(AC261)=0,AB262,AC261)</f>
        <v>409713</v>
      </c>
      <c r="AD262" s="819"/>
      <c r="AE262" s="819">
        <v>409803</v>
      </c>
      <c r="AF262" s="819">
        <v>409803</v>
      </c>
      <c r="AG262" s="820"/>
      <c r="AH262" s="1419"/>
      <c r="AI262" s="1033"/>
      <c r="AJ262" s="1033"/>
      <c r="AK262" s="1033"/>
      <c r="AL262" s="1033"/>
      <c r="AM262" s="1033"/>
      <c r="AN262" s="1033"/>
      <c r="AO262" s="1033"/>
      <c r="AP262" s="1033"/>
      <c r="AQ262" s="1033"/>
      <c r="AR262" s="1033"/>
      <c r="AS262" s="1033"/>
      <c r="AT262" s="1033"/>
      <c r="AU262" s="1033" t="str">
        <f t="shared" si="140"/>
        <v/>
      </c>
      <c r="AV262" s="2327" t="str">
        <f t="shared" si="111"/>
        <v/>
      </c>
      <c r="AW262" s="778"/>
      <c r="AX262" s="2016"/>
      <c r="AY262" s="2016"/>
      <c r="AZ262" s="2016"/>
      <c r="BA262" s="2016"/>
      <c r="BB262" s="2016"/>
      <c r="BC262" s="2031" t="s">
        <v>1072</v>
      </c>
    </row>
    <row r="263" spans="1:55" ht="14" hidden="1" customHeight="1" outlineLevel="1" x14ac:dyDescent="0.25">
      <c r="A263" s="821"/>
      <c r="B263" s="793"/>
      <c r="C263" s="793"/>
      <c r="D263" s="892"/>
      <c r="E263" s="793"/>
      <c r="F263" s="892"/>
      <c r="G263" s="892"/>
      <c r="H263" s="893"/>
      <c r="I263" s="893"/>
      <c r="J263" s="846"/>
      <c r="K263" s="823"/>
      <c r="L263" s="829"/>
      <c r="M263" s="1027"/>
      <c r="N263" s="926"/>
      <c r="O263" s="822"/>
      <c r="P263" s="822"/>
      <c r="Q263" s="822"/>
      <c r="R263" s="822"/>
      <c r="S263" s="822"/>
      <c r="T263" s="822"/>
      <c r="U263" s="822"/>
      <c r="V263" s="822"/>
      <c r="W263" s="822"/>
      <c r="X263" s="822"/>
      <c r="Y263" s="822"/>
      <c r="Z263" s="822"/>
      <c r="AA263" s="822"/>
      <c r="AB263" s="822"/>
      <c r="AC263" s="822"/>
      <c r="AD263" s="822"/>
      <c r="AE263" s="822"/>
      <c r="AF263" s="822"/>
      <c r="AG263" s="822"/>
      <c r="AH263" s="1034"/>
      <c r="AI263" s="1034"/>
      <c r="AJ263" s="1034"/>
      <c r="AK263" s="1034"/>
      <c r="AL263" s="1034"/>
      <c r="AM263" s="1034"/>
      <c r="AN263" s="1034"/>
      <c r="AO263" s="1034"/>
      <c r="AP263" s="1034"/>
      <c r="AQ263" s="1034"/>
      <c r="AR263" s="1034"/>
      <c r="AS263" s="1034"/>
      <c r="AT263" s="1034"/>
      <c r="AU263" s="1034" t="str">
        <f t="shared" si="140"/>
        <v/>
      </c>
      <c r="AV263" s="2322" t="str">
        <f t="shared" si="111"/>
        <v/>
      </c>
      <c r="AW263" s="803"/>
      <c r="AX263" s="2016"/>
      <c r="AY263" s="2016"/>
      <c r="AZ263" s="2016"/>
      <c r="BA263" s="2016"/>
      <c r="BB263" s="2016"/>
      <c r="BC263" s="2031" t="s">
        <v>1072</v>
      </c>
    </row>
    <row r="264" spans="1:55" ht="14" hidden="1" customHeight="1" outlineLevel="1" x14ac:dyDescent="0.25">
      <c r="A264" s="987" t="s">
        <v>492</v>
      </c>
      <c r="B264" s="804"/>
      <c r="C264" s="804"/>
      <c r="D264" s="894"/>
      <c r="E264" s="804"/>
      <c r="F264" s="894"/>
      <c r="G264" s="894"/>
      <c r="H264" s="895"/>
      <c r="I264" s="895"/>
      <c r="J264" s="847"/>
      <c r="K264" s="788"/>
      <c r="L264" s="855"/>
      <c r="M264" s="1028"/>
      <c r="N264" s="1029"/>
      <c r="O264" s="788"/>
      <c r="P264" s="788"/>
      <c r="Q264" s="788"/>
      <c r="R264" s="788"/>
      <c r="S264" s="788"/>
      <c r="T264" s="788"/>
      <c r="U264" s="788"/>
      <c r="V264" s="788"/>
      <c r="W264" s="788"/>
      <c r="X264" s="788"/>
      <c r="Y264" s="788"/>
      <c r="Z264" s="788"/>
      <c r="AA264" s="788"/>
      <c r="AB264" s="788"/>
      <c r="AC264" s="788"/>
      <c r="AD264" s="788"/>
      <c r="AE264" s="788"/>
      <c r="AF264" s="788"/>
      <c r="AG264" s="788"/>
      <c r="AH264" s="1030"/>
      <c r="AI264" s="1030"/>
      <c r="AJ264" s="1030"/>
      <c r="AK264" s="1030"/>
      <c r="AL264" s="1030"/>
      <c r="AM264" s="1030"/>
      <c r="AN264" s="1030"/>
      <c r="AO264" s="1030"/>
      <c r="AP264" s="1030"/>
      <c r="AQ264" s="1030"/>
      <c r="AR264" s="1030"/>
      <c r="AS264" s="1030"/>
      <c r="AT264" s="1030"/>
      <c r="AU264" s="1030" t="str">
        <f t="shared" si="140"/>
        <v/>
      </c>
      <c r="AV264" s="2320" t="str">
        <f t="shared" si="111"/>
        <v/>
      </c>
      <c r="AW264" s="778"/>
      <c r="AX264" s="2016"/>
      <c r="AY264" s="2016"/>
      <c r="AZ264" s="2016"/>
      <c r="BA264" s="2016"/>
      <c r="BB264" s="2016"/>
      <c r="BC264" s="2031" t="s">
        <v>1072</v>
      </c>
    </row>
    <row r="265" spans="1:55" ht="14" hidden="1" customHeight="1" outlineLevel="1" x14ac:dyDescent="0.25">
      <c r="A265" s="779" t="s">
        <v>551</v>
      </c>
      <c r="B265" s="775">
        <v>3755</v>
      </c>
      <c r="C265" s="773">
        <v>2916.88</v>
      </c>
      <c r="D265" s="850">
        <v>0</v>
      </c>
      <c r="E265" s="773"/>
      <c r="F265" s="850"/>
      <c r="G265" s="850"/>
      <c r="H265" s="851"/>
      <c r="I265" s="777">
        <v>0</v>
      </c>
      <c r="J265" s="806">
        <v>0</v>
      </c>
      <c r="K265" s="788">
        <v>0</v>
      </c>
      <c r="L265" s="804">
        <f>J265*(1+0.025)</f>
        <v>0</v>
      </c>
      <c r="M265" s="1035"/>
      <c r="N265" s="1004"/>
      <c r="O265" s="788"/>
      <c r="P265" s="788"/>
      <c r="Q265" s="788"/>
      <c r="R265" s="788"/>
      <c r="S265" s="788"/>
      <c r="T265" s="788"/>
      <c r="U265" s="788"/>
      <c r="V265" s="788"/>
      <c r="W265" s="788"/>
      <c r="X265" s="788"/>
      <c r="Y265" s="788"/>
      <c r="Z265" s="788"/>
      <c r="AA265" s="788"/>
      <c r="AB265" s="788"/>
      <c r="AC265" s="788"/>
      <c r="AD265" s="788"/>
      <c r="AE265" s="788"/>
      <c r="AF265" s="788"/>
      <c r="AG265" s="841"/>
      <c r="AH265" s="1420"/>
      <c r="AI265" s="1033"/>
      <c r="AJ265" s="1033"/>
      <c r="AK265" s="1033"/>
      <c r="AL265" s="1033"/>
      <c r="AM265" s="1033"/>
      <c r="AN265" s="1033"/>
      <c r="AO265" s="1033"/>
      <c r="AP265" s="1033"/>
      <c r="AQ265" s="1033"/>
      <c r="AR265" s="1033"/>
      <c r="AS265" s="1033"/>
      <c r="AT265" s="1033"/>
      <c r="AU265" s="1033" t="str">
        <f t="shared" si="140"/>
        <v/>
      </c>
      <c r="AV265" s="2327" t="str">
        <f t="shared" si="111"/>
        <v/>
      </c>
      <c r="AW265" s="778"/>
      <c r="AX265" s="2016"/>
      <c r="AY265" s="2016"/>
      <c r="AZ265" s="2016"/>
      <c r="BA265" s="2016"/>
      <c r="BB265" s="2016"/>
      <c r="BC265" s="2031" t="s">
        <v>1072</v>
      </c>
    </row>
    <row r="266" spans="1:55" ht="14" hidden="1" customHeight="1" outlineLevel="1" x14ac:dyDescent="0.25">
      <c r="A266" s="779" t="s">
        <v>812</v>
      </c>
      <c r="B266" s="775">
        <v>39200</v>
      </c>
      <c r="C266" s="773">
        <v>37107</v>
      </c>
      <c r="D266" s="850">
        <v>7250</v>
      </c>
      <c r="E266" s="773">
        <v>18.420000000000002</v>
      </c>
      <c r="F266" s="850">
        <v>7250</v>
      </c>
      <c r="G266" s="850">
        <v>4223</v>
      </c>
      <c r="H266" s="851">
        <v>7250</v>
      </c>
      <c r="I266" s="777">
        <v>6635</v>
      </c>
      <c r="J266" s="806">
        <v>3000</v>
      </c>
      <c r="K266" s="825"/>
      <c r="L266" s="947">
        <v>4249</v>
      </c>
      <c r="M266" s="1036">
        <v>3750</v>
      </c>
      <c r="N266" s="1029">
        <v>2750</v>
      </c>
      <c r="O266" s="825">
        <v>2750</v>
      </c>
      <c r="P266" s="825">
        <v>1350</v>
      </c>
      <c r="Q266" s="825">
        <v>1350</v>
      </c>
      <c r="R266" s="825">
        <v>3850</v>
      </c>
      <c r="S266" s="825"/>
      <c r="T266" s="825">
        <v>4100</v>
      </c>
      <c r="U266" s="825">
        <v>4100</v>
      </c>
      <c r="V266" s="810">
        <v>1600</v>
      </c>
      <c r="W266" s="788">
        <f>V266</f>
        <v>1600</v>
      </c>
      <c r="X266" s="810">
        <v>2050</v>
      </c>
      <c r="Y266" s="810">
        <v>2050</v>
      </c>
      <c r="Z266" s="810">
        <v>4150</v>
      </c>
      <c r="AA266" s="810">
        <f>Z266</f>
        <v>4150</v>
      </c>
      <c r="AB266" s="810">
        <v>1650</v>
      </c>
      <c r="AC266" s="810">
        <f>AB266</f>
        <v>1650</v>
      </c>
      <c r="AD266" s="810"/>
      <c r="AE266" s="810">
        <v>1650</v>
      </c>
      <c r="AF266" s="810"/>
      <c r="AG266" s="1410"/>
      <c r="AH266" s="1418"/>
      <c r="AI266" s="1033"/>
      <c r="AJ266" s="1033"/>
      <c r="AK266" s="1033"/>
      <c r="AL266" s="1033"/>
      <c r="AM266" s="1033"/>
      <c r="AN266" s="1033"/>
      <c r="AO266" s="1033"/>
      <c r="AP266" s="1033"/>
      <c r="AQ266" s="1033"/>
      <c r="AR266" s="1033"/>
      <c r="AS266" s="1033"/>
      <c r="AT266" s="1033"/>
      <c r="AU266" s="1033" t="str">
        <f t="shared" si="140"/>
        <v/>
      </c>
      <c r="AV266" s="2327" t="str">
        <f t="shared" si="111"/>
        <v/>
      </c>
      <c r="AW266" s="778"/>
      <c r="AX266" s="2016"/>
      <c r="AY266" s="2016"/>
      <c r="AZ266" s="2016"/>
      <c r="BA266" s="2016"/>
      <c r="BB266" s="2016"/>
      <c r="BC266" s="2031" t="s">
        <v>1072</v>
      </c>
    </row>
    <row r="267" spans="1:55" ht="14" hidden="1" customHeight="1" outlineLevel="1" x14ac:dyDescent="0.25">
      <c r="A267" s="842" t="s">
        <v>813</v>
      </c>
      <c r="B267" s="781">
        <f>SUM(B265:B266)</f>
        <v>42955</v>
      </c>
      <c r="C267" s="781">
        <f>SUM(C265:C266)</f>
        <v>40023.879999999997</v>
      </c>
      <c r="D267" s="781">
        <f t="shared" ref="D267:N267" si="142">SUM(D265:D266)</f>
        <v>7250</v>
      </c>
      <c r="E267" s="781">
        <f t="shared" si="142"/>
        <v>18.420000000000002</v>
      </c>
      <c r="F267" s="781">
        <f t="shared" si="142"/>
        <v>7250</v>
      </c>
      <c r="G267" s="781">
        <f t="shared" si="142"/>
        <v>4223</v>
      </c>
      <c r="H267" s="781">
        <f t="shared" si="142"/>
        <v>7250</v>
      </c>
      <c r="I267" s="781">
        <f t="shared" si="142"/>
        <v>6635</v>
      </c>
      <c r="J267" s="784">
        <v>3000</v>
      </c>
      <c r="K267" s="785" t="s">
        <v>455</v>
      </c>
      <c r="L267" s="848">
        <f t="shared" si="142"/>
        <v>4249</v>
      </c>
      <c r="M267" s="848">
        <f t="shared" si="142"/>
        <v>3750</v>
      </c>
      <c r="N267" s="844">
        <f t="shared" si="142"/>
        <v>2750</v>
      </c>
      <c r="O267" s="785">
        <f>O266</f>
        <v>2750</v>
      </c>
      <c r="P267" s="820">
        <f>P266</f>
        <v>1350</v>
      </c>
      <c r="Q267" s="819">
        <f>IF(SUM(Q265:Q266)=0,P267,SUM(Q265:Q266))</f>
        <v>1350</v>
      </c>
      <c r="R267" s="820">
        <f>R266</f>
        <v>3850</v>
      </c>
      <c r="S267" s="819">
        <f>IF(SUM(S265:S266)=0,R267,SUM(S265:S266))</f>
        <v>3850</v>
      </c>
      <c r="T267" s="820">
        <v>4100</v>
      </c>
      <c r="U267" s="820">
        <v>4100</v>
      </c>
      <c r="V267" s="820">
        <f>V266</f>
        <v>1600</v>
      </c>
      <c r="W267" s="819">
        <f>IF(SUM(W265:W266)=0,V267,SUM(W265:W266))</f>
        <v>1600</v>
      </c>
      <c r="X267" s="820">
        <f>X266</f>
        <v>2050</v>
      </c>
      <c r="Y267" s="819">
        <f>IF(SUM(Y265:Y266)=0,X267,SUM(Y265:Y266))</f>
        <v>2050</v>
      </c>
      <c r="Z267" s="820">
        <f>Z266</f>
        <v>4150</v>
      </c>
      <c r="AA267" s="819">
        <f>IF(SUM(AA265:AA266)=0,Z267,SUM(AA265:AA266))</f>
        <v>4150</v>
      </c>
      <c r="AB267" s="820">
        <f>AB266</f>
        <v>1650</v>
      </c>
      <c r="AC267" s="819">
        <f>IF(SUM(AC265:AC266)=0,AB267,SUM(AC265:AC266))</f>
        <v>1650</v>
      </c>
      <c r="AD267" s="819"/>
      <c r="AE267" s="819">
        <v>1650</v>
      </c>
      <c r="AF267" s="819">
        <v>1650</v>
      </c>
      <c r="AG267" s="820"/>
      <c r="AH267" s="1419"/>
      <c r="AI267" s="1033"/>
      <c r="AJ267" s="1033"/>
      <c r="AK267" s="1033"/>
      <c r="AL267" s="1033"/>
      <c r="AM267" s="1033"/>
      <c r="AN267" s="1033"/>
      <c r="AO267" s="1033"/>
      <c r="AP267" s="1033"/>
      <c r="AQ267" s="1033"/>
      <c r="AR267" s="1033"/>
      <c r="AS267" s="1033"/>
      <c r="AT267" s="1033"/>
      <c r="AU267" s="1033" t="str">
        <f t="shared" si="140"/>
        <v/>
      </c>
      <c r="AV267" s="2327" t="str">
        <f t="shared" si="111"/>
        <v/>
      </c>
      <c r="AW267" s="778"/>
      <c r="AX267" s="2016"/>
      <c r="AY267" s="2016"/>
      <c r="AZ267" s="2016"/>
      <c r="BA267" s="2016"/>
      <c r="BB267" s="2016"/>
      <c r="BC267" s="2031" t="s">
        <v>1072</v>
      </c>
    </row>
    <row r="268" spans="1:55" ht="14" hidden="1" customHeight="1" outlineLevel="1" x14ac:dyDescent="0.25">
      <c r="A268" s="821"/>
      <c r="B268" s="793"/>
      <c r="C268" s="793"/>
      <c r="D268" s="892"/>
      <c r="E268" s="793"/>
      <c r="F268" s="892"/>
      <c r="G268" s="892"/>
      <c r="H268" s="893"/>
      <c r="I268" s="893"/>
      <c r="J268" s="846"/>
      <c r="K268" s="823"/>
      <c r="L268" s="829"/>
      <c r="M268" s="830"/>
      <c r="N268" s="824"/>
      <c r="O268" s="822"/>
      <c r="P268" s="822"/>
      <c r="Q268" s="822"/>
      <c r="R268" s="822"/>
      <c r="S268" s="822"/>
      <c r="T268" s="822"/>
      <c r="U268" s="822"/>
      <c r="V268" s="822"/>
      <c r="W268" s="822"/>
      <c r="X268" s="822"/>
      <c r="Y268" s="822"/>
      <c r="Z268" s="822"/>
      <c r="AA268" s="822"/>
      <c r="AB268" s="822"/>
      <c r="AC268" s="822"/>
      <c r="AD268" s="822"/>
      <c r="AE268" s="822"/>
      <c r="AF268" s="822"/>
      <c r="AG268" s="822"/>
      <c r="AH268" s="1034"/>
      <c r="AI268" s="1034"/>
      <c r="AJ268" s="1034"/>
      <c r="AK268" s="1034"/>
      <c r="AL268" s="1034"/>
      <c r="AM268" s="1034"/>
      <c r="AN268" s="1034"/>
      <c r="AO268" s="1034"/>
      <c r="AP268" s="1034"/>
      <c r="AQ268" s="1034"/>
      <c r="AR268" s="1034"/>
      <c r="AS268" s="1034"/>
      <c r="AT268" s="1034"/>
      <c r="AU268" s="1034" t="str">
        <f t="shared" si="140"/>
        <v/>
      </c>
      <c r="AV268" s="2322" t="str">
        <f t="shared" si="111"/>
        <v/>
      </c>
      <c r="AW268" s="803"/>
      <c r="AX268" s="2016"/>
      <c r="AY268" s="2016"/>
      <c r="AZ268" s="2016"/>
      <c r="BA268" s="2016"/>
      <c r="BB268" s="2016"/>
      <c r="BC268" s="2031" t="s">
        <v>1072</v>
      </c>
    </row>
    <row r="269" spans="1:55" ht="14" hidden="1" customHeight="1" outlineLevel="1" x14ac:dyDescent="0.25">
      <c r="A269" s="779" t="s">
        <v>621</v>
      </c>
      <c r="B269" s="804"/>
      <c r="C269" s="804"/>
      <c r="D269" s="894"/>
      <c r="E269" s="804"/>
      <c r="F269" s="894"/>
      <c r="G269" s="894"/>
      <c r="H269" s="895"/>
      <c r="I269" s="895"/>
      <c r="J269" s="847"/>
      <c r="K269" s="788"/>
      <c r="L269" s="855"/>
      <c r="M269" s="855"/>
      <c r="N269" s="813"/>
      <c r="O269" s="788"/>
      <c r="P269" s="788"/>
      <c r="Q269" s="788"/>
      <c r="R269" s="788"/>
      <c r="S269" s="788"/>
      <c r="T269" s="788"/>
      <c r="U269" s="788"/>
      <c r="V269" s="788"/>
      <c r="W269" s="788"/>
      <c r="X269" s="788"/>
      <c r="Y269" s="788"/>
      <c r="Z269" s="788"/>
      <c r="AA269" s="788"/>
      <c r="AB269" s="788"/>
      <c r="AC269" s="788"/>
      <c r="AD269" s="788"/>
      <c r="AE269" s="788"/>
      <c r="AF269" s="788"/>
      <c r="AG269" s="788"/>
      <c r="AH269" s="788"/>
      <c r="AI269" s="788"/>
      <c r="AJ269" s="788"/>
      <c r="AK269" s="788"/>
      <c r="AL269" s="788"/>
      <c r="AM269" s="788"/>
      <c r="AN269" s="788"/>
      <c r="AO269" s="788"/>
      <c r="AP269" s="788"/>
      <c r="AQ269" s="788"/>
      <c r="AR269" s="788"/>
      <c r="AS269" s="841"/>
      <c r="AT269" s="891"/>
      <c r="AU269" s="788" t="str">
        <f t="shared" ref="AU269:AU274" si="143">IF(AR269&gt;0,AT269-AR269,"")</f>
        <v/>
      </c>
      <c r="AV269" s="2272" t="str">
        <f t="shared" si="111"/>
        <v/>
      </c>
      <c r="AW269" s="778"/>
      <c r="AX269" s="2016"/>
      <c r="AY269" s="2016"/>
      <c r="AZ269" s="2016"/>
      <c r="BA269" s="2016"/>
      <c r="BB269" s="2016"/>
    </row>
    <row r="270" spans="1:55" ht="14" hidden="1" customHeight="1" outlineLevel="1" x14ac:dyDescent="0.25">
      <c r="A270" s="779" t="s">
        <v>717</v>
      </c>
      <c r="B270" s="775">
        <v>36481</v>
      </c>
      <c r="C270" s="773">
        <v>36481</v>
      </c>
      <c r="D270" s="850">
        <v>37088</v>
      </c>
      <c r="E270" s="773">
        <v>37088</v>
      </c>
      <c r="F270" s="850">
        <v>37088</v>
      </c>
      <c r="G270" s="850">
        <v>40746.730000000003</v>
      </c>
      <c r="H270" s="851">
        <v>28813</v>
      </c>
      <c r="I270" s="851">
        <v>18331.599999999999</v>
      </c>
      <c r="J270" s="806">
        <v>38648</v>
      </c>
      <c r="K270" s="785" t="s">
        <v>197</v>
      </c>
      <c r="L270" s="1037">
        <v>36570</v>
      </c>
      <c r="M270" s="807">
        <v>40764</v>
      </c>
      <c r="N270" s="808">
        <v>40764</v>
      </c>
      <c r="O270" s="804">
        <v>40764</v>
      </c>
      <c r="P270" s="788">
        <v>41865</v>
      </c>
      <c r="Q270" s="788">
        <v>41865</v>
      </c>
      <c r="R270" s="788">
        <v>41865</v>
      </c>
      <c r="S270" s="852"/>
      <c r="T270" s="852">
        <v>39101</v>
      </c>
      <c r="U270" s="852">
        <v>39101</v>
      </c>
      <c r="V270" s="810">
        <v>41080</v>
      </c>
      <c r="W270" s="788">
        <f>V270</f>
        <v>41080</v>
      </c>
      <c r="X270" s="810">
        <v>43158</v>
      </c>
      <c r="Y270" s="810">
        <v>43158</v>
      </c>
      <c r="Z270" s="810">
        <v>46029</v>
      </c>
      <c r="AA270" s="810">
        <f>Z270</f>
        <v>46029</v>
      </c>
      <c r="AB270" s="810">
        <v>48045</v>
      </c>
      <c r="AC270" s="810">
        <f>AB270+8053</f>
        <v>56098</v>
      </c>
      <c r="AD270" s="810"/>
      <c r="AE270" s="810">
        <v>61672</v>
      </c>
      <c r="AF270" s="810"/>
      <c r="AG270" s="810">
        <v>63522.16</v>
      </c>
      <c r="AH270" s="810">
        <v>64647</v>
      </c>
      <c r="AI270" s="810">
        <v>66586.41</v>
      </c>
      <c r="AJ270" s="810">
        <v>68246</v>
      </c>
      <c r="AK270" s="810">
        <v>70293.38</v>
      </c>
      <c r="AL270" s="810">
        <v>69907</v>
      </c>
      <c r="AM270" s="810">
        <f>AL270*$AH$3</f>
        <v>71305.14</v>
      </c>
      <c r="AN270" s="810">
        <v>69385</v>
      </c>
      <c r="AO270" s="810">
        <v>71119.625</v>
      </c>
      <c r="AP270" s="810">
        <v>70763</v>
      </c>
      <c r="AQ270" s="810">
        <f>AP270*$AH$3</f>
        <v>72178.259999999995</v>
      </c>
      <c r="AR270" s="810">
        <v>78042</v>
      </c>
      <c r="AS270" s="1410">
        <f>AR270*$AH$3</f>
        <v>79602.84</v>
      </c>
      <c r="AT270" s="809">
        <f>'[1]BUDGET DETAIL'!$CX$753</f>
        <v>79985</v>
      </c>
      <c r="AU270" s="810">
        <f t="shared" si="143"/>
        <v>1943</v>
      </c>
      <c r="AV270" s="2274">
        <f t="shared" si="111"/>
        <v>2.4896850413879706E-2</v>
      </c>
      <c r="AW270" s="778"/>
      <c r="AX270" s="2016"/>
      <c r="AY270" s="2016"/>
      <c r="AZ270" s="2016"/>
      <c r="BA270" s="2016"/>
      <c r="BB270" s="2016"/>
    </row>
    <row r="271" spans="1:55" ht="14" hidden="1" customHeight="1" outlineLevel="1" x14ac:dyDescent="0.25">
      <c r="A271" s="779" t="s">
        <v>551</v>
      </c>
      <c r="B271" s="775">
        <v>33938</v>
      </c>
      <c r="C271" s="773">
        <v>31367.59</v>
      </c>
      <c r="D271" s="850">
        <v>36151</v>
      </c>
      <c r="E271" s="773">
        <v>35144.22</v>
      </c>
      <c r="F271" s="850">
        <v>36151</v>
      </c>
      <c r="G271" s="850">
        <v>36088.21</v>
      </c>
      <c r="H271" s="851">
        <v>37931</v>
      </c>
      <c r="I271" s="851">
        <v>36955.53</v>
      </c>
      <c r="J271" s="806">
        <v>40183</v>
      </c>
      <c r="K271" s="788"/>
      <c r="L271" s="840">
        <v>40631.83</v>
      </c>
      <c r="M271" s="807">
        <v>42781</v>
      </c>
      <c r="N271" s="808">
        <v>34914</v>
      </c>
      <c r="O271" s="804">
        <v>34914</v>
      </c>
      <c r="P271" s="788">
        <v>35476</v>
      </c>
      <c r="Q271" s="788">
        <v>35476</v>
      </c>
      <c r="R271" s="788">
        <v>35476</v>
      </c>
      <c r="S271" s="852"/>
      <c r="T271" s="852">
        <v>42622</v>
      </c>
      <c r="U271" s="852">
        <v>42622</v>
      </c>
      <c r="V271" s="810">
        <v>43782</v>
      </c>
      <c r="W271" s="788">
        <f>V271</f>
        <v>43782</v>
      </c>
      <c r="X271" s="810">
        <v>44378</v>
      </c>
      <c r="Y271" s="810">
        <v>44378</v>
      </c>
      <c r="Z271" s="810">
        <v>46389</v>
      </c>
      <c r="AA271" s="810">
        <f>Z271</f>
        <v>46389</v>
      </c>
      <c r="AB271" s="810">
        <v>48015</v>
      </c>
      <c r="AC271" s="810">
        <f>AB271</f>
        <v>48015</v>
      </c>
      <c r="AD271" s="810"/>
      <c r="AE271" s="1038">
        <v>51692</v>
      </c>
      <c r="AF271" s="810"/>
      <c r="AG271" s="810">
        <v>53242.76</v>
      </c>
      <c r="AH271" s="810">
        <v>53385</v>
      </c>
      <c r="AI271" s="810">
        <v>54986.55</v>
      </c>
      <c r="AJ271" s="810">
        <v>61065</v>
      </c>
      <c r="AK271" s="810">
        <v>62896.950000000004</v>
      </c>
      <c r="AL271" s="810">
        <v>61670</v>
      </c>
      <c r="AM271" s="810">
        <f>AL271*$AH$3</f>
        <v>62903.4</v>
      </c>
      <c r="AN271" s="810">
        <v>62895</v>
      </c>
      <c r="AO271" s="810">
        <v>64467.374999999993</v>
      </c>
      <c r="AP271" s="810">
        <v>64076</v>
      </c>
      <c r="AQ271" s="810">
        <f>AP271*$AH$3</f>
        <v>65357.520000000004</v>
      </c>
      <c r="AR271" s="810">
        <v>66131</v>
      </c>
      <c r="AS271" s="1410">
        <f>AR271*$AH$3</f>
        <v>67453.62</v>
      </c>
      <c r="AT271" s="809">
        <f>'[1]BUDGET DETAIL'!$CX$758</f>
        <v>67590</v>
      </c>
      <c r="AU271" s="810">
        <f t="shared" si="143"/>
        <v>1459</v>
      </c>
      <c r="AV271" s="2274">
        <f t="shared" ref="AV271:AV334" si="144">IF(AR271&gt;0,AU271/AR271,"")</f>
        <v>2.2062270342199573E-2</v>
      </c>
      <c r="AW271" s="778"/>
      <c r="AX271" s="2016"/>
      <c r="AY271" s="2016"/>
      <c r="AZ271" s="2016"/>
      <c r="BA271" s="2016"/>
      <c r="BB271" s="2016"/>
    </row>
    <row r="272" spans="1:55" ht="14" hidden="1" customHeight="1" outlineLevel="1" x14ac:dyDescent="0.25">
      <c r="A272" s="779" t="s">
        <v>812</v>
      </c>
      <c r="B272" s="775">
        <v>5960</v>
      </c>
      <c r="C272" s="773">
        <f>SUM(5753.99+42.03)</f>
        <v>5796.0199999999995</v>
      </c>
      <c r="D272" s="850">
        <v>3140</v>
      </c>
      <c r="E272" s="773">
        <v>3460.18</v>
      </c>
      <c r="F272" s="850">
        <v>3140</v>
      </c>
      <c r="G272" s="850">
        <v>3287.29</v>
      </c>
      <c r="H272" s="851">
        <v>3275</v>
      </c>
      <c r="I272" s="851">
        <v>3274.44</v>
      </c>
      <c r="J272" s="806">
        <v>3275</v>
      </c>
      <c r="K272" s="827" t="s">
        <v>455</v>
      </c>
      <c r="L272" s="812">
        <v>3338.37</v>
      </c>
      <c r="M272" s="812">
        <v>3409</v>
      </c>
      <c r="N272" s="813">
        <v>2582</v>
      </c>
      <c r="O272" s="855">
        <v>2582</v>
      </c>
      <c r="P272" s="788">
        <v>2582</v>
      </c>
      <c r="Q272" s="788">
        <v>2582</v>
      </c>
      <c r="R272" s="788">
        <v>2582</v>
      </c>
      <c r="S272" s="855"/>
      <c r="T272" s="855">
        <v>2633</v>
      </c>
      <c r="U272" s="855">
        <v>2633</v>
      </c>
      <c r="V272" s="810">
        <v>2686</v>
      </c>
      <c r="W272" s="788">
        <f>V272</f>
        <v>2686</v>
      </c>
      <c r="X272" s="810">
        <v>2767</v>
      </c>
      <c r="Y272" s="810">
        <v>2767</v>
      </c>
      <c r="Z272" s="810">
        <v>2850</v>
      </c>
      <c r="AA272" s="810">
        <f>Z272</f>
        <v>2850</v>
      </c>
      <c r="AB272" s="810">
        <v>2936</v>
      </c>
      <c r="AC272" s="810">
        <f>AB272</f>
        <v>2936</v>
      </c>
      <c r="AD272" s="810"/>
      <c r="AE272" s="1038">
        <v>4030</v>
      </c>
      <c r="AF272" s="810"/>
      <c r="AG272" s="810">
        <v>4030</v>
      </c>
      <c r="AH272" s="810">
        <v>4430</v>
      </c>
      <c r="AI272" s="810">
        <v>4430</v>
      </c>
      <c r="AJ272" s="810">
        <v>5530</v>
      </c>
      <c r="AK272" s="810">
        <v>5530</v>
      </c>
      <c r="AL272" s="810">
        <v>5561</v>
      </c>
      <c r="AM272" s="810">
        <f>AL272*$AH$4</f>
        <v>5561</v>
      </c>
      <c r="AN272" s="810">
        <v>5561</v>
      </c>
      <c r="AO272" s="810">
        <v>5561</v>
      </c>
      <c r="AP272" s="810">
        <v>5561</v>
      </c>
      <c r="AQ272" s="810">
        <f>AP272*$AH$4</f>
        <v>5561</v>
      </c>
      <c r="AR272" s="810">
        <v>5561</v>
      </c>
      <c r="AS272" s="1410">
        <f>AR272*$AH$4</f>
        <v>5561</v>
      </c>
      <c r="AT272" s="809">
        <f>'[1]BUDGET DETAIL'!$CX$771</f>
        <v>5561</v>
      </c>
      <c r="AU272" s="810">
        <f t="shared" si="143"/>
        <v>0</v>
      </c>
      <c r="AV272" s="2274">
        <f t="shared" si="144"/>
        <v>0</v>
      </c>
      <c r="AW272" s="778"/>
      <c r="AX272" s="2016"/>
      <c r="AY272" s="2016"/>
      <c r="AZ272" s="2016"/>
      <c r="BA272" s="2016"/>
      <c r="BB272" s="2016"/>
    </row>
    <row r="273" spans="1:55" ht="14" hidden="1" customHeight="1" outlineLevel="1" x14ac:dyDescent="0.25">
      <c r="A273" s="842" t="s">
        <v>813</v>
      </c>
      <c r="B273" s="781">
        <f t="shared" ref="B273:N273" si="145">SUM(B270:B272)</f>
        <v>76379</v>
      </c>
      <c r="C273" s="781">
        <f t="shared" si="145"/>
        <v>73644.61</v>
      </c>
      <c r="D273" s="900">
        <f t="shared" si="145"/>
        <v>76379</v>
      </c>
      <c r="E273" s="781">
        <f t="shared" si="145"/>
        <v>75692.399999999994</v>
      </c>
      <c r="F273" s="900">
        <f t="shared" si="145"/>
        <v>76379</v>
      </c>
      <c r="G273" s="900">
        <f t="shared" si="145"/>
        <v>80122.23</v>
      </c>
      <c r="H273" s="868">
        <f t="shared" si="145"/>
        <v>70019</v>
      </c>
      <c r="I273" s="868">
        <f t="shared" si="145"/>
        <v>58561.57</v>
      </c>
      <c r="J273" s="784">
        <f t="shared" si="145"/>
        <v>82106</v>
      </c>
      <c r="K273" s="816">
        <v>38789</v>
      </c>
      <c r="L273" s="843">
        <f t="shared" si="145"/>
        <v>80540.2</v>
      </c>
      <c r="M273" s="843">
        <f t="shared" si="145"/>
        <v>86954</v>
      </c>
      <c r="N273" s="844">
        <f t="shared" si="145"/>
        <v>78260</v>
      </c>
      <c r="O273" s="1039">
        <f>SUM(O270:O272)</f>
        <v>78260</v>
      </c>
      <c r="P273" s="1039">
        <f>SUM(P270:P272)</f>
        <v>79923</v>
      </c>
      <c r="Q273" s="819">
        <f>IF(SUM(Q270:Q272)=0,P273,SUM(Q270:Q272))</f>
        <v>79923</v>
      </c>
      <c r="R273" s="819">
        <f>SUM(R270:R272)</f>
        <v>79923</v>
      </c>
      <c r="S273" s="819">
        <f>IF(SUM(S270:S272)=0,R273,SUM(S270:S272))</f>
        <v>79923</v>
      </c>
      <c r="T273" s="819">
        <v>84356</v>
      </c>
      <c r="U273" s="819">
        <v>84356</v>
      </c>
      <c r="V273" s="819">
        <f>SUM(V270:V272)</f>
        <v>87548</v>
      </c>
      <c r="W273" s="819">
        <f>IF(SUM(W270:W272)=0,V273,SUM(W270:W272))</f>
        <v>87548</v>
      </c>
      <c r="X273" s="819">
        <f>SUM(X270:X272)</f>
        <v>90303</v>
      </c>
      <c r="Y273" s="819">
        <f>IF(SUM(Y270:Y272)=0,X273,SUM(Y270:Y272))</f>
        <v>90303</v>
      </c>
      <c r="Z273" s="819">
        <f>SUM(Z270:Z272)</f>
        <v>95268</v>
      </c>
      <c r="AA273" s="819">
        <f>IF(SUM(AA270:AA272)=0,Z273,SUM(AA270:AA272))</f>
        <v>95268</v>
      </c>
      <c r="AB273" s="819">
        <f>SUM(AB270:AB272)</f>
        <v>98996</v>
      </c>
      <c r="AC273" s="819">
        <f>IF(SUM(AC270:AC272)=0,AB273,SUM(AC270:AC272))</f>
        <v>107049</v>
      </c>
      <c r="AD273" s="819"/>
      <c r="AE273" s="819">
        <v>117394</v>
      </c>
      <c r="AF273" s="819">
        <v>117394</v>
      </c>
      <c r="AG273" s="819">
        <v>120794.92000000001</v>
      </c>
      <c r="AH273" s="819">
        <v>122462</v>
      </c>
      <c r="AI273" s="785">
        <v>126002.96</v>
      </c>
      <c r="AJ273" s="785">
        <v>134841</v>
      </c>
      <c r="AK273" s="785">
        <v>138720.33000000002</v>
      </c>
      <c r="AL273" s="785">
        <v>137138</v>
      </c>
      <c r="AM273" s="785">
        <f t="shared" ref="AM273:AR273" si="146">SUM(AM270:AM272)</f>
        <v>139769.54</v>
      </c>
      <c r="AN273" s="785">
        <f t="shared" si="146"/>
        <v>137841</v>
      </c>
      <c r="AO273" s="785">
        <f t="shared" si="146"/>
        <v>141148</v>
      </c>
      <c r="AP273" s="785">
        <f t="shared" si="146"/>
        <v>140400</v>
      </c>
      <c r="AQ273" s="785">
        <f t="shared" si="146"/>
        <v>143096.78</v>
      </c>
      <c r="AR273" s="785">
        <f t="shared" si="146"/>
        <v>149734</v>
      </c>
      <c r="AS273" s="820">
        <f t="shared" ref="AS273:AT273" si="147">SUM(AS270:AS272)</f>
        <v>152617.46</v>
      </c>
      <c r="AT273" s="819">
        <f t="shared" si="147"/>
        <v>153136</v>
      </c>
      <c r="AU273" s="785">
        <f t="shared" si="143"/>
        <v>3402</v>
      </c>
      <c r="AV273" s="2275">
        <f t="shared" si="144"/>
        <v>2.272029064875045E-2</v>
      </c>
      <c r="AW273" s="778"/>
      <c r="AX273" s="2016"/>
      <c r="AY273" s="2016"/>
      <c r="AZ273" s="2016"/>
      <c r="BA273" s="2518">
        <f>POWER(AT273/AJ273,1/5)-1</f>
        <v>2.5772535404198882E-2</v>
      </c>
      <c r="BB273" s="2518">
        <f>POWER(AT273/AA273,1/9)-1</f>
        <v>5.4152301337029529E-2</v>
      </c>
      <c r="BC273" s="2332"/>
    </row>
    <row r="274" spans="1:55" ht="14" hidden="1" customHeight="1" outlineLevel="1" x14ac:dyDescent="0.25">
      <c r="A274" s="821"/>
      <c r="B274" s="793"/>
      <c r="C274" s="793"/>
      <c r="D274" s="892"/>
      <c r="E274" s="793"/>
      <c r="F274" s="892"/>
      <c r="G274" s="892"/>
      <c r="H274" s="893"/>
      <c r="I274" s="893"/>
      <c r="J274" s="846"/>
      <c r="K274" s="823"/>
      <c r="L274" s="829"/>
      <c r="M274" s="830"/>
      <c r="N274" s="824"/>
      <c r="O274" s="822"/>
      <c r="P274" s="822"/>
      <c r="Q274" s="822"/>
      <c r="R274" s="822"/>
      <c r="S274" s="822"/>
      <c r="T274" s="822"/>
      <c r="U274" s="822"/>
      <c r="V274" s="822"/>
      <c r="W274" s="822"/>
      <c r="X274" s="822"/>
      <c r="Y274" s="822"/>
      <c r="Z274" s="822"/>
      <c r="AA274" s="822"/>
      <c r="AB274" s="822"/>
      <c r="AC274" s="822"/>
      <c r="AD274" s="822"/>
      <c r="AE274" s="822"/>
      <c r="AF274" s="822"/>
      <c r="AG274" s="822"/>
      <c r="AH274" s="822"/>
      <c r="AI274" s="822"/>
      <c r="AJ274" s="822"/>
      <c r="AK274" s="822"/>
      <c r="AL274" s="822"/>
      <c r="AM274" s="822"/>
      <c r="AN274" s="822"/>
      <c r="AO274" s="822"/>
      <c r="AP274" s="822"/>
      <c r="AQ274" s="822"/>
      <c r="AR274" s="822"/>
      <c r="AS274" s="1160"/>
      <c r="AT274" s="823"/>
      <c r="AU274" s="822" t="str">
        <f t="shared" si="143"/>
        <v/>
      </c>
      <c r="AV274" s="2276" t="str">
        <f t="shared" si="144"/>
        <v/>
      </c>
      <c r="AW274" s="803"/>
      <c r="AX274" s="2016"/>
      <c r="AY274" s="2016"/>
      <c r="AZ274" s="2016"/>
      <c r="BA274" s="2016"/>
      <c r="BB274" s="2016"/>
    </row>
    <row r="275" spans="1:55" ht="14" hidden="1" customHeight="1" outlineLevel="1" x14ac:dyDescent="0.25">
      <c r="A275" s="779" t="s">
        <v>788</v>
      </c>
      <c r="B275" s="804"/>
      <c r="C275" s="804"/>
      <c r="D275" s="894"/>
      <c r="E275" s="804"/>
      <c r="F275" s="894"/>
      <c r="G275" s="894"/>
      <c r="H275" s="895"/>
      <c r="I275" s="895"/>
      <c r="J275" s="847"/>
      <c r="K275" s="788"/>
      <c r="L275" s="855"/>
      <c r="M275" s="855"/>
      <c r="N275" s="813"/>
      <c r="O275" s="788"/>
      <c r="P275" s="788"/>
      <c r="Q275" s="788"/>
      <c r="R275" s="788"/>
      <c r="S275" s="788"/>
      <c r="T275" s="788"/>
      <c r="U275" s="788"/>
      <c r="V275" s="788"/>
      <c r="W275" s="788"/>
      <c r="X275" s="788"/>
      <c r="Y275" s="788"/>
      <c r="Z275" s="788"/>
      <c r="AA275" s="788"/>
      <c r="AB275" s="788"/>
      <c r="AC275" s="788"/>
      <c r="AD275" s="788"/>
      <c r="AE275" s="788"/>
      <c r="AF275" s="788"/>
      <c r="AG275" s="788"/>
      <c r="AH275" s="788"/>
      <c r="AI275" s="788"/>
      <c r="AJ275" s="788"/>
      <c r="AK275" s="788"/>
      <c r="AL275" s="788"/>
      <c r="AM275" s="788"/>
      <c r="AN275" s="788"/>
      <c r="AO275" s="788"/>
      <c r="AP275" s="788"/>
      <c r="AQ275" s="788"/>
      <c r="AR275" s="788"/>
      <c r="AS275" s="788"/>
      <c r="AT275" s="788"/>
      <c r="AU275" s="788" t="str">
        <f t="shared" si="140"/>
        <v/>
      </c>
      <c r="AV275" s="2314" t="str">
        <f t="shared" si="144"/>
        <v/>
      </c>
      <c r="AW275" s="778"/>
      <c r="AX275" s="2016"/>
      <c r="AY275" s="2016"/>
      <c r="AZ275" s="2016"/>
      <c r="BA275" s="2016"/>
      <c r="BB275" s="2016"/>
      <c r="BC275" s="2011" t="s">
        <v>1072</v>
      </c>
    </row>
    <row r="276" spans="1:55" ht="14" hidden="1" customHeight="1" outlineLevel="1" x14ac:dyDescent="0.25">
      <c r="A276" s="779" t="s">
        <v>811</v>
      </c>
      <c r="B276" s="775">
        <v>19468</v>
      </c>
      <c r="C276" s="773">
        <v>19468</v>
      </c>
      <c r="D276" s="850">
        <v>19468</v>
      </c>
      <c r="E276" s="773">
        <v>19468</v>
      </c>
      <c r="F276" s="850">
        <v>19468</v>
      </c>
      <c r="G276" s="850">
        <v>19468</v>
      </c>
      <c r="H276" s="851">
        <v>19955</v>
      </c>
      <c r="I276" s="851">
        <v>19955</v>
      </c>
      <c r="J276" s="806">
        <v>19955</v>
      </c>
      <c r="K276" s="825"/>
      <c r="L276" s="812">
        <v>20354</v>
      </c>
      <c r="M276" s="855">
        <v>20354</v>
      </c>
      <c r="N276" s="813">
        <v>0</v>
      </c>
      <c r="O276" s="825">
        <v>0</v>
      </c>
      <c r="P276" s="825"/>
      <c r="Q276" s="825"/>
      <c r="R276" s="825"/>
      <c r="S276" s="825"/>
      <c r="T276" s="825"/>
      <c r="U276" s="825"/>
      <c r="V276" s="825"/>
      <c r="W276" s="825"/>
      <c r="X276" s="825"/>
      <c r="Y276" s="825"/>
      <c r="Z276" s="810">
        <f>Y276*(1+$A$4/100)</f>
        <v>0</v>
      </c>
      <c r="AA276" s="825"/>
      <c r="AB276" s="810">
        <f>AA276*(1+$A$4/100)</f>
        <v>0</v>
      </c>
      <c r="AC276" s="825"/>
      <c r="AD276" s="825"/>
      <c r="AE276" s="825"/>
      <c r="AF276" s="825"/>
      <c r="AG276" s="825"/>
      <c r="AH276" s="825"/>
      <c r="AI276" s="825"/>
      <c r="AJ276" s="825"/>
      <c r="AK276" s="825"/>
      <c r="AL276" s="825"/>
      <c r="AM276" s="825"/>
      <c r="AN276" s="825"/>
      <c r="AO276" s="825"/>
      <c r="AP276" s="825"/>
      <c r="AQ276" s="825"/>
      <c r="AR276" s="825"/>
      <c r="AS276" s="825"/>
      <c r="AT276" s="825"/>
      <c r="AU276" s="825" t="str">
        <f t="shared" si="140"/>
        <v/>
      </c>
      <c r="AV276" s="2316" t="str">
        <f t="shared" si="144"/>
        <v/>
      </c>
      <c r="AW276" s="778"/>
      <c r="AX276" s="2016"/>
      <c r="AY276" s="2016"/>
      <c r="AZ276" s="2016"/>
      <c r="BA276" s="2016"/>
      <c r="BB276" s="2016"/>
      <c r="BC276" s="2011" t="s">
        <v>1072</v>
      </c>
    </row>
    <row r="277" spans="1:55" ht="14" hidden="1" customHeight="1" outlineLevel="1" x14ac:dyDescent="0.25">
      <c r="A277" s="842" t="s">
        <v>813</v>
      </c>
      <c r="B277" s="781">
        <f>SUM(B276)</f>
        <v>19468</v>
      </c>
      <c r="C277" s="781">
        <f>SUM(C276:C276)</f>
        <v>19468</v>
      </c>
      <c r="D277" s="781">
        <f t="shared" ref="D277:J277" si="148">SUM(D276:D276)</f>
        <v>19468</v>
      </c>
      <c r="E277" s="781">
        <f t="shared" si="148"/>
        <v>19468</v>
      </c>
      <c r="F277" s="781">
        <f t="shared" si="148"/>
        <v>19468</v>
      </c>
      <c r="G277" s="781">
        <f t="shared" si="148"/>
        <v>19468</v>
      </c>
      <c r="H277" s="781">
        <f t="shared" si="148"/>
        <v>19955</v>
      </c>
      <c r="I277" s="781">
        <f t="shared" si="148"/>
        <v>19955</v>
      </c>
      <c r="J277" s="784">
        <f t="shared" si="148"/>
        <v>19955</v>
      </c>
      <c r="K277" s="785" t="s">
        <v>455</v>
      </c>
      <c r="L277" s="843">
        <f>SUM(L274:L276)</f>
        <v>20354</v>
      </c>
      <c r="M277" s="843">
        <f>SUM(M274:M276)</f>
        <v>20354</v>
      </c>
      <c r="N277" s="844">
        <f>SUM(N274:N276)</f>
        <v>0</v>
      </c>
      <c r="O277" s="785">
        <f>O276</f>
        <v>0</v>
      </c>
      <c r="P277" s="785">
        <v>0</v>
      </c>
      <c r="Q277" s="819">
        <f>IF(SUM(Q276)=0,P277,Q276)</f>
        <v>0</v>
      </c>
      <c r="R277" s="785">
        <v>0</v>
      </c>
      <c r="S277" s="819">
        <f>IF(SUM(S276)=0,R277,S276)</f>
        <v>0</v>
      </c>
      <c r="T277" s="785">
        <v>0</v>
      </c>
      <c r="U277" s="785">
        <v>0</v>
      </c>
      <c r="V277" s="785">
        <v>0</v>
      </c>
      <c r="W277" s="819">
        <f>IF(SUM(W276)=0,V277,W276)</f>
        <v>0</v>
      </c>
      <c r="X277" s="785">
        <v>0</v>
      </c>
      <c r="Y277" s="819">
        <f>IF(SUM(Y276)=0,X277,Y276)</f>
        <v>0</v>
      </c>
      <c r="Z277" s="785">
        <v>0</v>
      </c>
      <c r="AA277" s="819">
        <f>IF(SUM(AA276)=0,Z277,AA276)</f>
        <v>0</v>
      </c>
      <c r="AB277" s="785">
        <v>0</v>
      </c>
      <c r="AC277" s="819">
        <f>IF(SUM(AC276)=0,AB277,AC276)</f>
        <v>0</v>
      </c>
      <c r="AD277" s="819"/>
      <c r="AE277" s="819"/>
      <c r="AF277" s="785"/>
      <c r="AG277" s="785"/>
      <c r="AH277" s="785"/>
      <c r="AI277" s="785"/>
      <c r="AJ277" s="785"/>
      <c r="AK277" s="785"/>
      <c r="AL277" s="785"/>
      <c r="AM277" s="785"/>
      <c r="AN277" s="785"/>
      <c r="AO277" s="785"/>
      <c r="AP277" s="785"/>
      <c r="AQ277" s="785"/>
      <c r="AR277" s="785"/>
      <c r="AS277" s="785"/>
      <c r="AT277" s="785"/>
      <c r="AU277" s="785" t="str">
        <f t="shared" si="140"/>
        <v/>
      </c>
      <c r="AV277" s="2317" t="str">
        <f t="shared" si="144"/>
        <v/>
      </c>
      <c r="AW277" s="778"/>
      <c r="AX277" s="2016"/>
      <c r="AY277" s="2016"/>
      <c r="AZ277" s="2016"/>
      <c r="BA277" s="2016"/>
      <c r="BB277" s="2016"/>
      <c r="BC277" s="2011" t="s">
        <v>1072</v>
      </c>
    </row>
    <row r="278" spans="1:55" ht="14" hidden="1" customHeight="1" outlineLevel="1" x14ac:dyDescent="0.25">
      <c r="A278" s="790"/>
      <c r="B278" s="871"/>
      <c r="C278" s="857"/>
      <c r="D278" s="872"/>
      <c r="E278" s="857"/>
      <c r="F278" s="872"/>
      <c r="G278" s="872"/>
      <c r="H278" s="872"/>
      <c r="I278" s="872"/>
      <c r="J278" s="1003"/>
      <c r="K278" s="921"/>
      <c r="L278" s="859"/>
      <c r="M278" s="860"/>
      <c r="N278" s="861"/>
      <c r="O278" s="800"/>
      <c r="P278" s="800"/>
      <c r="Q278" s="800"/>
      <c r="R278" s="800"/>
      <c r="S278" s="800"/>
      <c r="T278" s="800"/>
      <c r="U278" s="800"/>
      <c r="V278" s="800"/>
      <c r="W278" s="800"/>
      <c r="X278" s="800"/>
      <c r="Y278" s="800"/>
      <c r="Z278" s="800"/>
      <c r="AA278" s="800"/>
      <c r="AB278" s="800"/>
      <c r="AC278" s="800"/>
      <c r="AD278" s="800"/>
      <c r="AE278" s="800"/>
      <c r="AF278" s="800"/>
      <c r="AG278" s="800"/>
      <c r="AH278" s="800"/>
      <c r="AI278" s="800"/>
      <c r="AJ278" s="800"/>
      <c r="AK278" s="800"/>
      <c r="AL278" s="800"/>
      <c r="AM278" s="800"/>
      <c r="AN278" s="800"/>
      <c r="AO278" s="800"/>
      <c r="AP278" s="800"/>
      <c r="AQ278" s="800"/>
      <c r="AR278" s="800"/>
      <c r="AS278" s="800"/>
      <c r="AT278" s="800"/>
      <c r="AU278" s="800" t="str">
        <f t="shared" si="140"/>
        <v/>
      </c>
      <c r="AV278" s="2315" t="str">
        <f t="shared" si="144"/>
        <v/>
      </c>
      <c r="AW278" s="803"/>
      <c r="AX278" s="2016"/>
      <c r="AY278" s="2016"/>
      <c r="AZ278" s="2016"/>
      <c r="BA278" s="2016"/>
      <c r="BB278" s="2016"/>
      <c r="BC278" s="2011" t="s">
        <v>1072</v>
      </c>
    </row>
    <row r="279" spans="1:55" ht="14" hidden="1" customHeight="1" outlineLevel="1" x14ac:dyDescent="0.25">
      <c r="A279" s="779" t="s">
        <v>356</v>
      </c>
      <c r="B279" s="832"/>
      <c r="C279" s="833"/>
      <c r="D279" s="814"/>
      <c r="E279" s="833"/>
      <c r="F279" s="814"/>
      <c r="G279" s="814"/>
      <c r="H279" s="814"/>
      <c r="I279" s="814"/>
      <c r="J279" s="815"/>
      <c r="K279" s="788"/>
      <c r="L279" s="855"/>
      <c r="M279" s="855"/>
      <c r="N279" s="813"/>
      <c r="O279" s="788"/>
      <c r="P279" s="788"/>
      <c r="Q279" s="788"/>
      <c r="R279" s="788"/>
      <c r="S279" s="788"/>
      <c r="T279" s="788"/>
      <c r="U279" s="788"/>
      <c r="V279" s="788"/>
      <c r="W279" s="788"/>
      <c r="X279" s="788"/>
      <c r="Y279" s="788"/>
      <c r="Z279" s="788"/>
      <c r="AA279" s="788"/>
      <c r="AB279" s="788"/>
      <c r="AC279" s="788"/>
      <c r="AD279" s="788"/>
      <c r="AE279" s="788"/>
      <c r="AF279" s="788"/>
      <c r="AG279" s="788"/>
      <c r="AH279" s="788"/>
      <c r="AI279" s="788"/>
      <c r="AJ279" s="788"/>
      <c r="AK279" s="788"/>
      <c r="AL279" s="788"/>
      <c r="AM279" s="788"/>
      <c r="AN279" s="788"/>
      <c r="AO279" s="788"/>
      <c r="AP279" s="788"/>
      <c r="AQ279" s="788"/>
      <c r="AR279" s="788"/>
      <c r="AS279" s="788"/>
      <c r="AT279" s="788"/>
      <c r="AU279" s="788" t="str">
        <f t="shared" si="140"/>
        <v/>
      </c>
      <c r="AV279" s="2314" t="str">
        <f t="shared" si="144"/>
        <v/>
      </c>
      <c r="AW279" s="778"/>
      <c r="AX279" s="2016"/>
      <c r="AY279" s="2016"/>
      <c r="AZ279" s="2016"/>
      <c r="BA279" s="2016"/>
      <c r="BB279" s="2016"/>
      <c r="BC279" s="2011" t="s">
        <v>1072</v>
      </c>
    </row>
    <row r="280" spans="1:55" ht="14" hidden="1" customHeight="1" outlineLevel="1" x14ac:dyDescent="0.25">
      <c r="A280" s="779" t="s">
        <v>357</v>
      </c>
      <c r="B280" s="775">
        <v>1000</v>
      </c>
      <c r="C280" s="773">
        <v>1000</v>
      </c>
      <c r="D280" s="850">
        <v>1000</v>
      </c>
      <c r="E280" s="773">
        <v>1000</v>
      </c>
      <c r="F280" s="850">
        <v>1000</v>
      </c>
      <c r="G280" s="850">
        <v>1000</v>
      </c>
      <c r="H280" s="851">
        <v>1000</v>
      </c>
      <c r="I280" s="851">
        <v>1000</v>
      </c>
      <c r="J280" s="806">
        <v>1000</v>
      </c>
      <c r="K280" s="1040"/>
      <c r="L280" s="898">
        <v>1000</v>
      </c>
      <c r="M280" s="898">
        <v>1000</v>
      </c>
      <c r="N280" s="805">
        <v>0</v>
      </c>
      <c r="O280" s="825">
        <v>0</v>
      </c>
      <c r="P280" s="825">
        <v>0</v>
      </c>
      <c r="Q280" s="825"/>
      <c r="R280" s="825"/>
      <c r="S280" s="825"/>
      <c r="T280" s="825"/>
      <c r="U280" s="825"/>
      <c r="V280" s="825"/>
      <c r="W280" s="825"/>
      <c r="X280" s="825"/>
      <c r="Y280" s="825"/>
      <c r="Z280" s="825"/>
      <c r="AA280" s="825"/>
      <c r="AB280" s="825"/>
      <c r="AC280" s="825"/>
      <c r="AD280" s="825"/>
      <c r="AE280" s="825"/>
      <c r="AF280" s="825"/>
      <c r="AG280" s="825"/>
      <c r="AH280" s="825"/>
      <c r="AI280" s="825"/>
      <c r="AJ280" s="825"/>
      <c r="AK280" s="825"/>
      <c r="AL280" s="825"/>
      <c r="AM280" s="825"/>
      <c r="AN280" s="825"/>
      <c r="AO280" s="825"/>
      <c r="AP280" s="825"/>
      <c r="AQ280" s="825"/>
      <c r="AR280" s="825"/>
      <c r="AS280" s="825"/>
      <c r="AT280" s="825"/>
      <c r="AU280" s="825" t="str">
        <f t="shared" si="140"/>
        <v/>
      </c>
      <c r="AV280" s="2316" t="str">
        <f t="shared" si="144"/>
        <v/>
      </c>
      <c r="AW280" s="789"/>
      <c r="AX280" s="2016"/>
      <c r="AY280" s="2016"/>
      <c r="AZ280" s="2016"/>
      <c r="BA280" s="2016"/>
      <c r="BB280" s="2016"/>
      <c r="BC280" s="2019" t="s">
        <v>1072</v>
      </c>
    </row>
    <row r="281" spans="1:55" ht="14" hidden="1" customHeight="1" outlineLevel="1" x14ac:dyDescent="0.25">
      <c r="A281" s="790" t="s">
        <v>625</v>
      </c>
      <c r="B281" s="872">
        <f t="shared" ref="B281:J281" si="149">SUM(B280)</f>
        <v>1000</v>
      </c>
      <c r="C281" s="872">
        <f t="shared" si="149"/>
        <v>1000</v>
      </c>
      <c r="D281" s="1001">
        <f t="shared" si="149"/>
        <v>1000</v>
      </c>
      <c r="E281" s="872">
        <f t="shared" si="149"/>
        <v>1000</v>
      </c>
      <c r="F281" s="1001">
        <f t="shared" si="149"/>
        <v>1000</v>
      </c>
      <c r="G281" s="1001">
        <f t="shared" si="149"/>
        <v>1000</v>
      </c>
      <c r="H281" s="1002">
        <f t="shared" si="149"/>
        <v>1000</v>
      </c>
      <c r="I281" s="1002">
        <f t="shared" si="149"/>
        <v>1000</v>
      </c>
      <c r="J281" s="1003">
        <f t="shared" si="149"/>
        <v>1000</v>
      </c>
      <c r="K281" s="921" t="s">
        <v>455</v>
      </c>
      <c r="L281" s="1041">
        <f>SUM(L280)</f>
        <v>1000</v>
      </c>
      <c r="M281" s="1041">
        <f>SUM(M280)</f>
        <v>1000</v>
      </c>
      <c r="N281" s="1042">
        <f>SUM(N280)</f>
        <v>0</v>
      </c>
      <c r="O281" s="800">
        <f>O280</f>
        <v>0</v>
      </c>
      <c r="P281" s="800">
        <f>P280</f>
        <v>0</v>
      </c>
      <c r="Q281" s="921">
        <f>IF(SUM(Q280)=0,P281,Q280)</f>
        <v>0</v>
      </c>
      <c r="R281" s="800">
        <f>R280</f>
        <v>0</v>
      </c>
      <c r="S281" s="921">
        <f>IF(SUM(S280)=0,R281,S280)</f>
        <v>0</v>
      </c>
      <c r="T281" s="800">
        <v>0</v>
      </c>
      <c r="U281" s="800">
        <v>0</v>
      </c>
      <c r="V281" s="800">
        <f>V280</f>
        <v>0</v>
      </c>
      <c r="W281" s="921">
        <f>IF(SUM(W280)=0,V281,W280)</f>
        <v>0</v>
      </c>
      <c r="X281" s="800">
        <f>X280</f>
        <v>0</v>
      </c>
      <c r="Y281" s="921">
        <f>IF(SUM(Y280)=0,X281,Y280)</f>
        <v>0</v>
      </c>
      <c r="Z281" s="800">
        <f>Z280</f>
        <v>0</v>
      </c>
      <c r="AA281" s="921">
        <f>IF(SUM(AA280)=0,Z281,AA280)</f>
        <v>0</v>
      </c>
      <c r="AB281" s="800">
        <f>AB280</f>
        <v>0</v>
      </c>
      <c r="AC281" s="921">
        <f>IF(SUM(AC280)=0,AB281,AC280)</f>
        <v>0</v>
      </c>
      <c r="AD281" s="921"/>
      <c r="AE281" s="921"/>
      <c r="AF281" s="921"/>
      <c r="AG281" s="921"/>
      <c r="AH281" s="921"/>
      <c r="AI281" s="827"/>
      <c r="AJ281" s="827"/>
      <c r="AK281" s="827"/>
      <c r="AL281" s="827"/>
      <c r="AM281" s="827"/>
      <c r="AN281" s="827"/>
      <c r="AO281" s="827"/>
      <c r="AP281" s="827"/>
      <c r="AQ281" s="827"/>
      <c r="AR281" s="827"/>
      <c r="AS281" s="827"/>
      <c r="AT281" s="827"/>
      <c r="AU281" s="827" t="str">
        <f t="shared" si="140"/>
        <v/>
      </c>
      <c r="AV281" s="2323" t="str">
        <f t="shared" si="144"/>
        <v/>
      </c>
      <c r="AW281" s="984"/>
      <c r="AX281" s="2016"/>
      <c r="AY281" s="2016"/>
      <c r="AZ281" s="2016"/>
      <c r="BA281" s="2016"/>
      <c r="BB281" s="2016"/>
      <c r="BC281" s="2019" t="s">
        <v>1072</v>
      </c>
    </row>
    <row r="282" spans="1:55" ht="14" hidden="1" customHeight="1" outlineLevel="1" x14ac:dyDescent="0.25">
      <c r="A282" s="779" t="s">
        <v>218</v>
      </c>
      <c r="B282" s="804"/>
      <c r="C282" s="804"/>
      <c r="D282" s="894"/>
      <c r="E282" s="804"/>
      <c r="F282" s="894"/>
      <c r="G282" s="894"/>
      <c r="H282" s="895"/>
      <c r="I282" s="895"/>
      <c r="J282" s="847"/>
      <c r="K282" s="788"/>
      <c r="L282" s="855"/>
      <c r="M282" s="855"/>
      <c r="N282" s="813"/>
      <c r="O282" s="788"/>
      <c r="P282" s="788"/>
      <c r="Q282" s="788"/>
      <c r="R282" s="788"/>
      <c r="S282" s="788"/>
      <c r="T282" s="788"/>
      <c r="U282" s="788"/>
      <c r="V282" s="788"/>
      <c r="W282" s="788"/>
      <c r="X282" s="788"/>
      <c r="Y282" s="788"/>
      <c r="Z282" s="788"/>
      <c r="AA282" s="788"/>
      <c r="AB282" s="788"/>
      <c r="AC282" s="788"/>
      <c r="AD282" s="788"/>
      <c r="AE282" s="788"/>
      <c r="AF282" s="788"/>
      <c r="AG282" s="788"/>
      <c r="AH282" s="788"/>
      <c r="AI282" s="788"/>
      <c r="AJ282" s="788"/>
      <c r="AK282" s="788"/>
      <c r="AL282" s="788"/>
      <c r="AM282" s="788"/>
      <c r="AN282" s="788"/>
      <c r="AO282" s="788"/>
      <c r="AP282" s="788"/>
      <c r="AQ282" s="788"/>
      <c r="AR282" s="788"/>
      <c r="AS282" s="841"/>
      <c r="AT282" s="891"/>
      <c r="AU282" s="788" t="str">
        <f t="shared" ref="AU282:AU312" si="150">IF(AR282&gt;0,AT282-AR282,"")</f>
        <v/>
      </c>
      <c r="AV282" s="2272" t="str">
        <f t="shared" si="144"/>
        <v/>
      </c>
      <c r="AW282" s="778"/>
      <c r="AX282" s="2016"/>
      <c r="AY282" s="2016"/>
      <c r="AZ282" s="2016"/>
      <c r="BA282" s="2016"/>
      <c r="BB282" s="2016"/>
    </row>
    <row r="283" spans="1:55" ht="14" hidden="1" customHeight="1" outlineLevel="1" x14ac:dyDescent="0.25">
      <c r="A283" s="779" t="s">
        <v>225</v>
      </c>
      <c r="B283" s="775">
        <v>1600</v>
      </c>
      <c r="C283" s="773">
        <v>333.21</v>
      </c>
      <c r="D283" s="850">
        <v>1600</v>
      </c>
      <c r="E283" s="773">
        <v>331.6</v>
      </c>
      <c r="F283" s="850">
        <v>1600</v>
      </c>
      <c r="G283" s="850">
        <v>2929.79</v>
      </c>
      <c r="H283" s="851">
        <v>1600</v>
      </c>
      <c r="I283" s="851">
        <v>4311.6499999999996</v>
      </c>
      <c r="J283" s="806">
        <v>1600</v>
      </c>
      <c r="K283" s="825"/>
      <c r="L283" s="898">
        <v>560.19000000000005</v>
      </c>
      <c r="M283" s="898">
        <v>3470</v>
      </c>
      <c r="N283" s="805">
        <v>3123</v>
      </c>
      <c r="O283" s="825">
        <v>3470</v>
      </c>
      <c r="P283" s="788">
        <v>4970</v>
      </c>
      <c r="Q283" s="825">
        <v>4970</v>
      </c>
      <c r="R283" s="788">
        <v>6350</v>
      </c>
      <c r="S283" s="825"/>
      <c r="T283" s="825">
        <v>6500</v>
      </c>
      <c r="U283" s="825">
        <v>6500</v>
      </c>
      <c r="V283" s="810">
        <v>8620</v>
      </c>
      <c r="W283" s="788">
        <f>V283+12000</f>
        <v>20620</v>
      </c>
      <c r="X283" s="810">
        <v>20960</v>
      </c>
      <c r="Y283" s="810">
        <v>20960</v>
      </c>
      <c r="Z283" s="810">
        <v>20960</v>
      </c>
      <c r="AA283" s="810">
        <f>Z283</f>
        <v>20960</v>
      </c>
      <c r="AB283" s="810">
        <v>20960</v>
      </c>
      <c r="AC283" s="810">
        <f>AB283</f>
        <v>20960</v>
      </c>
      <c r="AD283" s="810"/>
      <c r="AE283" s="810">
        <v>20960</v>
      </c>
      <c r="AF283" s="810"/>
      <c r="AG283" s="810">
        <v>20960</v>
      </c>
      <c r="AH283" s="810">
        <v>20960</v>
      </c>
      <c r="AI283" s="810">
        <v>20960</v>
      </c>
      <c r="AJ283" s="810">
        <v>20960</v>
      </c>
      <c r="AK283" s="810">
        <v>20960</v>
      </c>
      <c r="AL283" s="810">
        <v>20960</v>
      </c>
      <c r="AM283" s="810">
        <v>20960</v>
      </c>
      <c r="AN283" s="810">
        <v>20960</v>
      </c>
      <c r="AO283" s="810">
        <v>20960</v>
      </c>
      <c r="AP283" s="810">
        <v>20960</v>
      </c>
      <c r="AQ283" s="810">
        <v>20960</v>
      </c>
      <c r="AR283" s="810">
        <v>20960</v>
      </c>
      <c r="AS283" s="1410">
        <v>20960</v>
      </c>
      <c r="AT283" s="809">
        <f>'[1]BUDGET DETAIL'!$CX$783</f>
        <v>20960</v>
      </c>
      <c r="AU283" s="810">
        <f t="shared" si="150"/>
        <v>0</v>
      </c>
      <c r="AV283" s="2274">
        <f t="shared" si="144"/>
        <v>0</v>
      </c>
      <c r="AW283" s="1423" t="s">
        <v>1172</v>
      </c>
      <c r="AX283" s="2016"/>
      <c r="AY283" s="2016"/>
      <c r="AZ283" s="2016"/>
      <c r="BA283" s="2016"/>
      <c r="BB283" s="2016"/>
    </row>
    <row r="284" spans="1:55" ht="14" hidden="1" customHeight="1" outlineLevel="1" x14ac:dyDescent="0.25">
      <c r="A284" s="842" t="s">
        <v>813</v>
      </c>
      <c r="B284" s="781">
        <f>SUM(B283:B283)</f>
        <v>1600</v>
      </c>
      <c r="C284" s="781">
        <f>SUM(C283:C283)</f>
        <v>333.21</v>
      </c>
      <c r="D284" s="781">
        <f t="shared" ref="D284:N284" si="151">SUM(D283:D283)</f>
        <v>1600</v>
      </c>
      <c r="E284" s="781">
        <f t="shared" si="151"/>
        <v>331.6</v>
      </c>
      <c r="F284" s="781">
        <f t="shared" si="151"/>
        <v>1600</v>
      </c>
      <c r="G284" s="781">
        <f t="shared" si="151"/>
        <v>2929.79</v>
      </c>
      <c r="H284" s="781">
        <f t="shared" si="151"/>
        <v>1600</v>
      </c>
      <c r="I284" s="781">
        <f t="shared" si="151"/>
        <v>4311.6499999999996</v>
      </c>
      <c r="J284" s="784">
        <f t="shared" si="151"/>
        <v>1600</v>
      </c>
      <c r="K284" s="785" t="s">
        <v>455</v>
      </c>
      <c r="L284" s="843">
        <f t="shared" si="151"/>
        <v>560.19000000000005</v>
      </c>
      <c r="M284" s="843">
        <f t="shared" si="151"/>
        <v>3470</v>
      </c>
      <c r="N284" s="844">
        <f t="shared" si="151"/>
        <v>3123</v>
      </c>
      <c r="O284" s="785">
        <f>O283</f>
        <v>3470</v>
      </c>
      <c r="P284" s="785">
        <f>P283</f>
        <v>4970</v>
      </c>
      <c r="Q284" s="819">
        <f>IF(SUM(Q283)=0,P284,Q283)</f>
        <v>4970</v>
      </c>
      <c r="R284" s="785">
        <f>R283</f>
        <v>6350</v>
      </c>
      <c r="S284" s="819">
        <f>IF(SUM(S283)=0,R284,S283)</f>
        <v>6350</v>
      </c>
      <c r="T284" s="785">
        <v>6500</v>
      </c>
      <c r="U284" s="785">
        <v>6500</v>
      </c>
      <c r="V284" s="785">
        <f>V283</f>
        <v>8620</v>
      </c>
      <c r="W284" s="819">
        <f>IF(SUM(W283)=0,V284,W283)</f>
        <v>20620</v>
      </c>
      <c r="X284" s="785">
        <f>X283</f>
        <v>20960</v>
      </c>
      <c r="Y284" s="819">
        <f>IF(SUM(Y283)=0,X284,Y283)</f>
        <v>20960</v>
      </c>
      <c r="Z284" s="785">
        <f>Z283</f>
        <v>20960</v>
      </c>
      <c r="AA284" s="819">
        <f>IF(SUM(AA283)=0,Z284,AA283)</f>
        <v>20960</v>
      </c>
      <c r="AB284" s="785">
        <f>AB283</f>
        <v>20960</v>
      </c>
      <c r="AC284" s="819">
        <f>IF(SUM(AC283)=0,AB284,AC283)</f>
        <v>20960</v>
      </c>
      <c r="AD284" s="819"/>
      <c r="AE284" s="819">
        <v>20960</v>
      </c>
      <c r="AF284" s="819">
        <v>20960</v>
      </c>
      <c r="AG284" s="819">
        <v>20960</v>
      </c>
      <c r="AH284" s="819">
        <v>20960</v>
      </c>
      <c r="AI284" s="785">
        <v>20960</v>
      </c>
      <c r="AJ284" s="785">
        <v>20960</v>
      </c>
      <c r="AK284" s="785">
        <v>20960</v>
      </c>
      <c r="AL284" s="785">
        <v>20960</v>
      </c>
      <c r="AM284" s="785">
        <f t="shared" ref="AM284:AR284" si="152">SUM(AM283)</f>
        <v>20960</v>
      </c>
      <c r="AN284" s="785">
        <f t="shared" si="152"/>
        <v>20960</v>
      </c>
      <c r="AO284" s="785">
        <f t="shared" si="152"/>
        <v>20960</v>
      </c>
      <c r="AP284" s="785">
        <f t="shared" si="152"/>
        <v>20960</v>
      </c>
      <c r="AQ284" s="785">
        <f t="shared" si="152"/>
        <v>20960</v>
      </c>
      <c r="AR284" s="785">
        <f t="shared" si="152"/>
        <v>20960</v>
      </c>
      <c r="AS284" s="820">
        <f t="shared" ref="AS284" si="153">SUM(AS283)</f>
        <v>20960</v>
      </c>
      <c r="AT284" s="819">
        <f>SUM(AT283)</f>
        <v>20960</v>
      </c>
      <c r="AU284" s="785">
        <f t="shared" si="150"/>
        <v>0</v>
      </c>
      <c r="AV284" s="2275">
        <f t="shared" si="144"/>
        <v>0</v>
      </c>
      <c r="AW284" s="778"/>
      <c r="AX284" s="2016"/>
      <c r="AY284" s="2016"/>
      <c r="AZ284" s="2016"/>
      <c r="BA284" s="2518">
        <f>POWER(AT284/AJ284,1/5)-1</f>
        <v>0</v>
      </c>
      <c r="BB284" s="2518">
        <f>POWER(AT284/AA284,1/9)-1</f>
        <v>0</v>
      </c>
      <c r="BC284" s="2332"/>
    </row>
    <row r="285" spans="1:55" ht="14" hidden="1" customHeight="1" outlineLevel="1" x14ac:dyDescent="0.25">
      <c r="A285" s="821"/>
      <c r="B285" s="793"/>
      <c r="C285" s="793"/>
      <c r="D285" s="892"/>
      <c r="E285" s="793"/>
      <c r="F285" s="892"/>
      <c r="G285" s="892"/>
      <c r="H285" s="893"/>
      <c r="I285" s="893"/>
      <c r="J285" s="846"/>
      <c r="K285" s="823"/>
      <c r="L285" s="829"/>
      <c r="M285" s="830"/>
      <c r="N285" s="824"/>
      <c r="O285" s="822"/>
      <c r="P285" s="822"/>
      <c r="Q285" s="822"/>
      <c r="R285" s="822"/>
      <c r="S285" s="822"/>
      <c r="T285" s="822"/>
      <c r="U285" s="822"/>
      <c r="V285" s="822"/>
      <c r="W285" s="822"/>
      <c r="X285" s="822"/>
      <c r="Y285" s="822"/>
      <c r="Z285" s="822"/>
      <c r="AA285" s="822"/>
      <c r="AB285" s="822"/>
      <c r="AC285" s="822"/>
      <c r="AD285" s="822"/>
      <c r="AE285" s="822"/>
      <c r="AF285" s="822"/>
      <c r="AG285" s="822"/>
      <c r="AH285" s="822"/>
      <c r="AI285" s="822"/>
      <c r="AJ285" s="822"/>
      <c r="AK285" s="822"/>
      <c r="AL285" s="822"/>
      <c r="AM285" s="822"/>
      <c r="AN285" s="822"/>
      <c r="AO285" s="822"/>
      <c r="AP285" s="822"/>
      <c r="AQ285" s="822"/>
      <c r="AR285" s="822"/>
      <c r="AS285" s="1160"/>
      <c r="AT285" s="823"/>
      <c r="AU285" s="822" t="str">
        <f t="shared" si="150"/>
        <v/>
      </c>
      <c r="AV285" s="2276" t="str">
        <f t="shared" si="144"/>
        <v/>
      </c>
      <c r="AW285" s="803"/>
      <c r="AX285" s="2016"/>
      <c r="AY285" s="2016"/>
      <c r="AZ285" s="2016"/>
      <c r="BA285" s="2016"/>
      <c r="BB285" s="2016"/>
    </row>
    <row r="286" spans="1:55" ht="14" hidden="1" customHeight="1" outlineLevel="1" x14ac:dyDescent="0.25">
      <c r="A286" s="779" t="s">
        <v>226</v>
      </c>
      <c r="B286" s="804"/>
      <c r="C286" s="804"/>
      <c r="D286" s="894"/>
      <c r="E286" s="804"/>
      <c r="F286" s="894"/>
      <c r="G286" s="894"/>
      <c r="H286" s="895"/>
      <c r="I286" s="895"/>
      <c r="J286" s="847"/>
      <c r="K286" s="788"/>
      <c r="L286" s="855"/>
      <c r="M286" s="855"/>
      <c r="N286" s="813"/>
      <c r="O286" s="788"/>
      <c r="P286" s="788"/>
      <c r="Q286" s="788"/>
      <c r="R286" s="788"/>
      <c r="S286" s="788"/>
      <c r="T286" s="788"/>
      <c r="U286" s="788"/>
      <c r="V286" s="788"/>
      <c r="W286" s="788"/>
      <c r="X286" s="788"/>
      <c r="Y286" s="788"/>
      <c r="Z286" s="788"/>
      <c r="AA286" s="788"/>
      <c r="AB286" s="788"/>
      <c r="AC286" s="788"/>
      <c r="AD286" s="788"/>
      <c r="AE286" s="788"/>
      <c r="AF286" s="788"/>
      <c r="AG286" s="788"/>
      <c r="AH286" s="788"/>
      <c r="AI286" s="788"/>
      <c r="AJ286" s="788"/>
      <c r="AK286" s="788"/>
      <c r="AL286" s="788"/>
      <c r="AM286" s="788"/>
      <c r="AN286" s="788"/>
      <c r="AO286" s="788"/>
      <c r="AP286" s="788"/>
      <c r="AQ286" s="788"/>
      <c r="AR286" s="788"/>
      <c r="AS286" s="841"/>
      <c r="AT286" s="891"/>
      <c r="AU286" s="788" t="str">
        <f t="shared" si="150"/>
        <v/>
      </c>
      <c r="AV286" s="2272" t="str">
        <f t="shared" si="144"/>
        <v/>
      </c>
      <c r="AW286" s="778"/>
      <c r="AX286" s="2016"/>
      <c r="AY286" s="2016"/>
      <c r="AZ286" s="2016"/>
      <c r="BA286" s="2016"/>
      <c r="BB286" s="2016"/>
    </row>
    <row r="287" spans="1:55" ht="14" hidden="1" customHeight="1" outlineLevel="1" x14ac:dyDescent="0.25">
      <c r="A287" s="779" t="s">
        <v>812</v>
      </c>
      <c r="B287" s="775">
        <v>750</v>
      </c>
      <c r="C287" s="773">
        <v>750</v>
      </c>
      <c r="D287" s="850">
        <v>750</v>
      </c>
      <c r="E287" s="773">
        <v>750</v>
      </c>
      <c r="F287" s="850">
        <v>750</v>
      </c>
      <c r="G287" s="850">
        <v>750</v>
      </c>
      <c r="H287" s="851">
        <v>750</v>
      </c>
      <c r="I287" s="851">
        <v>750</v>
      </c>
      <c r="J287" s="806">
        <v>750</v>
      </c>
      <c r="K287" s="825"/>
      <c r="L287" s="1043">
        <v>671.56</v>
      </c>
      <c r="M287" s="1043">
        <v>800</v>
      </c>
      <c r="N287" s="805">
        <v>720</v>
      </c>
      <c r="O287" s="825">
        <v>800</v>
      </c>
      <c r="P287" s="788">
        <f>O287</f>
        <v>800</v>
      </c>
      <c r="Q287" s="788">
        <f>P287</f>
        <v>800</v>
      </c>
      <c r="R287" s="788">
        <f>Q287</f>
        <v>800</v>
      </c>
      <c r="S287" s="825">
        <v>800</v>
      </c>
      <c r="T287" s="825">
        <v>800</v>
      </c>
      <c r="U287" s="825">
        <v>800</v>
      </c>
      <c r="V287" s="810">
        <v>1000</v>
      </c>
      <c r="W287" s="788">
        <f>V287</f>
        <v>1000</v>
      </c>
      <c r="X287" s="810">
        <v>1000</v>
      </c>
      <c r="Y287" s="810">
        <v>1000</v>
      </c>
      <c r="Z287" s="810">
        <v>1000</v>
      </c>
      <c r="AA287" s="810">
        <f>Z287</f>
        <v>1000</v>
      </c>
      <c r="AB287" s="810">
        <v>1000</v>
      </c>
      <c r="AC287" s="810">
        <f>AB287</f>
        <v>1000</v>
      </c>
      <c r="AD287" s="810"/>
      <c r="AE287" s="810">
        <v>1000</v>
      </c>
      <c r="AF287" s="810"/>
      <c r="AG287" s="810">
        <v>1000</v>
      </c>
      <c r="AH287" s="810">
        <v>1000</v>
      </c>
      <c r="AI287" s="810">
        <v>1000</v>
      </c>
      <c r="AJ287" s="810">
        <v>1000</v>
      </c>
      <c r="AK287" s="810">
        <v>1000</v>
      </c>
      <c r="AL287" s="810">
        <v>1000</v>
      </c>
      <c r="AM287" s="810">
        <v>1000</v>
      </c>
      <c r="AN287" s="810">
        <v>1000</v>
      </c>
      <c r="AO287" s="810">
        <v>1000</v>
      </c>
      <c r="AP287" s="810">
        <v>1000</v>
      </c>
      <c r="AQ287" s="810">
        <v>1000</v>
      </c>
      <c r="AR287" s="810">
        <v>1000</v>
      </c>
      <c r="AS287" s="1410">
        <v>1000</v>
      </c>
      <c r="AT287" s="809">
        <f>'[1]BUDGET DETAIL'!$CX$789</f>
        <v>1000</v>
      </c>
      <c r="AU287" s="810">
        <f t="shared" si="150"/>
        <v>0</v>
      </c>
      <c r="AV287" s="2274">
        <f t="shared" si="144"/>
        <v>0</v>
      </c>
      <c r="AW287" s="778"/>
      <c r="AX287" s="2016"/>
      <c r="AY287" s="2016"/>
      <c r="AZ287" s="2016"/>
      <c r="BA287" s="2016"/>
      <c r="BB287" s="2016"/>
    </row>
    <row r="288" spans="1:55" ht="14" hidden="1" customHeight="1" outlineLevel="1" x14ac:dyDescent="0.25">
      <c r="A288" s="842" t="s">
        <v>813</v>
      </c>
      <c r="B288" s="781">
        <f t="shared" ref="B288:N288" si="154">SUM(B287)</f>
        <v>750</v>
      </c>
      <c r="C288" s="781">
        <f t="shared" si="154"/>
        <v>750</v>
      </c>
      <c r="D288" s="900">
        <f t="shared" si="154"/>
        <v>750</v>
      </c>
      <c r="E288" s="781">
        <f t="shared" si="154"/>
        <v>750</v>
      </c>
      <c r="F288" s="900">
        <f>SUM(F287)</f>
        <v>750</v>
      </c>
      <c r="G288" s="900">
        <f>SUM(G287)</f>
        <v>750</v>
      </c>
      <c r="H288" s="868">
        <f>SUM(H287)</f>
        <v>750</v>
      </c>
      <c r="I288" s="868">
        <f>SUM(I287)</f>
        <v>750</v>
      </c>
      <c r="J288" s="784">
        <f t="shared" si="154"/>
        <v>750</v>
      </c>
      <c r="K288" s="785" t="s">
        <v>455</v>
      </c>
      <c r="L288" s="848">
        <f t="shared" si="154"/>
        <v>671.56</v>
      </c>
      <c r="M288" s="848">
        <f t="shared" si="154"/>
        <v>800</v>
      </c>
      <c r="N288" s="844">
        <f t="shared" si="154"/>
        <v>720</v>
      </c>
      <c r="O288" s="785">
        <f>O287</f>
        <v>800</v>
      </c>
      <c r="P288" s="785">
        <f>P287</f>
        <v>800</v>
      </c>
      <c r="Q288" s="819">
        <f>IF(SUM(Q287)=0,P288,Q287)</f>
        <v>800</v>
      </c>
      <c r="R288" s="785">
        <f>R287</f>
        <v>800</v>
      </c>
      <c r="S288" s="819">
        <f>IF(SUM(S287)=0,R288,S287)</f>
        <v>800</v>
      </c>
      <c r="T288" s="785">
        <v>800</v>
      </c>
      <c r="U288" s="785">
        <v>800</v>
      </c>
      <c r="V288" s="785">
        <f>V287</f>
        <v>1000</v>
      </c>
      <c r="W288" s="819">
        <f>IF(SUM(W287)=0,V288,W287)</f>
        <v>1000</v>
      </c>
      <c r="X288" s="785">
        <f>X287</f>
        <v>1000</v>
      </c>
      <c r="Y288" s="819">
        <f>IF(SUM(Y287)=0,X288,Y287)</f>
        <v>1000</v>
      </c>
      <c r="Z288" s="785">
        <f>Z287</f>
        <v>1000</v>
      </c>
      <c r="AA288" s="819">
        <f>IF(SUM(AA287)=0,Z288,AA287)</f>
        <v>1000</v>
      </c>
      <c r="AB288" s="785">
        <f>AB287</f>
        <v>1000</v>
      </c>
      <c r="AC288" s="819">
        <f>IF(SUM(AC287)=0,AB288,AC287)</f>
        <v>1000</v>
      </c>
      <c r="AD288" s="819"/>
      <c r="AE288" s="819">
        <v>1000</v>
      </c>
      <c r="AF288" s="819">
        <v>1000</v>
      </c>
      <c r="AG288" s="819">
        <v>1000</v>
      </c>
      <c r="AH288" s="819">
        <v>1000</v>
      </c>
      <c r="AI288" s="785">
        <v>1000</v>
      </c>
      <c r="AJ288" s="785">
        <v>1000</v>
      </c>
      <c r="AK288" s="785">
        <v>1000</v>
      </c>
      <c r="AL288" s="785">
        <v>1000</v>
      </c>
      <c r="AM288" s="785">
        <f>IF(SUM(AM285:AM287)=0,#REF!,SUM(AM285:AM287))</f>
        <v>1000</v>
      </c>
      <c r="AN288" s="785">
        <f>IF(SUM(AN285:AN287)=0,#REF!,SUM(AN285:AN287))</f>
        <v>1000</v>
      </c>
      <c r="AO288" s="785">
        <f>IF(SUM(AO285:AO287)=0,#REF!,SUM(AO285:AO287))</f>
        <v>1000</v>
      </c>
      <c r="AP288" s="785">
        <f>IF(SUM(AP285:AP287)=0,#REF!,SUM(AP285:AP287))</f>
        <v>1000</v>
      </c>
      <c r="AQ288" s="785">
        <f>IF(SUM(AQ285:AQ287)=0,#REF!,SUM(AQ285:AQ287))</f>
        <v>1000</v>
      </c>
      <c r="AR288" s="785">
        <f>IF(SUM(AR285:AR287)=0,#REF!,SUM(AR285:AR287))</f>
        <v>1000</v>
      </c>
      <c r="AS288" s="820">
        <f>IF(SUM(AS285:AS287)=0,#REF!,SUM(AS285:AS287))</f>
        <v>1000</v>
      </c>
      <c r="AT288" s="819">
        <f>IF(SUM(AT285:AT287)=0,#REF!,SUM(AT285:AT287))</f>
        <v>1000</v>
      </c>
      <c r="AU288" s="785">
        <f t="shared" si="150"/>
        <v>0</v>
      </c>
      <c r="AV288" s="2275">
        <f t="shared" si="144"/>
        <v>0</v>
      </c>
      <c r="AW288" s="778"/>
      <c r="AX288" s="2016"/>
      <c r="AY288" s="2016"/>
      <c r="AZ288" s="2016"/>
      <c r="BA288" s="2518">
        <f>POWER(AT288/AJ288,1/5)-1</f>
        <v>0</v>
      </c>
      <c r="BB288" s="2518">
        <f>POWER(AT288/AA288,1/9)-1</f>
        <v>0</v>
      </c>
      <c r="BC288" s="2332"/>
    </row>
    <row r="289" spans="1:55" ht="14" hidden="1" customHeight="1" outlineLevel="1" x14ac:dyDescent="0.25">
      <c r="A289" s="821"/>
      <c r="B289" s="791"/>
      <c r="C289" s="793"/>
      <c r="D289" s="792"/>
      <c r="E289" s="793"/>
      <c r="F289" s="792"/>
      <c r="G289" s="792"/>
      <c r="H289" s="792"/>
      <c r="I289" s="899"/>
      <c r="J289" s="996"/>
      <c r="K289" s="823"/>
      <c r="L289" s="829"/>
      <c r="M289" s="830"/>
      <c r="N289" s="824"/>
      <c r="O289" s="822"/>
      <c r="P289" s="822"/>
      <c r="Q289" s="822"/>
      <c r="R289" s="822"/>
      <c r="S289" s="822"/>
      <c r="T289" s="822"/>
      <c r="U289" s="822"/>
      <c r="V289" s="822"/>
      <c r="W289" s="822"/>
      <c r="X289" s="822"/>
      <c r="Y289" s="822"/>
      <c r="Z289" s="822"/>
      <c r="AA289" s="822"/>
      <c r="AB289" s="822"/>
      <c r="AC289" s="822"/>
      <c r="AD289" s="822"/>
      <c r="AE289" s="822"/>
      <c r="AF289" s="822"/>
      <c r="AG289" s="822"/>
      <c r="AH289" s="822"/>
      <c r="AI289" s="822"/>
      <c r="AJ289" s="822"/>
      <c r="AK289" s="822"/>
      <c r="AL289" s="822"/>
      <c r="AM289" s="822"/>
      <c r="AN289" s="822"/>
      <c r="AO289" s="822"/>
      <c r="AP289" s="822"/>
      <c r="AQ289" s="822"/>
      <c r="AR289" s="822"/>
      <c r="AS289" s="1160"/>
      <c r="AT289" s="823"/>
      <c r="AU289" s="822" t="str">
        <f t="shared" si="150"/>
        <v/>
      </c>
      <c r="AV289" s="2276" t="str">
        <f t="shared" si="144"/>
        <v/>
      </c>
      <c r="AW289" s="803"/>
      <c r="AX289" s="2016"/>
      <c r="AY289" s="2016"/>
      <c r="AZ289" s="2016"/>
      <c r="BA289" s="2016"/>
      <c r="BB289" s="2016"/>
    </row>
    <row r="290" spans="1:55" ht="14" customHeight="1" thickTop="1" x14ac:dyDescent="0.25">
      <c r="A290" s="771" t="s">
        <v>227</v>
      </c>
      <c r="B290" s="772"/>
      <c r="C290" s="773"/>
      <c r="D290" s="773"/>
      <c r="E290" s="834"/>
      <c r="F290" s="834"/>
      <c r="G290" s="834"/>
      <c r="H290" s="835"/>
      <c r="J290" s="847"/>
      <c r="K290" s="827"/>
      <c r="L290" s="863"/>
      <c r="M290" s="863"/>
      <c r="N290" s="864"/>
      <c r="O290" s="827"/>
      <c r="P290" s="827"/>
      <c r="Q290" s="827"/>
      <c r="R290" s="827"/>
      <c r="S290" s="827"/>
      <c r="T290" s="827"/>
      <c r="U290" s="827"/>
      <c r="V290" s="827"/>
      <c r="W290" s="827"/>
      <c r="X290" s="827"/>
      <c r="Y290" s="827"/>
      <c r="Z290" s="827"/>
      <c r="AA290" s="827"/>
      <c r="AB290" s="827"/>
      <c r="AC290" s="827"/>
      <c r="AD290" s="827"/>
      <c r="AE290" s="827"/>
      <c r="AF290" s="827"/>
      <c r="AG290" s="827"/>
      <c r="AH290" s="827"/>
      <c r="AI290" s="827"/>
      <c r="AJ290" s="827"/>
      <c r="AK290" s="827"/>
      <c r="AL290" s="827"/>
      <c r="AM290" s="827"/>
      <c r="AN290" s="827"/>
      <c r="AO290" s="827"/>
      <c r="AP290" s="827"/>
      <c r="AQ290" s="827"/>
      <c r="AR290" s="827"/>
      <c r="AS290" s="1127"/>
      <c r="AT290" s="828"/>
      <c r="AU290" s="827" t="str">
        <f t="shared" si="150"/>
        <v/>
      </c>
      <c r="AV290" s="2277" t="str">
        <f t="shared" si="144"/>
        <v/>
      </c>
      <c r="AW290" s="865"/>
      <c r="AX290" s="2016"/>
      <c r="AY290" s="2016"/>
      <c r="AZ290" s="2016"/>
      <c r="BA290" s="2016"/>
      <c r="BB290" s="2016"/>
      <c r="BC290" s="2026"/>
    </row>
    <row r="291" spans="1:55" ht="14" customHeight="1" x14ac:dyDescent="0.25">
      <c r="A291" s="842" t="s">
        <v>560</v>
      </c>
      <c r="B291" s="781">
        <f>SUM($B$250+$B$270)</f>
        <v>36481</v>
      </c>
      <c r="C291" s="781">
        <f>SUM($C$250+$C$270)</f>
        <v>36481</v>
      </c>
      <c r="D291" s="781">
        <f>SUM($D$250+$D$270)</f>
        <v>37088</v>
      </c>
      <c r="E291" s="781">
        <f>SUM($E$250+$E$270)</f>
        <v>49899</v>
      </c>
      <c r="F291" s="781">
        <f>SUM($F$250+$F$270)</f>
        <v>88368</v>
      </c>
      <c r="G291" s="782">
        <f>SUM($G$250+$G$270)</f>
        <v>92026.73000000001</v>
      </c>
      <c r="H291" s="782">
        <f>SUM($H$250+$H$270)</f>
        <v>83227</v>
      </c>
      <c r="I291" s="782">
        <f>SUM($I$250+$I$270)</f>
        <v>72423.600000000006</v>
      </c>
      <c r="J291" s="869">
        <f t="shared" ref="J291:R291" si="155">SUM(J$250+J$270)</f>
        <v>94275</v>
      </c>
      <c r="K291" s="869" t="e">
        <f t="shared" si="155"/>
        <v>#VALUE!</v>
      </c>
      <c r="L291" s="1044">
        <f t="shared" si="155"/>
        <v>95733</v>
      </c>
      <c r="M291" s="1044">
        <f t="shared" si="155"/>
        <v>103347</v>
      </c>
      <c r="N291" s="880">
        <f t="shared" si="155"/>
        <v>102478</v>
      </c>
      <c r="O291" s="888">
        <f t="shared" si="155"/>
        <v>105036</v>
      </c>
      <c r="P291" s="888">
        <f t="shared" si="155"/>
        <v>106137</v>
      </c>
      <c r="Q291" s="888">
        <f t="shared" si="155"/>
        <v>106137</v>
      </c>
      <c r="R291" s="888">
        <f t="shared" si="155"/>
        <v>106137</v>
      </c>
      <c r="S291" s="888"/>
      <c r="T291" s="888">
        <v>104658</v>
      </c>
      <c r="U291" s="888">
        <v>104658</v>
      </c>
      <c r="V291" s="888">
        <f t="shared" ref="V291:AC291" si="156">SUM(V$250+V$270)</f>
        <v>107948</v>
      </c>
      <c r="W291" s="888">
        <f t="shared" si="156"/>
        <v>107948</v>
      </c>
      <c r="X291" s="888">
        <f t="shared" si="156"/>
        <v>111363</v>
      </c>
      <c r="Y291" s="888">
        <f t="shared" si="156"/>
        <v>111363</v>
      </c>
      <c r="Z291" s="888">
        <f t="shared" si="156"/>
        <v>118258</v>
      </c>
      <c r="AA291" s="888">
        <f t="shared" si="156"/>
        <v>118258</v>
      </c>
      <c r="AB291" s="888">
        <f t="shared" si="156"/>
        <v>121438</v>
      </c>
      <c r="AC291" s="888">
        <f t="shared" si="156"/>
        <v>129491</v>
      </c>
      <c r="AD291" s="888"/>
      <c r="AE291" s="888">
        <v>136990</v>
      </c>
      <c r="AF291" s="888">
        <v>0</v>
      </c>
      <c r="AG291" s="888">
        <v>141099.70000000001</v>
      </c>
      <c r="AH291" s="888">
        <v>141463</v>
      </c>
      <c r="AI291" s="888">
        <v>145706.89000000001</v>
      </c>
      <c r="AJ291" s="888">
        <v>147177</v>
      </c>
      <c r="AK291" s="888">
        <v>151592.31</v>
      </c>
      <c r="AL291" s="888">
        <v>137935</v>
      </c>
      <c r="AM291" s="888">
        <f t="shared" ref="AM291:AT291" si="157">SUM(AM$250+AM$270)</f>
        <v>140693.70000000001</v>
      </c>
      <c r="AN291" s="888">
        <f t="shared" si="157"/>
        <v>138770</v>
      </c>
      <c r="AO291" s="888">
        <f t="shared" si="157"/>
        <v>142239.25</v>
      </c>
      <c r="AP291" s="888">
        <f t="shared" si="157"/>
        <v>141526</v>
      </c>
      <c r="AQ291" s="888">
        <f t="shared" si="157"/>
        <v>144356.51999999999</v>
      </c>
      <c r="AR291" s="888">
        <f t="shared" si="157"/>
        <v>152229</v>
      </c>
      <c r="AS291" s="1626">
        <f t="shared" si="157"/>
        <v>155273.58000000002</v>
      </c>
      <c r="AT291" s="845">
        <f t="shared" si="157"/>
        <v>161213</v>
      </c>
      <c r="AU291" s="888">
        <f t="shared" si="150"/>
        <v>8984</v>
      </c>
      <c r="AV291" s="2275">
        <f t="shared" si="144"/>
        <v>5.9016350366881472E-2</v>
      </c>
      <c r="AW291" s="865"/>
      <c r="AX291" s="2016"/>
      <c r="AY291" s="2016"/>
      <c r="AZ291" s="2016"/>
      <c r="BA291" s="2016"/>
      <c r="BB291" s="2016"/>
      <c r="BC291" s="2026"/>
    </row>
    <row r="292" spans="1:55" ht="14" customHeight="1" x14ac:dyDescent="0.25">
      <c r="A292" s="842" t="s">
        <v>551</v>
      </c>
      <c r="B292" s="781">
        <f>SUM($B$251+$B$265+$B271)</f>
        <v>46932</v>
      </c>
      <c r="C292" s="781">
        <f>SUM($C$251+$C$265+$C$271)</f>
        <v>42127</v>
      </c>
      <c r="D292" s="781">
        <f>SUM($D$251+$D$265+$D271)</f>
        <v>63951</v>
      </c>
      <c r="E292" s="781">
        <f>SUM($E$251+$E$265+$E$271)</f>
        <v>62741.72</v>
      </c>
      <c r="F292" s="781">
        <f>SUM($F$251+$F$265+$F271)</f>
        <v>38951</v>
      </c>
      <c r="G292" s="782">
        <f>SUM($G$251+$G$265+$G271)</f>
        <v>38874.31</v>
      </c>
      <c r="H292" s="782">
        <f>SUM($H$251+$H$265+$H271)</f>
        <v>42431</v>
      </c>
      <c r="I292" s="782">
        <f>SUM($I$251+$I$265+$I271)</f>
        <v>41591.379999999997</v>
      </c>
      <c r="J292" s="869">
        <f t="shared" ref="J292:R292" si="158">SUM(J$251+J$265+J271)</f>
        <v>45159</v>
      </c>
      <c r="K292" s="869">
        <f t="shared" si="158"/>
        <v>0</v>
      </c>
      <c r="L292" s="1044">
        <f t="shared" si="158"/>
        <v>52919.67</v>
      </c>
      <c r="M292" s="1044">
        <f t="shared" si="158"/>
        <v>60663</v>
      </c>
      <c r="N292" s="880">
        <f t="shared" si="158"/>
        <v>46917</v>
      </c>
      <c r="O292" s="888">
        <f t="shared" si="158"/>
        <v>48116</v>
      </c>
      <c r="P292" s="888">
        <f t="shared" si="158"/>
        <v>47658</v>
      </c>
      <c r="Q292" s="888">
        <f t="shared" si="158"/>
        <v>47658</v>
      </c>
      <c r="R292" s="888">
        <f t="shared" si="158"/>
        <v>47658</v>
      </c>
      <c r="S292" s="888"/>
      <c r="T292" s="888">
        <v>56140</v>
      </c>
      <c r="U292" s="888">
        <v>56140</v>
      </c>
      <c r="V292" s="888">
        <f t="shared" ref="V292:AC292" si="159">SUM(V$251+V$265+V271)</f>
        <v>58415</v>
      </c>
      <c r="W292" s="888">
        <f t="shared" si="159"/>
        <v>58415</v>
      </c>
      <c r="X292" s="888">
        <f t="shared" si="159"/>
        <v>59761</v>
      </c>
      <c r="Y292" s="888">
        <f t="shared" si="159"/>
        <v>59761</v>
      </c>
      <c r="Z292" s="888">
        <f t="shared" si="159"/>
        <v>62747</v>
      </c>
      <c r="AA292" s="888">
        <f t="shared" si="159"/>
        <v>67653</v>
      </c>
      <c r="AB292" s="888">
        <f t="shared" si="159"/>
        <v>69747</v>
      </c>
      <c r="AC292" s="888">
        <f t="shared" si="159"/>
        <v>69747</v>
      </c>
      <c r="AD292" s="888"/>
      <c r="AE292" s="888">
        <v>72098</v>
      </c>
      <c r="AF292" s="888">
        <v>0</v>
      </c>
      <c r="AG292" s="888">
        <v>74260.94</v>
      </c>
      <c r="AH292" s="888">
        <v>75715</v>
      </c>
      <c r="AI292" s="888">
        <v>77986.450000000012</v>
      </c>
      <c r="AJ292" s="888">
        <v>85305</v>
      </c>
      <c r="AK292" s="888">
        <v>87864.150000000009</v>
      </c>
      <c r="AL292" s="888">
        <v>86456</v>
      </c>
      <c r="AM292" s="888">
        <f t="shared" ref="AM292:AN292" si="160">SUM(AM$251+AM$265+AM271)</f>
        <v>88185.12</v>
      </c>
      <c r="AN292" s="888">
        <f t="shared" si="160"/>
        <v>91163</v>
      </c>
      <c r="AO292" s="888">
        <f t="shared" ref="AO292:AP292" si="161">SUM(AO$251+AO$265+AO271)</f>
        <v>93442.074999999983</v>
      </c>
      <c r="AP292" s="888">
        <f t="shared" si="161"/>
        <v>93819</v>
      </c>
      <c r="AQ292" s="888">
        <f t="shared" ref="AQ292:AR292" si="162">SUM(AQ$251+AQ$265+AQ271)</f>
        <v>95695.38</v>
      </c>
      <c r="AR292" s="888">
        <f t="shared" si="162"/>
        <v>96663</v>
      </c>
      <c r="AS292" s="1626">
        <f t="shared" ref="AS292:AT292" si="163">SUM(AS$251+AS$265+AS271)</f>
        <v>98596.26</v>
      </c>
      <c r="AT292" s="845">
        <f t="shared" si="163"/>
        <v>98876</v>
      </c>
      <c r="AU292" s="888">
        <f t="shared" si="150"/>
        <v>2213</v>
      </c>
      <c r="AV292" s="2275">
        <f t="shared" si="144"/>
        <v>2.2893971840311184E-2</v>
      </c>
      <c r="AW292" s="865"/>
      <c r="AX292" s="2016"/>
      <c r="AY292" s="2016"/>
      <c r="AZ292" s="2016"/>
      <c r="BA292" s="2016"/>
      <c r="BB292" s="2016"/>
      <c r="BC292" s="2026"/>
    </row>
    <row r="293" spans="1:55" ht="14" customHeight="1" x14ac:dyDescent="0.25">
      <c r="A293" s="842" t="s">
        <v>811</v>
      </c>
      <c r="B293" s="781">
        <f>SUM($B$261+$B$276)</f>
        <v>300705</v>
      </c>
      <c r="C293" s="781">
        <f>SUM(+$C$261+$C$276)</f>
        <v>292213.94</v>
      </c>
      <c r="D293" s="781">
        <f>SUM($D$261+$D$276)</f>
        <v>349468</v>
      </c>
      <c r="E293" s="781">
        <f>SUM($E$261+$E$276)</f>
        <v>333550.90000000002</v>
      </c>
      <c r="F293" s="781">
        <f>SUM($F$261+$F$276)</f>
        <v>343678</v>
      </c>
      <c r="G293" s="782">
        <f>SUM($G$261+$G$276)</f>
        <v>339046.94</v>
      </c>
      <c r="H293" s="782">
        <f>SUM($H$261+$H$276)</f>
        <v>350499</v>
      </c>
      <c r="I293" s="782">
        <f>SUM(I$258+$I$261+$I$276)</f>
        <v>347657.28</v>
      </c>
      <c r="J293" s="784">
        <f>SUM(J$258+J$261+J$276)</f>
        <v>354960</v>
      </c>
      <c r="K293" s="784">
        <f>SUM(K$261+K$276)</f>
        <v>0</v>
      </c>
      <c r="L293" s="848">
        <f t="shared" ref="L293:R293" si="164">SUM(L$258+L$261+L$276)</f>
        <v>361444.64</v>
      </c>
      <c r="M293" s="848">
        <f t="shared" si="164"/>
        <v>373268</v>
      </c>
      <c r="N293" s="844">
        <f t="shared" si="164"/>
        <v>350787</v>
      </c>
      <c r="O293" s="845">
        <f t="shared" si="164"/>
        <v>355787</v>
      </c>
      <c r="P293" s="845">
        <f t="shared" si="164"/>
        <v>369819</v>
      </c>
      <c r="Q293" s="845">
        <f t="shared" si="164"/>
        <v>369819</v>
      </c>
      <c r="R293" s="845">
        <f t="shared" si="164"/>
        <v>387560</v>
      </c>
      <c r="S293" s="845"/>
      <c r="T293" s="845">
        <v>406713</v>
      </c>
      <c r="U293" s="845">
        <v>406713</v>
      </c>
      <c r="V293" s="845">
        <f t="shared" ref="V293:AC293" si="165">SUM(V$258+V$261+V$276)</f>
        <v>409713</v>
      </c>
      <c r="W293" s="845">
        <f t="shared" si="165"/>
        <v>409713</v>
      </c>
      <c r="X293" s="845">
        <f t="shared" si="165"/>
        <v>409713</v>
      </c>
      <c r="Y293" s="845">
        <f t="shared" si="165"/>
        <v>409713</v>
      </c>
      <c r="Z293" s="845">
        <f t="shared" si="165"/>
        <v>409713</v>
      </c>
      <c r="AA293" s="845">
        <f t="shared" si="165"/>
        <v>409713</v>
      </c>
      <c r="AB293" s="845">
        <f t="shared" si="165"/>
        <v>409713</v>
      </c>
      <c r="AC293" s="845">
        <f t="shared" si="165"/>
        <v>409713</v>
      </c>
      <c r="AD293" s="845"/>
      <c r="AE293" s="845">
        <v>409803</v>
      </c>
      <c r="AF293" s="845">
        <v>0</v>
      </c>
      <c r="AG293" s="845">
        <v>0</v>
      </c>
      <c r="AH293" s="845">
        <v>0</v>
      </c>
      <c r="AI293" s="888">
        <v>0</v>
      </c>
      <c r="AJ293" s="888"/>
      <c r="AK293" s="888"/>
      <c r="AL293" s="888"/>
      <c r="AM293" s="888"/>
      <c r="AN293" s="888"/>
      <c r="AO293" s="888"/>
      <c r="AP293" s="888"/>
      <c r="AQ293" s="888"/>
      <c r="AR293" s="888"/>
      <c r="AS293" s="1626"/>
      <c r="AT293" s="845"/>
      <c r="AU293" s="888" t="str">
        <f t="shared" si="150"/>
        <v/>
      </c>
      <c r="AV293" s="2275" t="str">
        <f t="shared" si="144"/>
        <v/>
      </c>
      <c r="AW293" s="865"/>
      <c r="AX293" s="2016"/>
      <c r="AY293" s="2016"/>
      <c r="AZ293" s="2016"/>
      <c r="BA293" s="2016"/>
      <c r="BB293" s="2016"/>
      <c r="BC293" s="2026"/>
    </row>
    <row r="294" spans="1:55" ht="14" customHeight="1" x14ac:dyDescent="0.25">
      <c r="A294" s="842" t="s">
        <v>812</v>
      </c>
      <c r="B294" s="781">
        <f>SUM($B$252+$B$266+$B$272+$B$280+$B$287)</f>
        <v>58630</v>
      </c>
      <c r="C294" s="781">
        <f>SUM($C$252+$C$266+$C$272+$C$280++$C$287)</f>
        <v>55461.219999999994</v>
      </c>
      <c r="D294" s="781">
        <f>SUM($D$252+$D$266+$D$272+$D$280+$D$287)</f>
        <v>27110</v>
      </c>
      <c r="E294" s="781">
        <f>SUM($E$252+$E$266+$E$272+$E$280+$E$287)</f>
        <v>18488.66</v>
      </c>
      <c r="F294" s="781">
        <f>SUM($F$252+$F$266+$F$272+$F$280+$F$287)</f>
        <v>26610</v>
      </c>
      <c r="G294" s="782">
        <f>SUM($G$252+$G$266+$G$272+$G$280+$G$287)</f>
        <v>23447.43</v>
      </c>
      <c r="H294" s="782">
        <f>SUM($H$252+$H$266+$H$272+$H$280++$H$287)</f>
        <v>26715</v>
      </c>
      <c r="I294" s="782">
        <f>SUM($I$252+$I$266+$I$272+$I$280++$I$287)</f>
        <v>24054.44</v>
      </c>
      <c r="J294" s="784">
        <f>SUM(J$252+J257+J$266+J$272+J$280+J$287)</f>
        <v>24995</v>
      </c>
      <c r="K294" s="784" t="e">
        <f>SUM(K$252+K$266+K$272+K$280+K$287)</f>
        <v>#VALUE!</v>
      </c>
      <c r="L294" s="848">
        <f t="shared" ref="L294:R294" si="166">SUM(L$252+L257+L$266+L$272+L$280+L$287)</f>
        <v>25205.120000000003</v>
      </c>
      <c r="M294" s="848">
        <f t="shared" si="166"/>
        <v>27376</v>
      </c>
      <c r="N294" s="844">
        <f t="shared" si="166"/>
        <v>21328</v>
      </c>
      <c r="O294" s="845">
        <f t="shared" si="166"/>
        <v>22133</v>
      </c>
      <c r="P294" s="845">
        <f t="shared" si="166"/>
        <v>21462</v>
      </c>
      <c r="Q294" s="845">
        <f t="shared" si="166"/>
        <v>21462</v>
      </c>
      <c r="R294" s="845">
        <f t="shared" si="166"/>
        <v>23962</v>
      </c>
      <c r="S294" s="845"/>
      <c r="T294" s="845">
        <v>24348</v>
      </c>
      <c r="U294" s="845">
        <v>24348</v>
      </c>
      <c r="V294" s="845">
        <f t="shared" ref="V294:AC294" si="167">SUM(V$252+V257+V$266+V$272+V$280+V$287)</f>
        <v>22404</v>
      </c>
      <c r="W294" s="845">
        <f t="shared" si="167"/>
        <v>22404</v>
      </c>
      <c r="X294" s="845">
        <f t="shared" si="167"/>
        <v>23446</v>
      </c>
      <c r="Y294" s="845">
        <f t="shared" si="167"/>
        <v>23446</v>
      </c>
      <c r="Z294" s="845">
        <f t="shared" si="167"/>
        <v>26158</v>
      </c>
      <c r="AA294" s="845">
        <f t="shared" si="167"/>
        <v>26158</v>
      </c>
      <c r="AB294" s="845">
        <f t="shared" si="167"/>
        <v>24288</v>
      </c>
      <c r="AC294" s="845">
        <f t="shared" si="167"/>
        <v>24288</v>
      </c>
      <c r="AD294" s="845"/>
      <c r="AE294" s="845">
        <v>26888</v>
      </c>
      <c r="AF294" s="845">
        <v>0</v>
      </c>
      <c r="AG294" s="845">
        <v>25238</v>
      </c>
      <c r="AH294" s="845">
        <v>25638</v>
      </c>
      <c r="AI294" s="888">
        <v>25638</v>
      </c>
      <c r="AJ294" s="888">
        <v>26738</v>
      </c>
      <c r="AK294" s="888">
        <v>26738</v>
      </c>
      <c r="AL294" s="888">
        <v>33147</v>
      </c>
      <c r="AM294" s="888">
        <f t="shared" ref="AM294:AN294" si="168">SUM(AM$252+AM257+AM$266+AM$272+AM$280+AM$287)</f>
        <v>33147</v>
      </c>
      <c r="AN294" s="888">
        <f t="shared" si="168"/>
        <v>42637</v>
      </c>
      <c r="AO294" s="888">
        <f t="shared" ref="AO294:AP294" si="169">SUM(AO$252+AO257+AO$266+AO$272+AO$280+AO$287)</f>
        <v>42637</v>
      </c>
      <c r="AP294" s="888">
        <f t="shared" si="169"/>
        <v>43137</v>
      </c>
      <c r="AQ294" s="888">
        <f t="shared" ref="AQ294:AR294" si="170">SUM(AQ$252+AQ257+AQ$266+AQ$272+AQ$280+AQ$287)</f>
        <v>43137</v>
      </c>
      <c r="AR294" s="888">
        <f t="shared" si="170"/>
        <v>43445</v>
      </c>
      <c r="AS294" s="1626">
        <f t="shared" ref="AS294:AT294" si="171">SUM(AS$252+AS257+AS$266+AS$272+AS$280+AS$287)</f>
        <v>43445</v>
      </c>
      <c r="AT294" s="845">
        <f t="shared" si="171"/>
        <v>42453</v>
      </c>
      <c r="AU294" s="888">
        <f t="shared" si="150"/>
        <v>-992</v>
      </c>
      <c r="AV294" s="2275">
        <f t="shared" si="144"/>
        <v>-2.2833467602716078E-2</v>
      </c>
      <c r="AW294" s="865"/>
      <c r="AX294" s="2016"/>
      <c r="AY294" s="2016"/>
      <c r="AZ294" s="2016"/>
      <c r="BA294" s="2016"/>
      <c r="BB294" s="2016"/>
      <c r="BC294" s="2026"/>
    </row>
    <row r="295" spans="1:55" ht="14" customHeight="1" x14ac:dyDescent="0.25">
      <c r="A295" s="842" t="s">
        <v>245</v>
      </c>
      <c r="B295" s="781">
        <f>SUM($B$283)</f>
        <v>1600</v>
      </c>
      <c r="C295" s="781">
        <f>SUM($C$283)</f>
        <v>333.21</v>
      </c>
      <c r="D295" s="781">
        <f>SUM($D$283)</f>
        <v>1600</v>
      </c>
      <c r="E295" s="781">
        <f>SUM($E$283)</f>
        <v>331.6</v>
      </c>
      <c r="F295" s="781">
        <f>SUM($F$283)</f>
        <v>1600</v>
      </c>
      <c r="G295" s="782">
        <f>SUM($G$283)</f>
        <v>2929.79</v>
      </c>
      <c r="H295" s="782">
        <f>SUM($H$283)</f>
        <v>1600</v>
      </c>
      <c r="I295" s="782">
        <f>SUM($I$283)</f>
        <v>4311.6499999999996</v>
      </c>
      <c r="J295" s="994">
        <f t="shared" ref="J295:O295" si="172">J284</f>
        <v>1600</v>
      </c>
      <c r="K295" s="994" t="str">
        <f t="shared" si="172"/>
        <v>OK</v>
      </c>
      <c r="L295" s="1045">
        <f t="shared" si="172"/>
        <v>560.19000000000005</v>
      </c>
      <c r="M295" s="1045">
        <f t="shared" si="172"/>
        <v>3470</v>
      </c>
      <c r="N295" s="1046">
        <f t="shared" si="172"/>
        <v>3123</v>
      </c>
      <c r="O295" s="941">
        <f t="shared" si="172"/>
        <v>3470</v>
      </c>
      <c r="P295" s="941">
        <f>P284</f>
        <v>4970</v>
      </c>
      <c r="Q295" s="941">
        <f>Q284</f>
        <v>4970</v>
      </c>
      <c r="R295" s="941">
        <f>R284</f>
        <v>6350</v>
      </c>
      <c r="S295" s="845"/>
      <c r="T295" s="845">
        <v>6500</v>
      </c>
      <c r="U295" s="845">
        <v>6500</v>
      </c>
      <c r="V295" s="941">
        <f t="shared" ref="V295:AA295" si="173">V284</f>
        <v>8620</v>
      </c>
      <c r="W295" s="941">
        <f t="shared" si="173"/>
        <v>20620</v>
      </c>
      <c r="X295" s="941">
        <f t="shared" si="173"/>
        <v>20960</v>
      </c>
      <c r="Y295" s="941">
        <f t="shared" si="173"/>
        <v>20960</v>
      </c>
      <c r="Z295" s="941">
        <f t="shared" si="173"/>
        <v>20960</v>
      </c>
      <c r="AA295" s="941">
        <f t="shared" si="173"/>
        <v>20960</v>
      </c>
      <c r="AB295" s="941">
        <f t="shared" ref="AB295:AC295" si="174">AB284</f>
        <v>20960</v>
      </c>
      <c r="AC295" s="941">
        <f t="shared" si="174"/>
        <v>20960</v>
      </c>
      <c r="AD295" s="941"/>
      <c r="AE295" s="941">
        <v>20960</v>
      </c>
      <c r="AF295" s="941">
        <v>20960</v>
      </c>
      <c r="AG295" s="941">
        <v>20960</v>
      </c>
      <c r="AH295" s="941">
        <v>20960</v>
      </c>
      <c r="AI295" s="888">
        <v>20960</v>
      </c>
      <c r="AJ295" s="888">
        <v>20960</v>
      </c>
      <c r="AK295" s="888">
        <v>20960</v>
      </c>
      <c r="AL295" s="888">
        <v>20960</v>
      </c>
      <c r="AM295" s="888">
        <f t="shared" ref="AM295:AN295" si="175">AM284</f>
        <v>20960</v>
      </c>
      <c r="AN295" s="888">
        <f t="shared" si="175"/>
        <v>20960</v>
      </c>
      <c r="AO295" s="888">
        <f t="shared" ref="AO295:AP295" si="176">AO284</f>
        <v>20960</v>
      </c>
      <c r="AP295" s="888">
        <f t="shared" si="176"/>
        <v>20960</v>
      </c>
      <c r="AQ295" s="888">
        <f t="shared" ref="AQ295:AR295" si="177">AQ284</f>
        <v>20960</v>
      </c>
      <c r="AR295" s="888">
        <f t="shared" si="177"/>
        <v>20960</v>
      </c>
      <c r="AS295" s="1626">
        <f t="shared" ref="AS295:AT295" si="178">AS284</f>
        <v>20960</v>
      </c>
      <c r="AT295" s="845">
        <f t="shared" si="178"/>
        <v>20960</v>
      </c>
      <c r="AU295" s="888">
        <f t="shared" si="150"/>
        <v>0</v>
      </c>
      <c r="AV295" s="2275">
        <f t="shared" si="144"/>
        <v>0</v>
      </c>
      <c r="AW295" s="865"/>
      <c r="AX295" s="2016"/>
      <c r="AY295" s="2016"/>
      <c r="AZ295" s="2016"/>
      <c r="BA295" s="2016"/>
      <c r="BB295" s="2016"/>
      <c r="BC295" s="2026"/>
    </row>
    <row r="296" spans="1:55" ht="14" customHeight="1" collapsed="1" thickBot="1" x14ac:dyDescent="0.3">
      <c r="A296" s="902" t="s">
        <v>223</v>
      </c>
      <c r="B296" s="903">
        <f>SUM(B290:B295)</f>
        <v>444348</v>
      </c>
      <c r="C296" s="904">
        <f>SUM(C290:C295)</f>
        <v>426616.37</v>
      </c>
      <c r="D296" s="904">
        <f>SUM(D290:D295)</f>
        <v>479217</v>
      </c>
      <c r="E296" s="904">
        <f>SUM(E290:E295)</f>
        <v>465011.87999999995</v>
      </c>
      <c r="F296" s="904">
        <f>SUM(F290:F295)</f>
        <v>499207</v>
      </c>
      <c r="G296" s="1047">
        <f>SUM(G291:G295)</f>
        <v>496325.19999999995</v>
      </c>
      <c r="H296" s="904">
        <f t="shared" ref="H296:O296" si="179">SUM(H290:H295)</f>
        <v>504472</v>
      </c>
      <c r="I296" s="905">
        <f t="shared" si="179"/>
        <v>490038.35000000003</v>
      </c>
      <c r="J296" s="1048">
        <f t="shared" si="179"/>
        <v>520989</v>
      </c>
      <c r="K296" s="1048" t="e">
        <f t="shared" si="179"/>
        <v>#VALUE!</v>
      </c>
      <c r="L296" s="1049">
        <f t="shared" si="179"/>
        <v>535862.62</v>
      </c>
      <c r="M296" s="1049">
        <f t="shared" si="179"/>
        <v>568124</v>
      </c>
      <c r="N296" s="1050">
        <f t="shared" si="179"/>
        <v>524633</v>
      </c>
      <c r="O296" s="1017">
        <f t="shared" si="179"/>
        <v>534542</v>
      </c>
      <c r="P296" s="1017">
        <f>SUM(P290:P295)</f>
        <v>550046</v>
      </c>
      <c r="Q296" s="1017">
        <f>IF(SUM(Q293:Q295)=0,P296,SUM(Q291:Q295))</f>
        <v>550046</v>
      </c>
      <c r="R296" s="1017">
        <f>SUM(R290:R295)</f>
        <v>571667</v>
      </c>
      <c r="S296" s="1017">
        <f>IF(SUM(S293:S295)=0,R296,SUM(S291:S295))</f>
        <v>571667</v>
      </c>
      <c r="T296" s="1017">
        <v>598359</v>
      </c>
      <c r="U296" s="1017">
        <v>598359</v>
      </c>
      <c r="V296" s="1017">
        <f>SUM(V290:V295)</f>
        <v>607100</v>
      </c>
      <c r="W296" s="1017">
        <f>IF(SUM(W293:W295)=0,V296,SUM(W291:W295))</f>
        <v>619100</v>
      </c>
      <c r="X296" s="1017">
        <f>SUM(X290:X295)</f>
        <v>625243</v>
      </c>
      <c r="Y296" s="1017">
        <f>IF(SUM(Y293:Y295)=0,X296,SUM(Y291:Y295))</f>
        <v>625243</v>
      </c>
      <c r="Z296" s="1017">
        <f>SUM(Z290:Z295)</f>
        <v>637836</v>
      </c>
      <c r="AA296" s="1017">
        <f>IF(SUM(AA293:AA295)=0,Z296,SUM(AA291:AA295))</f>
        <v>642742</v>
      </c>
      <c r="AB296" s="1017">
        <f>SUM(AB290:AB295)</f>
        <v>646146</v>
      </c>
      <c r="AC296" s="1017">
        <f>IF(SUM(AC293:AC295)=0,AB296,SUM(AC291:AC295))</f>
        <v>654199</v>
      </c>
      <c r="AD296" s="1017"/>
      <c r="AE296" s="1017">
        <v>666739</v>
      </c>
      <c r="AF296" s="1017">
        <v>20960</v>
      </c>
      <c r="AG296" s="1017">
        <v>261558.64</v>
      </c>
      <c r="AH296" s="1017">
        <v>263776</v>
      </c>
      <c r="AI296" s="1017">
        <v>270291.34000000003</v>
      </c>
      <c r="AJ296" s="1017">
        <v>280180</v>
      </c>
      <c r="AK296" s="1017">
        <v>287154.46000000002</v>
      </c>
      <c r="AL296" s="1017">
        <v>278498</v>
      </c>
      <c r="AM296" s="1017">
        <f t="shared" ref="AM296:AR296" si="180">SUM(AM291:AM295)</f>
        <v>282985.82</v>
      </c>
      <c r="AN296" s="1017">
        <f t="shared" si="180"/>
        <v>293530</v>
      </c>
      <c r="AO296" s="1017">
        <f t="shared" si="180"/>
        <v>299278.32499999995</v>
      </c>
      <c r="AP296" s="1017">
        <f t="shared" si="180"/>
        <v>299442</v>
      </c>
      <c r="AQ296" s="1017">
        <f t="shared" si="180"/>
        <v>304148.90000000002</v>
      </c>
      <c r="AR296" s="1017">
        <f t="shared" si="180"/>
        <v>313297</v>
      </c>
      <c r="AS296" s="1638">
        <f t="shared" ref="AS296:AT296" si="181">SUM(AS291:AS295)</f>
        <v>318274.84000000003</v>
      </c>
      <c r="AT296" s="1638">
        <f t="shared" si="181"/>
        <v>323502</v>
      </c>
      <c r="AU296" s="1017">
        <f t="shared" si="150"/>
        <v>10205</v>
      </c>
      <c r="AV296" s="2291">
        <f t="shared" si="144"/>
        <v>3.2572926009505357E-2</v>
      </c>
      <c r="AW296" s="910" t="s">
        <v>725</v>
      </c>
      <c r="AX296" s="2016"/>
      <c r="AY296" s="2016"/>
      <c r="AZ296" s="2016"/>
      <c r="BA296" s="2518">
        <f>POWER(AT296/AJ296,1/5)-1</f>
        <v>2.917201342866238E-2</v>
      </c>
      <c r="BB296" s="2518">
        <f>POWER(AT296/AA296,1/9)-1</f>
        <v>-7.3445129391663255E-2</v>
      </c>
      <c r="BC296" s="2332"/>
    </row>
    <row r="297" spans="1:55" ht="14" hidden="1" customHeight="1" outlineLevel="1" thickTop="1" x14ac:dyDescent="0.25">
      <c r="A297" s="771" t="s">
        <v>153</v>
      </c>
      <c r="B297" s="772"/>
      <c r="C297" s="773"/>
      <c r="D297" s="773"/>
      <c r="E297" s="773"/>
      <c r="F297" s="774"/>
      <c r="G297" s="773"/>
      <c r="H297" s="773"/>
      <c r="J297" s="847"/>
      <c r="K297" s="825"/>
      <c r="L297" s="831"/>
      <c r="M297" s="831"/>
      <c r="N297" s="831"/>
      <c r="O297" s="825"/>
      <c r="P297" s="825"/>
      <c r="Q297" s="825"/>
      <c r="R297" s="825"/>
      <c r="S297" s="825"/>
      <c r="T297" s="825"/>
      <c r="U297" s="825"/>
      <c r="V297" s="825"/>
      <c r="W297" s="825"/>
      <c r="X297" s="825"/>
      <c r="Y297" s="825"/>
      <c r="Z297" s="825"/>
      <c r="AA297" s="825"/>
      <c r="AB297" s="825"/>
      <c r="AC297" s="825"/>
      <c r="AD297" s="825"/>
      <c r="AE297" s="825"/>
      <c r="AF297" s="825"/>
      <c r="AG297" s="825"/>
      <c r="AH297" s="825"/>
      <c r="AI297" s="825"/>
      <c r="AJ297" s="825"/>
      <c r="AK297" s="825"/>
      <c r="AL297" s="825"/>
      <c r="AM297" s="825"/>
      <c r="AN297" s="825"/>
      <c r="AO297" s="825"/>
      <c r="AP297" s="825"/>
      <c r="AQ297" s="825"/>
      <c r="AR297" s="825"/>
      <c r="AS297" s="1110"/>
      <c r="AT297" s="1040"/>
      <c r="AU297" s="825" t="str">
        <f t="shared" si="150"/>
        <v/>
      </c>
      <c r="AV297" s="2274" t="str">
        <f t="shared" si="144"/>
        <v/>
      </c>
      <c r="AW297" s="778"/>
      <c r="AX297" s="2016"/>
      <c r="AY297" s="2016"/>
      <c r="AZ297" s="2016"/>
      <c r="BA297" s="2016"/>
      <c r="BB297" s="2016"/>
    </row>
    <row r="298" spans="1:55" ht="14" hidden="1" customHeight="1" outlineLevel="1" x14ac:dyDescent="0.25">
      <c r="A298" s="779" t="s">
        <v>154</v>
      </c>
      <c r="B298" s="772"/>
      <c r="C298" s="773"/>
      <c r="D298" s="773"/>
      <c r="E298" s="773"/>
      <c r="F298" s="774"/>
      <c r="G298" s="773"/>
      <c r="H298" s="773"/>
      <c r="J298" s="847"/>
      <c r="K298" s="788"/>
      <c r="L298" s="855"/>
      <c r="M298" s="855"/>
      <c r="N298" s="855"/>
      <c r="O298" s="788"/>
      <c r="P298" s="788"/>
      <c r="Q298" s="788"/>
      <c r="R298" s="788"/>
      <c r="S298" s="788"/>
      <c r="T298" s="788"/>
      <c r="U298" s="788"/>
      <c r="V298" s="788"/>
      <c r="W298" s="788"/>
      <c r="X298" s="788"/>
      <c r="Y298" s="788"/>
      <c r="Z298" s="788"/>
      <c r="AA298" s="788"/>
      <c r="AB298" s="788"/>
      <c r="AC298" s="788"/>
      <c r="AD298" s="788"/>
      <c r="AE298" s="788"/>
      <c r="AF298" s="788"/>
      <c r="AG298" s="788"/>
      <c r="AH298" s="788"/>
      <c r="AI298" s="788"/>
      <c r="AJ298" s="788"/>
      <c r="AK298" s="788"/>
      <c r="AL298" s="788"/>
      <c r="AM298" s="788"/>
      <c r="AN298" s="788"/>
      <c r="AO298" s="788"/>
      <c r="AP298" s="788"/>
      <c r="AQ298" s="788"/>
      <c r="AR298" s="788"/>
      <c r="AS298" s="841"/>
      <c r="AT298" s="891"/>
      <c r="AU298" s="788" t="str">
        <f t="shared" si="150"/>
        <v/>
      </c>
      <c r="AV298" s="2272" t="str">
        <f t="shared" si="144"/>
        <v/>
      </c>
      <c r="AW298" s="778"/>
      <c r="AX298" s="2016"/>
      <c r="AY298" s="2016"/>
      <c r="AZ298" s="2016"/>
      <c r="BA298" s="2016"/>
      <c r="BB298" s="2016"/>
    </row>
    <row r="299" spans="1:55" ht="14" hidden="1" customHeight="1" outlineLevel="1" x14ac:dyDescent="0.25">
      <c r="A299" s="779" t="s">
        <v>560</v>
      </c>
      <c r="B299" s="775">
        <v>107838</v>
      </c>
      <c r="C299" s="773">
        <v>107838</v>
      </c>
      <c r="D299" s="850">
        <v>153659</v>
      </c>
      <c r="E299" s="773">
        <v>153659</v>
      </c>
      <c r="F299" s="851">
        <v>153659</v>
      </c>
      <c r="G299" s="851">
        <v>153659</v>
      </c>
      <c r="H299" s="851">
        <v>163168</v>
      </c>
      <c r="I299" s="774">
        <v>163586.13</v>
      </c>
      <c r="J299" s="806">
        <v>170078</v>
      </c>
      <c r="K299" s="785" t="s">
        <v>197</v>
      </c>
      <c r="L299" s="840">
        <v>175401.98</v>
      </c>
      <c r="M299" s="852">
        <v>182168</v>
      </c>
      <c r="N299" s="808">
        <v>189607</v>
      </c>
      <c r="O299" s="804">
        <v>187069</v>
      </c>
      <c r="P299" s="788">
        <v>187719</v>
      </c>
      <c r="Q299" s="788">
        <v>187719</v>
      </c>
      <c r="R299" s="788">
        <v>182383</v>
      </c>
      <c r="S299" s="852"/>
      <c r="T299" s="852">
        <v>191954</v>
      </c>
      <c r="U299" s="852">
        <v>191954</v>
      </c>
      <c r="V299" s="810">
        <v>200741</v>
      </c>
      <c r="W299" s="788">
        <f>V299</f>
        <v>200741</v>
      </c>
      <c r="X299" s="810">
        <v>208021</v>
      </c>
      <c r="Y299" s="810">
        <v>208021</v>
      </c>
      <c r="Z299" s="810">
        <v>225972</v>
      </c>
      <c r="AA299" s="810">
        <f>Z299</f>
        <v>225972</v>
      </c>
      <c r="AB299" s="810">
        <v>231118</v>
      </c>
      <c r="AC299" s="810">
        <f>AB299</f>
        <v>231118</v>
      </c>
      <c r="AD299" s="810"/>
      <c r="AE299" s="810">
        <v>240492</v>
      </c>
      <c r="AF299" s="810"/>
      <c r="AG299" s="810">
        <v>247706.76</v>
      </c>
      <c r="AH299" s="810">
        <v>254916</v>
      </c>
      <c r="AI299" s="810">
        <v>262563.48</v>
      </c>
      <c r="AJ299" s="810">
        <v>269152</v>
      </c>
      <c r="AK299" s="810">
        <v>277226.56</v>
      </c>
      <c r="AL299" s="810">
        <v>275451</v>
      </c>
      <c r="AM299" s="810">
        <f>AL299*$AH$3</f>
        <v>280960.02</v>
      </c>
      <c r="AN299" s="810">
        <v>269846</v>
      </c>
      <c r="AO299" s="810">
        <v>276592.14999999997</v>
      </c>
      <c r="AP299" s="810">
        <v>269364</v>
      </c>
      <c r="AQ299" s="810">
        <f>AP299*$AH$3</f>
        <v>274751.28000000003</v>
      </c>
      <c r="AR299" s="810">
        <v>281779</v>
      </c>
      <c r="AS299" s="1410">
        <f>AR299*$AH$3</f>
        <v>287414.58</v>
      </c>
      <c r="AT299" s="809">
        <f>'[1]BUDGET DETAIL'!$CX$803</f>
        <v>288801</v>
      </c>
      <c r="AU299" s="810">
        <f t="shared" si="150"/>
        <v>7022</v>
      </c>
      <c r="AV299" s="2274">
        <f t="shared" si="144"/>
        <v>2.4920238910635641E-2</v>
      </c>
      <c r="AW299" s="778"/>
      <c r="AX299" s="2016"/>
      <c r="AY299" s="2016"/>
      <c r="AZ299" s="2016"/>
      <c r="BA299" s="2016"/>
      <c r="BB299" s="2016"/>
    </row>
    <row r="300" spans="1:55" ht="14" hidden="1" customHeight="1" outlineLevel="1" x14ac:dyDescent="0.25">
      <c r="A300" s="779" t="s">
        <v>551</v>
      </c>
      <c r="B300" s="775">
        <v>162772</v>
      </c>
      <c r="C300" s="773">
        <v>161507.06</v>
      </c>
      <c r="D300" s="850">
        <v>129865</v>
      </c>
      <c r="E300" s="773">
        <v>129863.43</v>
      </c>
      <c r="F300" s="851">
        <v>130130</v>
      </c>
      <c r="G300" s="851">
        <v>134072.87</v>
      </c>
      <c r="H300" s="851">
        <v>134008</v>
      </c>
      <c r="I300" s="774">
        <v>138120.26</v>
      </c>
      <c r="J300" s="806">
        <v>139002</v>
      </c>
      <c r="K300" s="785" t="s">
        <v>5</v>
      </c>
      <c r="L300" s="840">
        <v>143603.82999999999</v>
      </c>
      <c r="M300" s="852">
        <v>149361</v>
      </c>
      <c r="N300" s="808">
        <v>125171</v>
      </c>
      <c r="O300" s="804">
        <v>151246</v>
      </c>
      <c r="P300" s="788">
        <v>150813</v>
      </c>
      <c r="Q300" s="788">
        <v>150813</v>
      </c>
      <c r="R300" s="788">
        <v>150813</v>
      </c>
      <c r="S300" s="852"/>
      <c r="T300" s="852">
        <v>149920</v>
      </c>
      <c r="U300" s="852">
        <v>149920</v>
      </c>
      <c r="V300" s="810">
        <v>157522</v>
      </c>
      <c r="W300" s="788">
        <f>V300</f>
        <v>157522</v>
      </c>
      <c r="X300" s="810">
        <v>164784</v>
      </c>
      <c r="Y300" s="810">
        <v>164784</v>
      </c>
      <c r="Z300" s="810">
        <v>181256</v>
      </c>
      <c r="AA300" s="810">
        <f>Z300</f>
        <v>181256</v>
      </c>
      <c r="AB300" s="810">
        <v>189956</v>
      </c>
      <c r="AC300" s="810">
        <f>AB300</f>
        <v>189956</v>
      </c>
      <c r="AD300" s="810"/>
      <c r="AE300" s="810">
        <v>192491</v>
      </c>
      <c r="AF300" s="810"/>
      <c r="AG300" s="810">
        <v>198265.73</v>
      </c>
      <c r="AH300" s="810">
        <v>197688</v>
      </c>
      <c r="AI300" s="810">
        <v>203618.64</v>
      </c>
      <c r="AJ300" s="810">
        <v>209038</v>
      </c>
      <c r="AK300" s="810">
        <v>215309.14</v>
      </c>
      <c r="AL300" s="810">
        <v>213240</v>
      </c>
      <c r="AM300" s="810">
        <f>AL300*$AH$3</f>
        <v>217504.80000000002</v>
      </c>
      <c r="AN300" s="810">
        <v>217956</v>
      </c>
      <c r="AO300" s="810">
        <v>223404.9</v>
      </c>
      <c r="AP300" s="810">
        <v>220889</v>
      </c>
      <c r="AQ300" s="810">
        <f>AP300*$AH$3</f>
        <v>225306.78</v>
      </c>
      <c r="AR300" s="810">
        <v>224075</v>
      </c>
      <c r="AS300" s="1410">
        <f>AR300*$AH$3</f>
        <v>228556.5</v>
      </c>
      <c r="AT300" s="809">
        <f>'[1]BUDGET DETAIL'!$CX$808</f>
        <v>227878</v>
      </c>
      <c r="AU300" s="810">
        <f t="shared" si="150"/>
        <v>3803</v>
      </c>
      <c r="AV300" s="2274">
        <f t="shared" si="144"/>
        <v>1.697199598348767E-2</v>
      </c>
      <c r="AW300" s="778"/>
      <c r="AX300" s="2016"/>
      <c r="AY300" s="2016"/>
      <c r="AZ300" s="2016"/>
      <c r="BA300" s="2016"/>
      <c r="BB300" s="2016"/>
    </row>
    <row r="301" spans="1:55" ht="14" hidden="1" customHeight="1" outlineLevel="1" x14ac:dyDescent="0.25">
      <c r="A301" s="779" t="s">
        <v>812</v>
      </c>
      <c r="B301" s="775">
        <v>103232</v>
      </c>
      <c r="C301" s="773">
        <f>SUM(138.81+103093.19)</f>
        <v>103232</v>
      </c>
      <c r="D301" s="850">
        <v>90485</v>
      </c>
      <c r="E301" s="773">
        <v>91485</v>
      </c>
      <c r="F301" s="851">
        <v>97479</v>
      </c>
      <c r="G301" s="851">
        <v>98526.35</v>
      </c>
      <c r="H301" s="851">
        <v>107398</v>
      </c>
      <c r="I301" s="774">
        <v>114339</v>
      </c>
      <c r="J301" s="806">
        <v>116469</v>
      </c>
      <c r="K301" s="785" t="s">
        <v>455</v>
      </c>
      <c r="L301" s="812">
        <v>118824</v>
      </c>
      <c r="M301" s="855">
        <v>118787</v>
      </c>
      <c r="N301" s="813">
        <v>90220</v>
      </c>
      <c r="O301" s="855">
        <v>112837</v>
      </c>
      <c r="P301" s="788">
        <v>118846</v>
      </c>
      <c r="Q301" s="788">
        <v>118846</v>
      </c>
      <c r="R301" s="788">
        <f>124182+6958</f>
        <v>131140</v>
      </c>
      <c r="S301" s="855"/>
      <c r="T301" s="855">
        <v>133756</v>
      </c>
      <c r="U301" s="855">
        <v>133756</v>
      </c>
      <c r="V301" s="810">
        <v>136399</v>
      </c>
      <c r="W301" s="788">
        <f>V301</f>
        <v>136399</v>
      </c>
      <c r="X301" s="810">
        <v>140550</v>
      </c>
      <c r="Y301" s="810">
        <v>140550</v>
      </c>
      <c r="Z301" s="810">
        <v>144788</v>
      </c>
      <c r="AA301" s="810">
        <f>Z301+7200</f>
        <v>151988</v>
      </c>
      <c r="AB301" s="810">
        <v>149317</v>
      </c>
      <c r="AC301" s="810">
        <f>AB301</f>
        <v>149317</v>
      </c>
      <c r="AD301" s="810"/>
      <c r="AE301" s="810">
        <v>152299</v>
      </c>
      <c r="AF301" s="810"/>
      <c r="AG301" s="810">
        <v>152299</v>
      </c>
      <c r="AH301" s="810">
        <v>154870</v>
      </c>
      <c r="AI301" s="810">
        <v>154870</v>
      </c>
      <c r="AJ301" s="810">
        <v>158168</v>
      </c>
      <c r="AK301" s="810">
        <v>158168</v>
      </c>
      <c r="AL301" s="810">
        <v>174395</v>
      </c>
      <c r="AM301" s="810">
        <f>AL301*$AH$4</f>
        <v>174395</v>
      </c>
      <c r="AN301" s="810">
        <v>164680</v>
      </c>
      <c r="AO301" s="810">
        <v>164680</v>
      </c>
      <c r="AP301" s="810">
        <v>176656</v>
      </c>
      <c r="AQ301" s="810">
        <f>AP301*$AH$4</f>
        <v>176656</v>
      </c>
      <c r="AR301" s="810">
        <v>177586</v>
      </c>
      <c r="AS301" s="1410">
        <f>AR301*$AH$4</f>
        <v>177586</v>
      </c>
      <c r="AT301" s="809">
        <f>'[1]BUDGET DETAIL'!$CX$832</f>
        <v>183847</v>
      </c>
      <c r="AU301" s="810">
        <f t="shared" si="150"/>
        <v>6261</v>
      </c>
      <c r="AV301" s="2274">
        <f t="shared" si="144"/>
        <v>3.5256157579989414E-2</v>
      </c>
      <c r="AW301" s="1526"/>
      <c r="AX301" s="2016"/>
      <c r="AY301" s="2122"/>
      <c r="AZ301" s="2122"/>
      <c r="BA301" s="2122"/>
      <c r="BB301" s="2122"/>
      <c r="BC301" s="2239"/>
    </row>
    <row r="302" spans="1:55" ht="14" hidden="1" customHeight="1" outlineLevel="1" x14ac:dyDescent="0.25">
      <c r="A302" s="779" t="s">
        <v>577</v>
      </c>
      <c r="B302" s="775">
        <v>0</v>
      </c>
      <c r="C302" s="773">
        <v>0</v>
      </c>
      <c r="D302" s="850"/>
      <c r="E302" s="773"/>
      <c r="F302" s="851"/>
      <c r="G302" s="851"/>
      <c r="H302" s="851"/>
      <c r="I302" s="774"/>
      <c r="J302" s="806"/>
      <c r="K302" s="816">
        <v>38789</v>
      </c>
      <c r="L302" s="1051"/>
      <c r="M302" s="1051"/>
      <c r="N302" s="1052"/>
      <c r="O302" s="855">
        <v>0</v>
      </c>
      <c r="P302" s="855"/>
      <c r="Q302" s="855"/>
      <c r="R302" s="855"/>
      <c r="S302" s="855"/>
      <c r="T302" s="855"/>
      <c r="U302" s="855">
        <v>0</v>
      </c>
      <c r="V302" s="855"/>
      <c r="W302" s="788">
        <f>V302</f>
        <v>0</v>
      </c>
      <c r="X302" s="855"/>
      <c r="Y302" s="788">
        <f>X302</f>
        <v>0</v>
      </c>
      <c r="Z302" s="855"/>
      <c r="AA302" s="788">
        <f>Z302</f>
        <v>0</v>
      </c>
      <c r="AB302" s="855"/>
      <c r="AC302" s="788">
        <f>AB302</f>
        <v>0</v>
      </c>
      <c r="AD302" s="788"/>
      <c r="AE302" s="788"/>
      <c r="AF302" s="810"/>
      <c r="AG302" s="810"/>
      <c r="AH302" s="810"/>
      <c r="AI302" s="788"/>
      <c r="AJ302" s="788"/>
      <c r="AK302" s="788"/>
      <c r="AL302" s="788"/>
      <c r="AM302" s="788"/>
      <c r="AN302" s="788"/>
      <c r="AO302" s="788"/>
      <c r="AP302" s="788"/>
      <c r="AQ302" s="788"/>
      <c r="AR302" s="788"/>
      <c r="AS302" s="841"/>
      <c r="AT302" s="891"/>
      <c r="AU302" s="788" t="str">
        <f t="shared" si="150"/>
        <v/>
      </c>
      <c r="AV302" s="2272" t="str">
        <f t="shared" si="144"/>
        <v/>
      </c>
      <c r="AW302" s="778"/>
      <c r="AX302" s="2016"/>
      <c r="AY302" s="2016"/>
      <c r="AZ302" s="2016"/>
      <c r="BA302" s="2016"/>
      <c r="BB302" s="2016"/>
    </row>
    <row r="303" spans="1:55" ht="14" hidden="1" customHeight="1" outlineLevel="1" x14ac:dyDescent="0.25">
      <c r="A303" s="779" t="s">
        <v>156</v>
      </c>
      <c r="B303" s="775">
        <f>SUM(B299:B302)</f>
        <v>373842</v>
      </c>
      <c r="C303" s="775">
        <f>SUM(C299:C302)</f>
        <v>372577.06</v>
      </c>
      <c r="D303" s="775">
        <f>SUM(D299:D301)</f>
        <v>374009</v>
      </c>
      <c r="E303" s="775">
        <f>SUM(E299:E301)</f>
        <v>375007.43</v>
      </c>
      <c r="F303" s="777">
        <f>SUM(F299:F302)</f>
        <v>381268</v>
      </c>
      <c r="G303" s="777">
        <f>SUM(G299:G302)</f>
        <v>386258.22</v>
      </c>
      <c r="H303" s="773">
        <f>SUM(H299:H302)</f>
        <v>404574</v>
      </c>
      <c r="I303" s="773">
        <f>SUM(I299:I302)</f>
        <v>416045.39</v>
      </c>
      <c r="J303" s="806">
        <f>SUM(J299:J301)</f>
        <v>425549</v>
      </c>
      <c r="K303" s="827" t="s">
        <v>3</v>
      </c>
      <c r="L303" s="1053">
        <f>SUM(L299:L301)</f>
        <v>437829.81</v>
      </c>
      <c r="M303" s="1053">
        <f>SUM(M299:M301)</f>
        <v>450316</v>
      </c>
      <c r="N303" s="1054">
        <f>SUM(N299:N301)</f>
        <v>404998</v>
      </c>
      <c r="O303" s="826">
        <f>SUM(O299:O301)</f>
        <v>451152</v>
      </c>
      <c r="P303" s="826">
        <f t="shared" ref="P303:W303" si="182">SUM(P299:P302)</f>
        <v>457378</v>
      </c>
      <c r="Q303" s="826">
        <f t="shared" si="182"/>
        <v>457378</v>
      </c>
      <c r="R303" s="826">
        <f t="shared" si="182"/>
        <v>464336</v>
      </c>
      <c r="S303" s="826">
        <f t="shared" si="182"/>
        <v>0</v>
      </c>
      <c r="T303" s="826">
        <v>475630</v>
      </c>
      <c r="U303" s="826">
        <v>475630</v>
      </c>
      <c r="V303" s="826">
        <f t="shared" si="182"/>
        <v>494662</v>
      </c>
      <c r="W303" s="826">
        <f t="shared" si="182"/>
        <v>494662</v>
      </c>
      <c r="X303" s="826">
        <f t="shared" ref="X303:AC303" si="183">SUM(X299:X302)</f>
        <v>513355</v>
      </c>
      <c r="Y303" s="826">
        <f t="shared" si="183"/>
        <v>513355</v>
      </c>
      <c r="Z303" s="826">
        <f t="shared" si="183"/>
        <v>552016</v>
      </c>
      <c r="AA303" s="826">
        <f t="shared" si="183"/>
        <v>559216</v>
      </c>
      <c r="AB303" s="826">
        <f t="shared" si="183"/>
        <v>570391</v>
      </c>
      <c r="AC303" s="826">
        <f t="shared" si="183"/>
        <v>570391</v>
      </c>
      <c r="AD303" s="826"/>
      <c r="AE303" s="826">
        <v>585282</v>
      </c>
      <c r="AF303" s="810"/>
      <c r="AG303" s="810">
        <v>598271.49</v>
      </c>
      <c r="AH303" s="826">
        <v>607474</v>
      </c>
      <c r="AI303" s="1454">
        <v>621052.12</v>
      </c>
      <c r="AJ303" s="1454">
        <v>636358</v>
      </c>
      <c r="AK303" s="1454">
        <v>650703.69999999995</v>
      </c>
      <c r="AL303" s="1454">
        <v>663086</v>
      </c>
      <c r="AM303" s="1454">
        <f t="shared" ref="AM303:AN303" si="184">SUM(AM299:AM302)</f>
        <v>672859.82000000007</v>
      </c>
      <c r="AN303" s="1454">
        <f t="shared" si="184"/>
        <v>652482</v>
      </c>
      <c r="AO303" s="1454">
        <f t="shared" ref="AO303:AP303" si="185">SUM(AO299:AO302)</f>
        <v>664677.04999999993</v>
      </c>
      <c r="AP303" s="1454">
        <f t="shared" si="185"/>
        <v>666909</v>
      </c>
      <c r="AQ303" s="1454">
        <f t="shared" ref="AQ303:AR303" si="186">SUM(AQ299:AQ302)</f>
        <v>676714.06</v>
      </c>
      <c r="AR303" s="1454">
        <f t="shared" si="186"/>
        <v>683440</v>
      </c>
      <c r="AS303" s="1639">
        <f t="shared" ref="AS303:AT303" si="187">SUM(AS299:AS302)</f>
        <v>693557.08000000007</v>
      </c>
      <c r="AT303" s="826">
        <f t="shared" si="187"/>
        <v>700526</v>
      </c>
      <c r="AU303" s="1454">
        <f t="shared" si="150"/>
        <v>17086</v>
      </c>
      <c r="AV303" s="2292">
        <f t="shared" si="144"/>
        <v>2.5000000000000001E-2</v>
      </c>
      <c r="AW303" s="778"/>
      <c r="AX303" s="2016"/>
      <c r="AY303" s="2016"/>
      <c r="AZ303" s="2016"/>
      <c r="BA303" s="2016"/>
      <c r="BB303" s="2016"/>
    </row>
    <row r="304" spans="1:55" ht="14" hidden="1" customHeight="1" outlineLevel="1" x14ac:dyDescent="0.25">
      <c r="A304" s="779" t="s">
        <v>148</v>
      </c>
      <c r="B304" s="775">
        <v>0</v>
      </c>
      <c r="C304" s="775">
        <v>0</v>
      </c>
      <c r="D304" s="775"/>
      <c r="E304" s="775"/>
      <c r="F304" s="777"/>
      <c r="G304" s="777"/>
      <c r="H304" s="777"/>
      <c r="I304" s="777"/>
      <c r="J304" s="847"/>
      <c r="K304" s="827" t="s">
        <v>455</v>
      </c>
      <c r="L304" s="1055"/>
      <c r="M304" s="1055"/>
      <c r="N304" s="864"/>
      <c r="O304" s="863"/>
      <c r="P304" s="863"/>
      <c r="Q304" s="863"/>
      <c r="R304" s="1056"/>
      <c r="S304" s="1056"/>
      <c r="T304" s="1056"/>
      <c r="U304" s="1056"/>
      <c r="V304" s="1056"/>
      <c r="W304" s="1056"/>
      <c r="X304" s="1056"/>
      <c r="Y304" s="1056"/>
      <c r="Z304" s="1056"/>
      <c r="AA304" s="1056"/>
      <c r="AB304" s="1056"/>
      <c r="AC304" s="1056"/>
      <c r="AD304" s="1056"/>
      <c r="AE304" s="1056"/>
      <c r="AF304" s="810"/>
      <c r="AG304" s="810"/>
      <c r="AH304" s="810"/>
      <c r="AI304" s="863"/>
      <c r="AJ304" s="863"/>
      <c r="AK304" s="863"/>
      <c r="AL304" s="863"/>
      <c r="AM304" s="863"/>
      <c r="AN304" s="863"/>
      <c r="AO304" s="863"/>
      <c r="AP304" s="863"/>
      <c r="AQ304" s="863"/>
      <c r="AR304" s="863"/>
      <c r="AS304" s="1128"/>
      <c r="AT304" s="1056"/>
      <c r="AU304" s="863" t="str">
        <f t="shared" si="150"/>
        <v/>
      </c>
      <c r="AV304" s="2293" t="str">
        <f t="shared" si="144"/>
        <v/>
      </c>
      <c r="AW304" s="778"/>
      <c r="AX304" s="2016"/>
      <c r="AY304" s="2016"/>
      <c r="AZ304" s="2016"/>
      <c r="BA304" s="2016"/>
      <c r="BB304" s="2016"/>
    </row>
    <row r="305" spans="1:55" ht="14" hidden="1" customHeight="1" outlineLevel="1" x14ac:dyDescent="0.25">
      <c r="A305" s="842" t="s">
        <v>813</v>
      </c>
      <c r="B305" s="781">
        <f t="shared" ref="B305:I305" si="188">SUM(B303:B304)</f>
        <v>373842</v>
      </c>
      <c r="C305" s="781">
        <f t="shared" si="188"/>
        <v>372577.06</v>
      </c>
      <c r="D305" s="781">
        <f t="shared" si="188"/>
        <v>374009</v>
      </c>
      <c r="E305" s="781">
        <f t="shared" si="188"/>
        <v>375007.43</v>
      </c>
      <c r="F305" s="782">
        <f t="shared" si="188"/>
        <v>381268</v>
      </c>
      <c r="G305" s="782">
        <f t="shared" si="188"/>
        <v>386258.22</v>
      </c>
      <c r="H305" s="782">
        <f t="shared" si="188"/>
        <v>404574</v>
      </c>
      <c r="I305" s="782">
        <f t="shared" si="188"/>
        <v>416045.39</v>
      </c>
      <c r="J305" s="784">
        <f>SUM(J303:J304)</f>
        <v>425549</v>
      </c>
      <c r="K305" s="995">
        <v>38796</v>
      </c>
      <c r="L305" s="843">
        <f>SUM(L303:L304)</f>
        <v>437829.81</v>
      </c>
      <c r="M305" s="843">
        <f>SUM(M303:M304)</f>
        <v>450316</v>
      </c>
      <c r="N305" s="843">
        <f>SUM(N303:N304)</f>
        <v>404998</v>
      </c>
      <c r="O305" s="1039">
        <f>SUM(O303:O304)</f>
        <v>451152</v>
      </c>
      <c r="P305" s="1039">
        <f>SUM(P303:P304)</f>
        <v>457378</v>
      </c>
      <c r="Q305" s="820">
        <f>IF(SUM(Q303:Q304)=0,P305,SUM(Q303:Q304))</f>
        <v>457378</v>
      </c>
      <c r="R305" s="1039">
        <f>SUM(R303:R304)</f>
        <v>464336</v>
      </c>
      <c r="S305" s="819">
        <f>IF(SUM(S303:S304)=0,R305,SUM(S303:S304))</f>
        <v>464336</v>
      </c>
      <c r="T305" s="819">
        <v>475630</v>
      </c>
      <c r="U305" s="819">
        <v>475630</v>
      </c>
      <c r="V305" s="1039">
        <f>SUM(V303:V304)</f>
        <v>494662</v>
      </c>
      <c r="W305" s="819">
        <f>IF(SUM(W303:W304)=0,V305,SUM(W303:W304))</f>
        <v>494662</v>
      </c>
      <c r="X305" s="1039">
        <f>SUM(X303:X304)</f>
        <v>513355</v>
      </c>
      <c r="Y305" s="819">
        <f>IF(SUM(Y303:Y304)=0,X305,SUM(Y303:Y304))</f>
        <v>513355</v>
      </c>
      <c r="Z305" s="1039">
        <f>SUM(Z303:Z304)</f>
        <v>552016</v>
      </c>
      <c r="AA305" s="819">
        <f>IF(SUM(AA303:AA304)=0,Z305,SUM(AA303:AA304))</f>
        <v>559216</v>
      </c>
      <c r="AB305" s="1039">
        <f>SUM(AB303:AB304)</f>
        <v>570391</v>
      </c>
      <c r="AC305" s="819">
        <f>IF(SUM(AC303:AC304)=0,AB305,SUM(AC303:AC304))</f>
        <v>570391</v>
      </c>
      <c r="AD305" s="819"/>
      <c r="AE305" s="819">
        <v>585282</v>
      </c>
      <c r="AF305" s="1057">
        <v>585282</v>
      </c>
      <c r="AG305" s="1057">
        <v>598271.49</v>
      </c>
      <c r="AH305" s="819">
        <v>607474</v>
      </c>
      <c r="AI305" s="785">
        <v>621052.12</v>
      </c>
      <c r="AJ305" s="785">
        <v>636358</v>
      </c>
      <c r="AK305" s="785">
        <v>650703.69999999995</v>
      </c>
      <c r="AL305" s="785">
        <v>663086</v>
      </c>
      <c r="AM305" s="785">
        <f t="shared" ref="AM305:AR305" si="189">SUM(AM303:AM304)</f>
        <v>672859.82000000007</v>
      </c>
      <c r="AN305" s="785">
        <f t="shared" si="189"/>
        <v>652482</v>
      </c>
      <c r="AO305" s="785">
        <f t="shared" si="189"/>
        <v>664677.04999999993</v>
      </c>
      <c r="AP305" s="785">
        <f t="shared" si="189"/>
        <v>666909</v>
      </c>
      <c r="AQ305" s="785">
        <f t="shared" si="189"/>
        <v>676714.06</v>
      </c>
      <c r="AR305" s="785">
        <f t="shared" si="189"/>
        <v>683440</v>
      </c>
      <c r="AS305" s="820">
        <f t="shared" ref="AS305:AT305" si="190">SUM(AS303:AS304)</f>
        <v>693557.08000000007</v>
      </c>
      <c r="AT305" s="819">
        <f t="shared" si="190"/>
        <v>700526</v>
      </c>
      <c r="AU305" s="785">
        <f t="shared" si="150"/>
        <v>17086</v>
      </c>
      <c r="AV305" s="2275">
        <f t="shared" si="144"/>
        <v>2.5000000000000001E-2</v>
      </c>
      <c r="AW305" s="1437"/>
      <c r="AX305" s="2016"/>
      <c r="AY305" s="2016"/>
      <c r="AZ305" s="2016"/>
      <c r="BA305" s="2518">
        <f>POWER(AT305/AJ305,1/5)-1</f>
        <v>1.9399814215939948E-2</v>
      </c>
      <c r="BB305" s="2518">
        <f>POWER(AT305/AA305,1/9)-1</f>
        <v>2.5348805939992669E-2</v>
      </c>
      <c r="BC305" s="2332"/>
    </row>
    <row r="306" spans="1:55" ht="14" hidden="1" customHeight="1" outlineLevel="1" x14ac:dyDescent="0.25">
      <c r="A306" s="821"/>
      <c r="B306" s="793"/>
      <c r="C306" s="793"/>
      <c r="D306" s="892"/>
      <c r="E306" s="793"/>
      <c r="F306" s="893"/>
      <c r="G306" s="893"/>
      <c r="H306" s="893"/>
      <c r="I306" s="899"/>
      <c r="J306" s="996"/>
      <c r="K306" s="823"/>
      <c r="L306" s="829"/>
      <c r="M306" s="830"/>
      <c r="N306" s="824"/>
      <c r="O306" s="822"/>
      <c r="P306" s="822"/>
      <c r="Q306" s="822"/>
      <c r="R306" s="822"/>
      <c r="S306" s="822"/>
      <c r="T306" s="822"/>
      <c r="U306" s="822"/>
      <c r="V306" s="822"/>
      <c r="W306" s="822"/>
      <c r="X306" s="822"/>
      <c r="Y306" s="822"/>
      <c r="Z306" s="822"/>
      <c r="AA306" s="822"/>
      <c r="AB306" s="822"/>
      <c r="AC306" s="822"/>
      <c r="AD306" s="822"/>
      <c r="AE306" s="822"/>
      <c r="AF306" s="822"/>
      <c r="AG306" s="822"/>
      <c r="AH306" s="822"/>
      <c r="AI306" s="822"/>
      <c r="AJ306" s="822"/>
      <c r="AK306" s="822"/>
      <c r="AL306" s="822"/>
      <c r="AM306" s="822"/>
      <c r="AN306" s="822"/>
      <c r="AO306" s="822"/>
      <c r="AP306" s="822"/>
      <c r="AQ306" s="822"/>
      <c r="AR306" s="822"/>
      <c r="AS306" s="1160"/>
      <c r="AT306" s="823"/>
      <c r="AU306" s="822" t="str">
        <f t="shared" si="150"/>
        <v/>
      </c>
      <c r="AV306" s="2276" t="str">
        <f t="shared" si="144"/>
        <v/>
      </c>
      <c r="AW306" s="803"/>
      <c r="AX306" s="2016"/>
      <c r="AY306" s="2016"/>
      <c r="AZ306" s="2016"/>
      <c r="BA306" s="2016"/>
      <c r="BB306" s="2016"/>
    </row>
    <row r="307" spans="1:55" ht="14" hidden="1" customHeight="1" outlineLevel="1" x14ac:dyDescent="0.25">
      <c r="A307" s="1436" t="s">
        <v>1052</v>
      </c>
      <c r="B307" s="804"/>
      <c r="C307" s="804"/>
      <c r="D307" s="894"/>
      <c r="E307" s="804"/>
      <c r="F307" s="895"/>
      <c r="G307" s="895"/>
      <c r="H307" s="895"/>
      <c r="I307" s="852"/>
      <c r="J307" s="1006"/>
      <c r="K307" s="825"/>
      <c r="L307" s="831"/>
      <c r="M307" s="831"/>
      <c r="N307" s="805"/>
      <c r="O307" s="825"/>
      <c r="P307" s="825"/>
      <c r="Q307" s="825"/>
      <c r="R307" s="825"/>
      <c r="S307" s="825"/>
      <c r="T307" s="825"/>
      <c r="U307" s="825"/>
      <c r="V307" s="825"/>
      <c r="W307" s="825"/>
      <c r="X307" s="825"/>
      <c r="Y307" s="825"/>
      <c r="Z307" s="825"/>
      <c r="AA307" s="825"/>
      <c r="AB307" s="825"/>
      <c r="AC307" s="825"/>
      <c r="AD307" s="825"/>
      <c r="AE307" s="1596"/>
      <c r="AF307" s="1596"/>
      <c r="AG307" s="1596"/>
      <c r="AH307" s="1596"/>
      <c r="AI307" s="1596"/>
      <c r="AJ307" s="1596"/>
      <c r="AK307" s="1596"/>
      <c r="AL307" s="1596"/>
      <c r="AM307" s="825"/>
      <c r="AN307" s="825"/>
      <c r="AO307" s="825"/>
      <c r="AP307" s="825"/>
      <c r="AQ307" s="825"/>
      <c r="AR307" s="825"/>
      <c r="AS307" s="1110"/>
      <c r="AT307" s="1040"/>
      <c r="AU307" s="825" t="str">
        <f t="shared" si="150"/>
        <v/>
      </c>
      <c r="AV307" s="2274" t="str">
        <f t="shared" si="144"/>
        <v/>
      </c>
      <c r="AW307" s="778"/>
      <c r="AX307" s="2016"/>
      <c r="AY307" s="2016"/>
      <c r="AZ307" s="2016"/>
      <c r="BA307" s="2016"/>
      <c r="BB307" s="2016"/>
      <c r="BC307" s="2011" t="s">
        <v>1220</v>
      </c>
    </row>
    <row r="308" spans="1:55" ht="14" hidden="1" customHeight="1" outlineLevel="1" x14ac:dyDescent="0.25">
      <c r="A308" s="779" t="s">
        <v>677</v>
      </c>
      <c r="B308" s="804"/>
      <c r="C308" s="804"/>
      <c r="D308" s="894"/>
      <c r="E308" s="804"/>
      <c r="F308" s="895"/>
      <c r="G308" s="895"/>
      <c r="H308" s="895"/>
      <c r="I308" s="852"/>
      <c r="J308" s="1006"/>
      <c r="K308" s="825"/>
      <c r="L308" s="831"/>
      <c r="M308" s="831"/>
      <c r="N308" s="805"/>
      <c r="O308" s="825"/>
      <c r="P308" s="825"/>
      <c r="Q308" s="825"/>
      <c r="R308" s="825"/>
      <c r="S308" s="825"/>
      <c r="T308" s="825"/>
      <c r="U308" s="825"/>
      <c r="V308" s="825"/>
      <c r="W308" s="825"/>
      <c r="X308" s="825"/>
      <c r="Y308" s="825"/>
      <c r="Z308" s="825"/>
      <c r="AA308" s="825"/>
      <c r="AB308" s="825"/>
      <c r="AC308" s="825"/>
      <c r="AD308" s="825"/>
      <c r="AE308" s="1596"/>
      <c r="AF308" s="1596"/>
      <c r="AG308" s="1596"/>
      <c r="AH308" s="1596"/>
      <c r="AI308" s="1596"/>
      <c r="AJ308" s="1596"/>
      <c r="AK308" s="1596"/>
      <c r="AL308" s="1596"/>
      <c r="AM308" s="825"/>
      <c r="AN308" s="825"/>
      <c r="AO308" s="825"/>
      <c r="AP308" s="825"/>
      <c r="AQ308" s="825"/>
      <c r="AR308" s="825"/>
      <c r="AS308" s="1110"/>
      <c r="AT308" s="1040"/>
      <c r="AU308" s="825" t="str">
        <f t="shared" si="150"/>
        <v/>
      </c>
      <c r="AV308" s="2274" t="str">
        <f t="shared" si="144"/>
        <v/>
      </c>
      <c r="AW308" s="778"/>
      <c r="AX308" s="2016"/>
      <c r="AY308" s="2016"/>
      <c r="AZ308" s="2016"/>
      <c r="BA308" s="2016"/>
      <c r="BB308" s="2016"/>
    </row>
    <row r="309" spans="1:55" ht="14" hidden="1" customHeight="1" outlineLevel="1" x14ac:dyDescent="0.25">
      <c r="A309" s="779" t="s">
        <v>551</v>
      </c>
      <c r="B309" s="804"/>
      <c r="C309" s="804"/>
      <c r="D309" s="894"/>
      <c r="E309" s="804"/>
      <c r="F309" s="895"/>
      <c r="G309" s="895"/>
      <c r="H309" s="895"/>
      <c r="I309" s="852"/>
      <c r="J309" s="1006"/>
      <c r="K309" s="825"/>
      <c r="L309" s="831"/>
      <c r="M309" s="831"/>
      <c r="N309" s="805"/>
      <c r="O309" s="825"/>
      <c r="P309" s="825"/>
      <c r="Q309" s="825"/>
      <c r="R309" s="825"/>
      <c r="S309" s="825"/>
      <c r="T309" s="825"/>
      <c r="U309" s="825"/>
      <c r="V309" s="825"/>
      <c r="W309" s="825"/>
      <c r="X309" s="825"/>
      <c r="Y309" s="825"/>
      <c r="Z309" s="825"/>
      <c r="AA309" s="825"/>
      <c r="AB309" s="825"/>
      <c r="AC309" s="825"/>
      <c r="AD309" s="825"/>
      <c r="AE309" s="1596"/>
      <c r="AF309" s="1596"/>
      <c r="AG309" s="1596"/>
      <c r="AH309" s="1596"/>
      <c r="AI309" s="1596"/>
      <c r="AJ309" s="1596"/>
      <c r="AK309" s="1596"/>
      <c r="AL309" s="1596"/>
      <c r="AM309" s="825"/>
      <c r="AN309" s="825">
        <v>31103</v>
      </c>
      <c r="AO309" s="810">
        <v>31880.574999999997</v>
      </c>
      <c r="AP309" s="825">
        <v>31708</v>
      </c>
      <c r="AQ309" s="810">
        <f>AP309*$AH$3</f>
        <v>32342.16</v>
      </c>
      <c r="AR309" s="825">
        <v>33251</v>
      </c>
      <c r="AS309" s="1410">
        <f>AR309*$AH$3</f>
        <v>33916.020000000004</v>
      </c>
      <c r="AT309" s="1040">
        <f>'[1]BUDGET DETAIL'!$CX$837</f>
        <v>34047</v>
      </c>
      <c r="AU309" s="825">
        <f t="shared" si="150"/>
        <v>796</v>
      </c>
      <c r="AV309" s="2274">
        <f t="shared" si="144"/>
        <v>2.3939129650236084E-2</v>
      </c>
      <c r="AW309" s="778"/>
      <c r="AX309" s="2016"/>
      <c r="AY309" s="2016"/>
      <c r="AZ309" s="2016"/>
      <c r="BA309" s="2016"/>
      <c r="BB309" s="2016"/>
    </row>
    <row r="310" spans="1:55" ht="14" hidden="1" customHeight="1" outlineLevel="1" x14ac:dyDescent="0.25">
      <c r="A310" s="779" t="s">
        <v>812</v>
      </c>
      <c r="B310" s="804"/>
      <c r="C310" s="804"/>
      <c r="D310" s="894"/>
      <c r="E310" s="804"/>
      <c r="F310" s="895"/>
      <c r="G310" s="895"/>
      <c r="H310" s="895"/>
      <c r="I310" s="852"/>
      <c r="J310" s="1006"/>
      <c r="K310" s="825"/>
      <c r="L310" s="831"/>
      <c r="M310" s="831"/>
      <c r="N310" s="805"/>
      <c r="O310" s="825"/>
      <c r="P310" s="825"/>
      <c r="Q310" s="825"/>
      <c r="R310" s="825"/>
      <c r="S310" s="825"/>
      <c r="T310" s="825"/>
      <c r="U310" s="825"/>
      <c r="V310" s="825"/>
      <c r="W310" s="825"/>
      <c r="X310" s="825"/>
      <c r="Y310" s="825"/>
      <c r="Z310" s="825"/>
      <c r="AA310" s="825"/>
      <c r="AB310" s="825"/>
      <c r="AC310" s="825"/>
      <c r="AD310" s="825"/>
      <c r="AE310" s="1596"/>
      <c r="AF310" s="1596"/>
      <c r="AG310" s="1596"/>
      <c r="AH310" s="1596"/>
      <c r="AI310" s="1596"/>
      <c r="AJ310" s="1596"/>
      <c r="AK310" s="1596"/>
      <c r="AL310" s="1596"/>
      <c r="AM310" s="825"/>
      <c r="AN310" s="825">
        <v>2000</v>
      </c>
      <c r="AO310" s="810">
        <v>2000</v>
      </c>
      <c r="AP310" s="825">
        <v>2000</v>
      </c>
      <c r="AQ310" s="810">
        <f>AP310*$AH$4</f>
        <v>2000</v>
      </c>
      <c r="AR310" s="825">
        <v>2000</v>
      </c>
      <c r="AS310" s="1410">
        <f>AR310*$AH$4</f>
        <v>2000</v>
      </c>
      <c r="AT310" s="1040">
        <f>'[1]BUDGET DETAIL'!$CX$847+AX310*AY310</f>
        <v>5534</v>
      </c>
      <c r="AU310" s="825">
        <f t="shared" si="150"/>
        <v>3534</v>
      </c>
      <c r="AV310" s="2274">
        <f t="shared" si="144"/>
        <v>1.7669999999999999</v>
      </c>
      <c r="AW310" s="778"/>
      <c r="AX310" s="2016">
        <f>'Vote track budget'!F310</f>
        <v>2614</v>
      </c>
      <c r="AY310" s="2016">
        <v>1</v>
      </c>
      <c r="AZ310" s="2016">
        <f>AX310*AY310</f>
        <v>2614</v>
      </c>
      <c r="BA310" s="2016"/>
      <c r="BB310" s="2016"/>
      <c r="BC310" s="2011" t="s">
        <v>1220</v>
      </c>
    </row>
    <row r="311" spans="1:55" ht="14" hidden="1" customHeight="1" outlineLevel="1" x14ac:dyDescent="0.25">
      <c r="A311" s="842" t="s">
        <v>813</v>
      </c>
      <c r="B311" s="804"/>
      <c r="C311" s="804"/>
      <c r="D311" s="894"/>
      <c r="E311" s="804"/>
      <c r="F311" s="895"/>
      <c r="G311" s="895"/>
      <c r="H311" s="895"/>
      <c r="I311" s="852"/>
      <c r="J311" s="1006"/>
      <c r="K311" s="825"/>
      <c r="L311" s="831"/>
      <c r="M311" s="831"/>
      <c r="N311" s="805"/>
      <c r="O311" s="825"/>
      <c r="P311" s="825"/>
      <c r="Q311" s="825"/>
      <c r="R311" s="825"/>
      <c r="S311" s="825"/>
      <c r="T311" s="825"/>
      <c r="U311" s="825"/>
      <c r="V311" s="825"/>
      <c r="W311" s="825"/>
      <c r="X311" s="825"/>
      <c r="Y311" s="825"/>
      <c r="Z311" s="825"/>
      <c r="AA311" s="825"/>
      <c r="AB311" s="825"/>
      <c r="AC311" s="825"/>
      <c r="AD311" s="825"/>
      <c r="AE311" s="1596"/>
      <c r="AF311" s="1596"/>
      <c r="AG311" s="1596"/>
      <c r="AH311" s="1596"/>
      <c r="AI311" s="1596"/>
      <c r="AJ311" s="1596"/>
      <c r="AK311" s="1596"/>
      <c r="AL311" s="1596"/>
      <c r="AM311" s="825"/>
      <c r="AN311" s="827">
        <f t="shared" ref="AN311:AS311" si="191">SUM(AN308:AN310)</f>
        <v>33103</v>
      </c>
      <c r="AO311" s="827">
        <f t="shared" si="191"/>
        <v>33880.574999999997</v>
      </c>
      <c r="AP311" s="827">
        <f t="shared" si="191"/>
        <v>33708</v>
      </c>
      <c r="AQ311" s="827">
        <f t="shared" si="191"/>
        <v>34342.160000000003</v>
      </c>
      <c r="AR311" s="827">
        <f t="shared" si="191"/>
        <v>35251</v>
      </c>
      <c r="AS311" s="1127">
        <f t="shared" si="191"/>
        <v>35916.020000000004</v>
      </c>
      <c r="AT311" s="828">
        <f>SUM(AT309:AT310)</f>
        <v>39581</v>
      </c>
      <c r="AU311" s="827">
        <f t="shared" si="150"/>
        <v>4330</v>
      </c>
      <c r="AV311" s="2277">
        <f t="shared" si="144"/>
        <v>0.12283339479731072</v>
      </c>
      <c r="AW311" s="778"/>
      <c r="AX311" s="2016"/>
      <c r="AY311" s="2016"/>
      <c r="AZ311" s="2016"/>
      <c r="BA311" s="2016"/>
      <c r="BB311" s="2016"/>
      <c r="BC311" s="2332"/>
    </row>
    <row r="312" spans="1:55" ht="14" hidden="1" customHeight="1" outlineLevel="1" x14ac:dyDescent="0.25">
      <c r="A312" s="821"/>
      <c r="B312" s="793"/>
      <c r="C312" s="793"/>
      <c r="D312" s="892"/>
      <c r="E312" s="793"/>
      <c r="F312" s="893"/>
      <c r="G312" s="893"/>
      <c r="H312" s="893"/>
      <c r="I312" s="899"/>
      <c r="J312" s="996"/>
      <c r="K312" s="822"/>
      <c r="L312" s="829"/>
      <c r="M312" s="829"/>
      <c r="N312" s="824"/>
      <c r="O312" s="822"/>
      <c r="P312" s="822"/>
      <c r="Q312" s="822"/>
      <c r="R312" s="822"/>
      <c r="S312" s="822"/>
      <c r="T312" s="822"/>
      <c r="U312" s="822"/>
      <c r="V312" s="822"/>
      <c r="W312" s="822"/>
      <c r="X312" s="822"/>
      <c r="Y312" s="822"/>
      <c r="Z312" s="822"/>
      <c r="AA312" s="822"/>
      <c r="AB312" s="822"/>
      <c r="AC312" s="822"/>
      <c r="AD312" s="822"/>
      <c r="AE312" s="1597"/>
      <c r="AF312" s="1597"/>
      <c r="AG312" s="1597"/>
      <c r="AH312" s="1597"/>
      <c r="AI312" s="1597"/>
      <c r="AJ312" s="1597"/>
      <c r="AK312" s="1597"/>
      <c r="AL312" s="1597"/>
      <c r="AM312" s="822"/>
      <c r="AN312" s="822"/>
      <c r="AO312" s="822"/>
      <c r="AP312" s="822"/>
      <c r="AQ312" s="822"/>
      <c r="AR312" s="822"/>
      <c r="AS312" s="1160"/>
      <c r="AT312" s="823"/>
      <c r="AU312" s="822" t="str">
        <f t="shared" si="150"/>
        <v/>
      </c>
      <c r="AV312" s="2276" t="str">
        <f t="shared" si="144"/>
        <v/>
      </c>
      <c r="AW312" s="803"/>
      <c r="AX312" s="2016"/>
      <c r="AY312" s="2016"/>
      <c r="AZ312" s="2016"/>
      <c r="BA312" s="2016"/>
      <c r="BB312" s="2016"/>
    </row>
    <row r="313" spans="1:55" ht="14" hidden="1" customHeight="1" outlineLevel="1" x14ac:dyDescent="0.25">
      <c r="A313" s="779"/>
      <c r="B313" s="804"/>
      <c r="C313" s="804"/>
      <c r="D313" s="894"/>
      <c r="E313" s="804"/>
      <c r="F313" s="895"/>
      <c r="G313" s="895"/>
      <c r="H313" s="895"/>
      <c r="I313" s="852"/>
      <c r="J313" s="1006"/>
      <c r="K313" s="825"/>
      <c r="L313" s="831"/>
      <c r="M313" s="831"/>
      <c r="N313" s="805"/>
      <c r="O313" s="825"/>
      <c r="P313" s="825"/>
      <c r="Q313" s="825"/>
      <c r="R313" s="825"/>
      <c r="S313" s="825"/>
      <c r="T313" s="825"/>
      <c r="U313" s="825"/>
      <c r="V313" s="825"/>
      <c r="W313" s="825"/>
      <c r="X313" s="825"/>
      <c r="Y313" s="825"/>
      <c r="Z313" s="825"/>
      <c r="AA313" s="825"/>
      <c r="AB313" s="825"/>
      <c r="AC313" s="825"/>
      <c r="AD313" s="825"/>
      <c r="AE313" s="825"/>
      <c r="AF313" s="825"/>
      <c r="AG313" s="825"/>
      <c r="AH313" s="825"/>
      <c r="AI313" s="825"/>
      <c r="AJ313" s="825"/>
      <c r="AK313" s="825"/>
      <c r="AL313" s="825"/>
      <c r="AM313" s="825"/>
      <c r="AN313" s="825"/>
      <c r="AO313" s="825"/>
      <c r="AP313" s="825"/>
      <c r="AQ313" s="825"/>
      <c r="AR313" s="825"/>
      <c r="AS313" s="825"/>
      <c r="AT313" s="825"/>
      <c r="AU313" s="825" t="str">
        <f t="shared" ref="AU313:AU328" si="192">IF(AN313&gt;0,AP313-AN313,"")</f>
        <v/>
      </c>
      <c r="AV313" s="2316" t="str">
        <f t="shared" si="144"/>
        <v/>
      </c>
      <c r="AW313" s="778"/>
      <c r="AX313" s="2016"/>
      <c r="AY313" s="2016"/>
      <c r="AZ313" s="2016"/>
      <c r="BA313" s="2016"/>
      <c r="BB313" s="2016"/>
      <c r="BC313" s="2011" t="s">
        <v>1072</v>
      </c>
    </row>
    <row r="314" spans="1:55" ht="14" hidden="1" customHeight="1" outlineLevel="1" x14ac:dyDescent="0.25">
      <c r="A314" s="779"/>
      <c r="B314" s="804"/>
      <c r="C314" s="804"/>
      <c r="D314" s="894"/>
      <c r="E314" s="804"/>
      <c r="F314" s="895"/>
      <c r="G314" s="895"/>
      <c r="H314" s="895"/>
      <c r="I314" s="852"/>
      <c r="J314" s="1006"/>
      <c r="K314" s="825"/>
      <c r="L314" s="831"/>
      <c r="M314" s="831"/>
      <c r="N314" s="805"/>
      <c r="O314" s="825"/>
      <c r="P314" s="825"/>
      <c r="Q314" s="825"/>
      <c r="R314" s="825"/>
      <c r="S314" s="825"/>
      <c r="T314" s="825"/>
      <c r="U314" s="825"/>
      <c r="V314" s="825"/>
      <c r="W314" s="825"/>
      <c r="X314" s="825"/>
      <c r="Y314" s="825"/>
      <c r="Z314" s="825"/>
      <c r="AA314" s="825"/>
      <c r="AB314" s="825"/>
      <c r="AC314" s="825"/>
      <c r="AD314" s="825"/>
      <c r="AE314" s="825"/>
      <c r="AF314" s="825"/>
      <c r="AG314" s="825"/>
      <c r="AH314" s="825"/>
      <c r="AI314" s="825"/>
      <c r="AJ314" s="825"/>
      <c r="AK314" s="825"/>
      <c r="AL314" s="825"/>
      <c r="AM314" s="825"/>
      <c r="AN314" s="825"/>
      <c r="AO314" s="825"/>
      <c r="AP314" s="825"/>
      <c r="AQ314" s="825"/>
      <c r="AR314" s="825"/>
      <c r="AS314" s="825"/>
      <c r="AT314" s="825"/>
      <c r="AU314" s="825" t="str">
        <f t="shared" si="192"/>
        <v/>
      </c>
      <c r="AV314" s="2316" t="str">
        <f t="shared" si="144"/>
        <v/>
      </c>
      <c r="AW314" s="778"/>
      <c r="AX314" s="2016"/>
      <c r="AY314" s="2016"/>
      <c r="AZ314" s="2016"/>
      <c r="BA314" s="2016"/>
      <c r="BB314" s="2016"/>
      <c r="BC314" s="2011" t="s">
        <v>1072</v>
      </c>
    </row>
    <row r="315" spans="1:55" ht="14" hidden="1" customHeight="1" outlineLevel="1" x14ac:dyDescent="0.25">
      <c r="A315" s="779" t="s">
        <v>149</v>
      </c>
      <c r="B315" s="804"/>
      <c r="C315" s="804"/>
      <c r="D315" s="894"/>
      <c r="E315" s="804"/>
      <c r="F315" s="895"/>
      <c r="G315" s="895"/>
      <c r="H315" s="895"/>
      <c r="I315" s="852"/>
      <c r="J315" s="847"/>
      <c r="K315" s="788"/>
      <c r="L315" s="855"/>
      <c r="M315" s="855"/>
      <c r="N315" s="813"/>
      <c r="O315" s="788"/>
      <c r="P315" s="788"/>
      <c r="Q315" s="788"/>
      <c r="R315" s="788"/>
      <c r="S315" s="788"/>
      <c r="T315" s="788"/>
      <c r="U315" s="788"/>
      <c r="V315" s="788"/>
      <c r="W315" s="788"/>
      <c r="X315" s="788"/>
      <c r="Y315" s="788"/>
      <c r="Z315" s="788"/>
      <c r="AA315" s="788"/>
      <c r="AB315" s="788"/>
      <c r="AC315" s="788"/>
      <c r="AD315" s="788"/>
      <c r="AE315" s="788"/>
      <c r="AF315" s="788"/>
      <c r="AG315" s="788"/>
      <c r="AH315" s="788"/>
      <c r="AI315" s="1030"/>
      <c r="AJ315" s="1030"/>
      <c r="AK315" s="1030"/>
      <c r="AL315" s="1030"/>
      <c r="AM315" s="1030"/>
      <c r="AN315" s="1030"/>
      <c r="AO315" s="1030"/>
      <c r="AP315" s="1030"/>
      <c r="AQ315" s="1030"/>
      <c r="AR315" s="1030"/>
      <c r="AS315" s="1030"/>
      <c r="AT315" s="1030"/>
      <c r="AU315" s="1030" t="str">
        <f t="shared" si="192"/>
        <v/>
      </c>
      <c r="AV315" s="2320" t="str">
        <f t="shared" si="144"/>
        <v/>
      </c>
      <c r="AW315" s="778"/>
      <c r="AX315" s="2016"/>
      <c r="AY315" s="2016"/>
      <c r="AZ315" s="2016"/>
      <c r="BA315" s="2016"/>
      <c r="BB315" s="2016"/>
      <c r="BC315" s="2011" t="s">
        <v>1072</v>
      </c>
    </row>
    <row r="316" spans="1:55" ht="14" hidden="1" customHeight="1" outlineLevel="1" x14ac:dyDescent="0.25">
      <c r="A316" s="779" t="s">
        <v>677</v>
      </c>
      <c r="B316" s="775">
        <v>54553</v>
      </c>
      <c r="C316" s="773">
        <v>54553</v>
      </c>
      <c r="D316" s="850">
        <v>56190</v>
      </c>
      <c r="E316" s="773">
        <v>56190</v>
      </c>
      <c r="F316" s="851">
        <v>56190</v>
      </c>
      <c r="G316" s="851">
        <v>56190</v>
      </c>
      <c r="H316" s="851">
        <v>57465</v>
      </c>
      <c r="I316" s="774">
        <v>57465</v>
      </c>
      <c r="J316" s="806">
        <v>60335</v>
      </c>
      <c r="K316" s="788"/>
      <c r="L316" s="840">
        <v>61937</v>
      </c>
      <c r="M316" s="807">
        <v>63583</v>
      </c>
      <c r="N316" s="808">
        <v>65272</v>
      </c>
      <c r="O316" s="788">
        <v>65272</v>
      </c>
      <c r="P316" s="788">
        <v>65272</v>
      </c>
      <c r="Q316" s="788">
        <v>65272</v>
      </c>
      <c r="R316" s="788">
        <v>65272</v>
      </c>
      <c r="S316" s="788"/>
      <c r="T316" s="788">
        <v>67307</v>
      </c>
      <c r="U316" s="788">
        <v>67307</v>
      </c>
      <c r="V316" s="810">
        <v>68618</v>
      </c>
      <c r="W316" s="788">
        <f>V316</f>
        <v>68618</v>
      </c>
      <c r="X316" s="810">
        <v>69955</v>
      </c>
      <c r="Y316" s="810">
        <v>69955</v>
      </c>
      <c r="Z316" s="810">
        <v>73643</v>
      </c>
      <c r="AA316" s="810">
        <f>Z316</f>
        <v>73643</v>
      </c>
      <c r="AB316" s="810">
        <v>82786</v>
      </c>
      <c r="AC316" s="810">
        <f>AB316</f>
        <v>82786</v>
      </c>
      <c r="AD316" s="810"/>
      <c r="AE316" s="810">
        <v>86270</v>
      </c>
      <c r="AF316" s="810"/>
      <c r="AG316" s="1410"/>
      <c r="AH316" s="1410"/>
      <c r="AI316" s="1031"/>
      <c r="AJ316" s="1031"/>
      <c r="AK316" s="1031"/>
      <c r="AL316" s="1031"/>
      <c r="AM316" s="1031"/>
      <c r="AN316" s="1031"/>
      <c r="AO316" s="1031"/>
      <c r="AP316" s="1031"/>
      <c r="AQ316" s="1031"/>
      <c r="AR316" s="1031"/>
      <c r="AS316" s="1031"/>
      <c r="AT316" s="1031"/>
      <c r="AU316" s="1031" t="str">
        <f t="shared" si="192"/>
        <v/>
      </c>
      <c r="AV316" s="2326" t="str">
        <f t="shared" si="144"/>
        <v/>
      </c>
      <c r="AW316" s="778"/>
      <c r="AX316" s="2016"/>
      <c r="AY316" s="2016"/>
      <c r="AZ316" s="2016"/>
      <c r="BA316" s="2016"/>
      <c r="BB316" s="2016"/>
      <c r="BC316" s="2011" t="s">
        <v>1072</v>
      </c>
    </row>
    <row r="317" spans="1:55" ht="14" hidden="1" customHeight="1" outlineLevel="1" x14ac:dyDescent="0.25">
      <c r="A317" s="779" t="s">
        <v>551</v>
      </c>
      <c r="B317" s="775">
        <v>116818</v>
      </c>
      <c r="C317" s="773">
        <v>98205.6</v>
      </c>
      <c r="D317" s="850">
        <v>124824</v>
      </c>
      <c r="E317" s="773">
        <v>114950.56</v>
      </c>
      <c r="F317" s="851">
        <v>124824</v>
      </c>
      <c r="G317" s="851">
        <v>115643.07</v>
      </c>
      <c r="H317" s="851">
        <v>107078</v>
      </c>
      <c r="I317" s="774">
        <v>99729.88</v>
      </c>
      <c r="J317" s="806">
        <v>109588</v>
      </c>
      <c r="K317" s="788"/>
      <c r="L317" s="840">
        <v>113707.89</v>
      </c>
      <c r="M317" s="807">
        <v>120731</v>
      </c>
      <c r="N317" s="808">
        <v>116517</v>
      </c>
      <c r="O317" s="788">
        <f>116517+4690</f>
        <v>121207</v>
      </c>
      <c r="P317" s="788">
        <v>121207</v>
      </c>
      <c r="Q317" s="788">
        <v>121207</v>
      </c>
      <c r="R317" s="788">
        <v>121557</v>
      </c>
      <c r="S317" s="788"/>
      <c r="T317" s="788">
        <v>122408</v>
      </c>
      <c r="U317" s="788">
        <v>122408</v>
      </c>
      <c r="V317" s="810">
        <v>124755</v>
      </c>
      <c r="W317" s="788">
        <f>V317</f>
        <v>124755</v>
      </c>
      <c r="X317" s="810">
        <v>131582</v>
      </c>
      <c r="Y317" s="810">
        <v>131582</v>
      </c>
      <c r="Z317" s="810">
        <v>140314</v>
      </c>
      <c r="AA317" s="810">
        <f>Z317+2237</f>
        <v>142551</v>
      </c>
      <c r="AB317" s="810">
        <v>147474</v>
      </c>
      <c r="AC317" s="810">
        <f>AB317</f>
        <v>147474</v>
      </c>
      <c r="AD317" s="810"/>
      <c r="AE317" s="810">
        <v>148765</v>
      </c>
      <c r="AF317" s="810"/>
      <c r="AG317" s="1410"/>
      <c r="AH317" s="1410"/>
      <c r="AI317" s="1031"/>
      <c r="AJ317" s="1031"/>
      <c r="AK317" s="1031"/>
      <c r="AL317" s="1031"/>
      <c r="AM317" s="1031"/>
      <c r="AN317" s="1031"/>
      <c r="AO317" s="1031"/>
      <c r="AP317" s="1031"/>
      <c r="AQ317" s="1031"/>
      <c r="AR317" s="1031"/>
      <c r="AS317" s="1031"/>
      <c r="AT317" s="1031"/>
      <c r="AU317" s="1031" t="str">
        <f t="shared" si="192"/>
        <v/>
      </c>
      <c r="AV317" s="2326" t="str">
        <f t="shared" si="144"/>
        <v/>
      </c>
      <c r="AW317" s="778"/>
      <c r="AX317" s="2016"/>
      <c r="AY317" s="2016"/>
      <c r="AZ317" s="2016"/>
      <c r="BA317" s="2016"/>
      <c r="BB317" s="2016"/>
      <c r="BC317" s="2011" t="s">
        <v>1072</v>
      </c>
    </row>
    <row r="318" spans="1:55" ht="14" hidden="1" customHeight="1" outlineLevel="1" x14ac:dyDescent="0.25">
      <c r="A318" s="779" t="s">
        <v>812</v>
      </c>
      <c r="B318" s="775">
        <v>54175</v>
      </c>
      <c r="C318" s="773">
        <v>58673.94</v>
      </c>
      <c r="D318" s="850">
        <v>52283</v>
      </c>
      <c r="E318" s="773">
        <v>45238.98</v>
      </c>
      <c r="F318" s="851">
        <v>54784</v>
      </c>
      <c r="G318" s="851">
        <f>52070.25+325</f>
        <v>52395.25</v>
      </c>
      <c r="H318" s="851">
        <v>53060</v>
      </c>
      <c r="I318" s="774">
        <v>45700</v>
      </c>
      <c r="J318" s="806">
        <v>54364</v>
      </c>
      <c r="K318" s="788"/>
      <c r="L318" s="812">
        <v>44901.279999999999</v>
      </c>
      <c r="M318" s="855">
        <v>56594</v>
      </c>
      <c r="N318" s="813">
        <v>39764</v>
      </c>
      <c r="O318" s="788">
        <f>39764+4010</f>
        <v>43774</v>
      </c>
      <c r="P318" s="788">
        <v>44261</v>
      </c>
      <c r="Q318" s="788">
        <v>44261</v>
      </c>
      <c r="R318" s="788">
        <v>45176</v>
      </c>
      <c r="S318" s="788"/>
      <c r="T318" s="788">
        <v>47640</v>
      </c>
      <c r="U318" s="788">
        <v>47640</v>
      </c>
      <c r="V318" s="810">
        <v>48593</v>
      </c>
      <c r="W318" s="788">
        <f>V318</f>
        <v>48593</v>
      </c>
      <c r="X318" s="810">
        <v>51593</v>
      </c>
      <c r="Y318" s="810">
        <v>51593</v>
      </c>
      <c r="Z318" s="810">
        <v>53018</v>
      </c>
      <c r="AA318" s="810">
        <f>Z318</f>
        <v>53018</v>
      </c>
      <c r="AB318" s="810">
        <v>54608</v>
      </c>
      <c r="AC318" s="810">
        <f>AB318</f>
        <v>54608</v>
      </c>
      <c r="AD318" s="810"/>
      <c r="AE318" s="810">
        <v>55700</v>
      </c>
      <c r="AF318" s="810"/>
      <c r="AG318" s="1410"/>
      <c r="AH318" s="1410"/>
      <c r="AI318" s="1031"/>
      <c r="AJ318" s="1031"/>
      <c r="AK318" s="1031"/>
      <c r="AL318" s="1031"/>
      <c r="AM318" s="1031"/>
      <c r="AN318" s="1031"/>
      <c r="AO318" s="1031"/>
      <c r="AP318" s="1031"/>
      <c r="AQ318" s="1031"/>
      <c r="AR318" s="1031"/>
      <c r="AS318" s="1031"/>
      <c r="AT318" s="1031"/>
      <c r="AU318" s="1031" t="str">
        <f t="shared" si="192"/>
        <v/>
      </c>
      <c r="AV318" s="2326" t="str">
        <f t="shared" si="144"/>
        <v/>
      </c>
      <c r="AW318" s="778"/>
      <c r="AX318" s="2016"/>
      <c r="AY318" s="2016"/>
      <c r="AZ318" s="2016"/>
      <c r="BA318" s="2016"/>
      <c r="BB318" s="2016"/>
      <c r="BC318" s="2011" t="s">
        <v>1072</v>
      </c>
    </row>
    <row r="319" spans="1:55" ht="14" hidden="1" customHeight="1" outlineLevel="1" x14ac:dyDescent="0.25">
      <c r="A319" s="779" t="s">
        <v>93</v>
      </c>
      <c r="B319" s="775">
        <v>0</v>
      </c>
      <c r="C319" s="773">
        <v>0</v>
      </c>
      <c r="D319" s="775"/>
      <c r="E319" s="773"/>
      <c r="F319" s="777"/>
      <c r="G319" s="777"/>
      <c r="H319" s="777"/>
      <c r="I319" s="774"/>
      <c r="J319" s="806"/>
      <c r="K319" s="788"/>
      <c r="L319" s="812"/>
      <c r="M319" s="812"/>
      <c r="N319" s="813"/>
      <c r="O319" s="788"/>
      <c r="P319" s="788"/>
      <c r="Q319" s="788"/>
      <c r="R319" s="788"/>
      <c r="S319" s="788"/>
      <c r="T319" s="788"/>
      <c r="U319" s="788"/>
      <c r="V319" s="788"/>
      <c r="W319" s="788"/>
      <c r="X319" s="788"/>
      <c r="Y319" s="788"/>
      <c r="Z319" s="788"/>
      <c r="AA319" s="788"/>
      <c r="AB319" s="788"/>
      <c r="AC319" s="788"/>
      <c r="AD319" s="788"/>
      <c r="AE319" s="788"/>
      <c r="AF319" s="788"/>
      <c r="AG319" s="841"/>
      <c r="AH319" s="841"/>
      <c r="AI319" s="1031"/>
      <c r="AJ319" s="1031"/>
      <c r="AK319" s="1031"/>
      <c r="AL319" s="1031"/>
      <c r="AM319" s="1031"/>
      <c r="AN319" s="1031"/>
      <c r="AO319" s="1031"/>
      <c r="AP319" s="1031"/>
      <c r="AQ319" s="1031"/>
      <c r="AR319" s="1031"/>
      <c r="AS319" s="1031"/>
      <c r="AT319" s="1031"/>
      <c r="AU319" s="1031" t="str">
        <f t="shared" si="192"/>
        <v/>
      </c>
      <c r="AV319" s="2326" t="str">
        <f t="shared" si="144"/>
        <v/>
      </c>
      <c r="AW319" s="778"/>
      <c r="AX319" s="2016"/>
      <c r="AY319" s="2016"/>
      <c r="AZ319" s="2016"/>
      <c r="BA319" s="2016"/>
      <c r="BB319" s="2016"/>
      <c r="BC319" s="2011" t="s">
        <v>1072</v>
      </c>
    </row>
    <row r="320" spans="1:55" ht="14" hidden="1" customHeight="1" outlineLevel="1" x14ac:dyDescent="0.25">
      <c r="A320" s="779" t="s">
        <v>622</v>
      </c>
      <c r="B320" s="775">
        <v>0</v>
      </c>
      <c r="C320" s="773">
        <v>0</v>
      </c>
      <c r="D320" s="775"/>
      <c r="E320" s="773"/>
      <c r="F320" s="777"/>
      <c r="G320" s="777"/>
      <c r="H320" s="777"/>
      <c r="I320" s="774"/>
      <c r="J320" s="806"/>
      <c r="K320" s="827"/>
      <c r="L320" s="1055"/>
      <c r="M320" s="1055"/>
      <c r="N320" s="864"/>
      <c r="O320" s="827"/>
      <c r="P320" s="827"/>
      <c r="Q320" s="827"/>
      <c r="R320" s="827"/>
      <c r="S320" s="827"/>
      <c r="T320" s="827"/>
      <c r="U320" s="827"/>
      <c r="V320" s="827"/>
      <c r="W320" s="827"/>
      <c r="X320" s="827"/>
      <c r="Y320" s="827"/>
      <c r="Z320" s="827"/>
      <c r="AA320" s="827"/>
      <c r="AB320" s="827"/>
      <c r="AC320" s="827"/>
      <c r="AD320" s="827"/>
      <c r="AE320" s="827"/>
      <c r="AF320" s="827"/>
      <c r="AG320" s="1127"/>
      <c r="AH320" s="1127"/>
      <c r="AI320" s="1031"/>
      <c r="AJ320" s="1031"/>
      <c r="AK320" s="1031"/>
      <c r="AL320" s="1031"/>
      <c r="AM320" s="1031"/>
      <c r="AN320" s="1031"/>
      <c r="AO320" s="1031"/>
      <c r="AP320" s="1031"/>
      <c r="AQ320" s="1031"/>
      <c r="AR320" s="1031"/>
      <c r="AS320" s="1031"/>
      <c r="AT320" s="1031"/>
      <c r="AU320" s="1031" t="str">
        <f t="shared" si="192"/>
        <v/>
      </c>
      <c r="AV320" s="2326" t="str">
        <f t="shared" si="144"/>
        <v/>
      </c>
      <c r="AW320" s="778"/>
      <c r="AX320" s="2016"/>
      <c r="AY320" s="2016"/>
      <c r="AZ320" s="2016"/>
      <c r="BA320" s="2016"/>
      <c r="BB320" s="2016"/>
      <c r="BC320" s="2011" t="s">
        <v>1072</v>
      </c>
    </row>
    <row r="321" spans="1:55" ht="14" hidden="1" customHeight="1" outlineLevel="1" x14ac:dyDescent="0.25">
      <c r="A321" s="842" t="s">
        <v>813</v>
      </c>
      <c r="B321" s="781">
        <f>SUM(B316:B320)</f>
        <v>225546</v>
      </c>
      <c r="C321" s="781">
        <f>SUM(C316:C320)</f>
        <v>211432.54</v>
      </c>
      <c r="D321" s="781">
        <f t="shared" ref="D321:N321" si="193">SUM(D316:D320)</f>
        <v>233297</v>
      </c>
      <c r="E321" s="781">
        <f t="shared" si="193"/>
        <v>216379.54</v>
      </c>
      <c r="F321" s="781">
        <f t="shared" si="193"/>
        <v>235798</v>
      </c>
      <c r="G321" s="781">
        <f t="shared" si="193"/>
        <v>224228.32</v>
      </c>
      <c r="H321" s="781">
        <f t="shared" si="193"/>
        <v>217603</v>
      </c>
      <c r="I321" s="781">
        <f>SUM(I316:I318)</f>
        <v>202894.88</v>
      </c>
      <c r="J321" s="784">
        <f t="shared" si="193"/>
        <v>224287</v>
      </c>
      <c r="K321" s="819" t="s">
        <v>455</v>
      </c>
      <c r="L321" s="843">
        <f t="shared" si="193"/>
        <v>220546.17</v>
      </c>
      <c r="M321" s="843">
        <f t="shared" si="193"/>
        <v>240908</v>
      </c>
      <c r="N321" s="844">
        <f t="shared" si="193"/>
        <v>221553</v>
      </c>
      <c r="O321" s="785">
        <f>SUM(O316:O318)</f>
        <v>230253</v>
      </c>
      <c r="P321" s="785">
        <f>SUM(P316:P318)</f>
        <v>230740</v>
      </c>
      <c r="Q321" s="785">
        <f>IF(SUM(Q316:Q318)=0,P321,SUM(Q316:Q318))</f>
        <v>230740</v>
      </c>
      <c r="R321" s="785">
        <f>SUM(R316:R318)</f>
        <v>232005</v>
      </c>
      <c r="S321" s="785">
        <f>IF(SUM(S316:S318)=0,R321,SUM(S316:S318))</f>
        <v>232005</v>
      </c>
      <c r="T321" s="785">
        <v>237355</v>
      </c>
      <c r="U321" s="785">
        <v>237355</v>
      </c>
      <c r="V321" s="785">
        <f>SUM(V316:V318)</f>
        <v>241966</v>
      </c>
      <c r="W321" s="785">
        <f>IF(SUM(W316:W318)=0,V321,SUM(W316:W318))</f>
        <v>241966</v>
      </c>
      <c r="X321" s="785">
        <f>SUM(X316:X318)</f>
        <v>253130</v>
      </c>
      <c r="Y321" s="785">
        <f>IF(SUM(Y316:Y318)=0,X321,SUM(Y316:Y318))</f>
        <v>253130</v>
      </c>
      <c r="Z321" s="785">
        <f>SUM(Z316:Z318)</f>
        <v>266975</v>
      </c>
      <c r="AA321" s="785">
        <f>IF(SUM(AA316:AA318)=0,Z321,SUM(AA316:AA318))</f>
        <v>269212</v>
      </c>
      <c r="AB321" s="785">
        <f>SUM(AB316:AB318)</f>
        <v>284868</v>
      </c>
      <c r="AC321" s="785">
        <f>IF(SUM(AC316:AC318)=0,AB321,SUM(AC316:AC318))</f>
        <v>284868</v>
      </c>
      <c r="AD321" s="785"/>
      <c r="AE321" s="785">
        <v>290735</v>
      </c>
      <c r="AF321" s="785">
        <v>290735</v>
      </c>
      <c r="AG321" s="820"/>
      <c r="AH321" s="820"/>
      <c r="AI321" s="1031"/>
      <c r="AJ321" s="1031"/>
      <c r="AK321" s="1031"/>
      <c r="AL321" s="1031"/>
      <c r="AM321" s="1031"/>
      <c r="AN321" s="1031"/>
      <c r="AO321" s="1031"/>
      <c r="AP321" s="1031"/>
      <c r="AQ321" s="1031"/>
      <c r="AR321" s="1031"/>
      <c r="AS321" s="1031"/>
      <c r="AT321" s="1031"/>
      <c r="AU321" s="1031" t="str">
        <f t="shared" si="192"/>
        <v/>
      </c>
      <c r="AV321" s="2326" t="str">
        <f t="shared" si="144"/>
        <v/>
      </c>
      <c r="AW321" s="778"/>
      <c r="AX321" s="2016"/>
      <c r="AY321" s="2016"/>
      <c r="AZ321" s="2016"/>
      <c r="BA321" s="2016"/>
      <c r="BB321" s="2016"/>
      <c r="BC321" s="2011" t="s">
        <v>1072</v>
      </c>
    </row>
    <row r="322" spans="1:55" ht="14" hidden="1" customHeight="1" outlineLevel="1" x14ac:dyDescent="0.25">
      <c r="A322" s="821"/>
      <c r="B322" s="793"/>
      <c r="C322" s="793"/>
      <c r="D322" s="892"/>
      <c r="E322" s="793"/>
      <c r="F322" s="893"/>
      <c r="G322" s="893"/>
      <c r="H322" s="893"/>
      <c r="I322" s="899"/>
      <c r="J322" s="996"/>
      <c r="K322" s="823"/>
      <c r="L322" s="829"/>
      <c r="M322" s="830"/>
      <c r="N322" s="824"/>
      <c r="O322" s="822"/>
      <c r="P322" s="822"/>
      <c r="Q322" s="822"/>
      <c r="R322" s="822"/>
      <c r="S322" s="822"/>
      <c r="T322" s="822"/>
      <c r="U322" s="822"/>
      <c r="V322" s="822"/>
      <c r="W322" s="822"/>
      <c r="X322" s="822"/>
      <c r="Y322" s="822"/>
      <c r="Z322" s="822"/>
      <c r="AA322" s="822"/>
      <c r="AB322" s="822"/>
      <c r="AC322" s="822"/>
      <c r="AD322" s="822"/>
      <c r="AE322" s="822"/>
      <c r="AF322" s="822"/>
      <c r="AG322" s="822"/>
      <c r="AH322" s="822"/>
      <c r="AI322" s="1034"/>
      <c r="AJ322" s="1034"/>
      <c r="AK322" s="1034"/>
      <c r="AL322" s="1034"/>
      <c r="AM322" s="1034"/>
      <c r="AN322" s="1034"/>
      <c r="AO322" s="1034"/>
      <c r="AP322" s="1034"/>
      <c r="AQ322" s="1034"/>
      <c r="AR322" s="1034"/>
      <c r="AS322" s="1034"/>
      <c r="AT322" s="1034"/>
      <c r="AU322" s="1034" t="str">
        <f t="shared" si="192"/>
        <v/>
      </c>
      <c r="AV322" s="2322" t="str">
        <f t="shared" si="144"/>
        <v/>
      </c>
      <c r="AW322" s="803"/>
      <c r="AX322" s="2016"/>
      <c r="AY322" s="2016"/>
      <c r="AZ322" s="2016"/>
      <c r="BA322" s="2016"/>
      <c r="BB322" s="2016"/>
      <c r="BC322" s="2011" t="s">
        <v>1072</v>
      </c>
    </row>
    <row r="323" spans="1:55" ht="14" hidden="1" customHeight="1" outlineLevel="1" x14ac:dyDescent="0.25">
      <c r="A323" s="779" t="s">
        <v>498</v>
      </c>
      <c r="B323" s="804"/>
      <c r="C323" s="804"/>
      <c r="D323" s="894"/>
      <c r="E323" s="804"/>
      <c r="F323" s="895"/>
      <c r="G323" s="895"/>
      <c r="H323" s="895"/>
      <c r="I323" s="852"/>
      <c r="J323" s="847"/>
      <c r="K323" s="788"/>
      <c r="L323" s="855"/>
      <c r="M323" s="855"/>
      <c r="N323" s="813"/>
      <c r="O323" s="788"/>
      <c r="P323" s="788"/>
      <c r="Q323" s="788"/>
      <c r="R323" s="788"/>
      <c r="S323" s="788"/>
      <c r="T323" s="788"/>
      <c r="U323" s="788"/>
      <c r="V323" s="788"/>
      <c r="W323" s="788"/>
      <c r="X323" s="788"/>
      <c r="Y323" s="788"/>
      <c r="Z323" s="788"/>
      <c r="AA323" s="788"/>
      <c r="AB323" s="788"/>
      <c r="AC323" s="788"/>
      <c r="AD323" s="788"/>
      <c r="AE323" s="788"/>
      <c r="AF323" s="788"/>
      <c r="AG323" s="788"/>
      <c r="AH323" s="788"/>
      <c r="AI323" s="1030"/>
      <c r="AJ323" s="1030"/>
      <c r="AK323" s="1030"/>
      <c r="AL323" s="1030"/>
      <c r="AM323" s="1030"/>
      <c r="AN323" s="1030"/>
      <c r="AO323" s="1030"/>
      <c r="AP323" s="1030"/>
      <c r="AQ323" s="1030"/>
      <c r="AR323" s="1030"/>
      <c r="AS323" s="1030"/>
      <c r="AT323" s="1030"/>
      <c r="AU323" s="1030" t="str">
        <f t="shared" si="192"/>
        <v/>
      </c>
      <c r="AV323" s="2320" t="str">
        <f t="shared" si="144"/>
        <v/>
      </c>
      <c r="AW323" s="778"/>
      <c r="AX323" s="2016"/>
      <c r="AY323" s="2016"/>
      <c r="AZ323" s="2016"/>
      <c r="BA323" s="2016"/>
      <c r="BB323" s="2016"/>
      <c r="BC323" s="2011" t="s">
        <v>1072</v>
      </c>
    </row>
    <row r="324" spans="1:55" ht="14" hidden="1" customHeight="1" outlineLevel="1" x14ac:dyDescent="0.25">
      <c r="A324" s="779" t="s">
        <v>560</v>
      </c>
      <c r="B324" s="775">
        <v>2654</v>
      </c>
      <c r="C324" s="773">
        <v>2654</v>
      </c>
      <c r="D324" s="850">
        <v>2654</v>
      </c>
      <c r="E324" s="773">
        <v>2654</v>
      </c>
      <c r="F324" s="851">
        <v>2654</v>
      </c>
      <c r="G324" s="851">
        <v>2654</v>
      </c>
      <c r="H324" s="851">
        <v>2714</v>
      </c>
      <c r="I324" s="774">
        <v>2714</v>
      </c>
      <c r="J324" s="806">
        <v>2768</v>
      </c>
      <c r="K324" s="788"/>
      <c r="L324" s="840">
        <v>2840</v>
      </c>
      <c r="M324" s="807">
        <v>2916</v>
      </c>
      <c r="N324" s="808">
        <v>2916</v>
      </c>
      <c r="O324" s="788">
        <v>2916</v>
      </c>
      <c r="P324" s="788">
        <v>2916</v>
      </c>
      <c r="Q324" s="788">
        <v>2916</v>
      </c>
      <c r="R324" s="788">
        <v>2916</v>
      </c>
      <c r="S324" s="788"/>
      <c r="T324" s="788">
        <v>2975</v>
      </c>
      <c r="U324" s="788">
        <v>2975</v>
      </c>
      <c r="V324" s="810">
        <v>3035</v>
      </c>
      <c r="W324" s="788">
        <f>V324</f>
        <v>3035</v>
      </c>
      <c r="X324" s="810">
        <v>3096</v>
      </c>
      <c r="Y324" s="810">
        <v>3096</v>
      </c>
      <c r="Z324" s="810">
        <v>3158</v>
      </c>
      <c r="AA324" s="810">
        <f>Z324</f>
        <v>3158</v>
      </c>
      <c r="AB324" s="810">
        <v>3222</v>
      </c>
      <c r="AC324" s="810">
        <f>AB324</f>
        <v>3222</v>
      </c>
      <c r="AD324" s="810"/>
      <c r="AE324" s="810">
        <v>3287</v>
      </c>
      <c r="AF324" s="810"/>
      <c r="AG324" s="1410"/>
      <c r="AH324" s="1410"/>
      <c r="AI324" s="1031"/>
      <c r="AJ324" s="1031"/>
      <c r="AK324" s="1031"/>
      <c r="AL324" s="1031"/>
      <c r="AM324" s="1031"/>
      <c r="AN324" s="1031"/>
      <c r="AO324" s="1031"/>
      <c r="AP324" s="1031"/>
      <c r="AQ324" s="1031"/>
      <c r="AR324" s="1031"/>
      <c r="AS324" s="1031"/>
      <c r="AT324" s="1031"/>
      <c r="AU324" s="1031" t="str">
        <f t="shared" si="192"/>
        <v/>
      </c>
      <c r="AV324" s="2326" t="str">
        <f t="shared" si="144"/>
        <v/>
      </c>
      <c r="AW324" s="778"/>
      <c r="AX324" s="2016"/>
      <c r="AY324" s="2016"/>
      <c r="AZ324" s="2016"/>
      <c r="BA324" s="2016"/>
      <c r="BB324" s="2016"/>
      <c r="BC324" s="2011" t="s">
        <v>1072</v>
      </c>
    </row>
    <row r="325" spans="1:55" ht="14" hidden="1" customHeight="1" outlineLevel="1" x14ac:dyDescent="0.25">
      <c r="A325" s="779" t="s">
        <v>551</v>
      </c>
      <c r="B325" s="775">
        <v>2795</v>
      </c>
      <c r="C325" s="773">
        <v>1203.72</v>
      </c>
      <c r="D325" s="850">
        <v>2795</v>
      </c>
      <c r="E325" s="773">
        <v>921.79</v>
      </c>
      <c r="F325" s="851">
        <v>2795</v>
      </c>
      <c r="G325" s="851">
        <v>1252.1600000000001</v>
      </c>
      <c r="H325" s="851">
        <v>2860</v>
      </c>
      <c r="I325" s="774">
        <v>1117.18</v>
      </c>
      <c r="J325" s="806">
        <v>2900</v>
      </c>
      <c r="K325" s="788"/>
      <c r="L325" s="840">
        <v>2375.83</v>
      </c>
      <c r="M325" s="807">
        <v>3055</v>
      </c>
      <c r="N325" s="808">
        <v>3137</v>
      </c>
      <c r="O325" s="788">
        <v>3137</v>
      </c>
      <c r="P325" s="788">
        <v>3137</v>
      </c>
      <c r="Q325" s="788">
        <v>3137</v>
      </c>
      <c r="R325" s="788">
        <v>3137</v>
      </c>
      <c r="S325" s="788"/>
      <c r="T325" s="788">
        <v>3200</v>
      </c>
      <c r="U325" s="788">
        <v>3200</v>
      </c>
      <c r="V325" s="810">
        <v>3264</v>
      </c>
      <c r="W325" s="788">
        <f>V325</f>
        <v>3264</v>
      </c>
      <c r="X325" s="810">
        <v>3330</v>
      </c>
      <c r="Y325" s="810">
        <v>3330</v>
      </c>
      <c r="Z325" s="810">
        <v>3395</v>
      </c>
      <c r="AA325" s="810">
        <f>Z325</f>
        <v>3395</v>
      </c>
      <c r="AB325" s="810">
        <v>3530</v>
      </c>
      <c r="AC325" s="810">
        <f>AB325</f>
        <v>3530</v>
      </c>
      <c r="AD325" s="810"/>
      <c r="AE325" s="810">
        <v>3530</v>
      </c>
      <c r="AF325" s="810"/>
      <c r="AG325" s="1410"/>
      <c r="AH325" s="1410"/>
      <c r="AI325" s="1031"/>
      <c r="AJ325" s="1031"/>
      <c r="AK325" s="1031"/>
      <c r="AL325" s="1031"/>
      <c r="AM325" s="1031"/>
      <c r="AN325" s="1031"/>
      <c r="AO325" s="1031"/>
      <c r="AP325" s="1031"/>
      <c r="AQ325" s="1031"/>
      <c r="AR325" s="1031"/>
      <c r="AS325" s="1031"/>
      <c r="AT325" s="1031"/>
      <c r="AU325" s="1031" t="str">
        <f t="shared" si="192"/>
        <v/>
      </c>
      <c r="AV325" s="2326" t="str">
        <f t="shared" si="144"/>
        <v/>
      </c>
      <c r="AW325" s="778"/>
      <c r="AX325" s="2016"/>
      <c r="AY325" s="2016"/>
      <c r="AZ325" s="2016"/>
      <c r="BA325" s="2016"/>
      <c r="BB325" s="2016"/>
      <c r="BC325" s="2011" t="s">
        <v>1072</v>
      </c>
    </row>
    <row r="326" spans="1:55" ht="14" hidden="1" customHeight="1" outlineLevel="1" x14ac:dyDescent="0.25">
      <c r="A326" s="779" t="s">
        <v>812</v>
      </c>
      <c r="B326" s="775">
        <v>8450</v>
      </c>
      <c r="C326" s="773">
        <f>SUM(4000+1625.5)</f>
        <v>5625.5</v>
      </c>
      <c r="D326" s="850">
        <v>8450</v>
      </c>
      <c r="E326" s="773">
        <v>5441.77</v>
      </c>
      <c r="F326" s="851">
        <v>8450</v>
      </c>
      <c r="G326" s="851">
        <v>2867.5</v>
      </c>
      <c r="H326" s="851">
        <v>8650</v>
      </c>
      <c r="I326" s="774">
        <v>8199</v>
      </c>
      <c r="J326" s="806">
        <v>8825</v>
      </c>
      <c r="K326" s="825"/>
      <c r="L326" s="812">
        <v>8647.74</v>
      </c>
      <c r="M326" s="812">
        <v>9285</v>
      </c>
      <c r="N326" s="813">
        <v>7650</v>
      </c>
      <c r="O326" s="825">
        <v>7650</v>
      </c>
      <c r="P326" s="788">
        <v>7650</v>
      </c>
      <c r="Q326" s="788">
        <v>7650</v>
      </c>
      <c r="R326" s="891">
        <v>7650</v>
      </c>
      <c r="S326" s="1040"/>
      <c r="T326" s="1040">
        <v>7805</v>
      </c>
      <c r="U326" s="1040">
        <v>7805</v>
      </c>
      <c r="V326" s="809">
        <v>7955</v>
      </c>
      <c r="W326" s="891">
        <f>V326</f>
        <v>7955</v>
      </c>
      <c r="X326" s="809">
        <v>8195</v>
      </c>
      <c r="Y326" s="809">
        <v>8195</v>
      </c>
      <c r="Z326" s="809">
        <v>8440</v>
      </c>
      <c r="AA326" s="809">
        <f>Z326</f>
        <v>8440</v>
      </c>
      <c r="AB326" s="809">
        <v>8670</v>
      </c>
      <c r="AC326" s="809">
        <f>AB326</f>
        <v>8670</v>
      </c>
      <c r="AD326" s="809"/>
      <c r="AE326" s="809">
        <v>8845</v>
      </c>
      <c r="AF326" s="810"/>
      <c r="AG326" s="1410"/>
      <c r="AH326" s="1410"/>
      <c r="AI326" s="1031"/>
      <c r="AJ326" s="1031"/>
      <c r="AK326" s="1031"/>
      <c r="AL326" s="1031"/>
      <c r="AM326" s="1031"/>
      <c r="AN326" s="1031"/>
      <c r="AO326" s="1031"/>
      <c r="AP326" s="1031"/>
      <c r="AQ326" s="1031"/>
      <c r="AR326" s="1031"/>
      <c r="AS326" s="1031"/>
      <c r="AT326" s="1031"/>
      <c r="AU326" s="1031" t="str">
        <f t="shared" si="192"/>
        <v/>
      </c>
      <c r="AV326" s="2326" t="str">
        <f t="shared" si="144"/>
        <v/>
      </c>
      <c r="AW326" s="778"/>
      <c r="AX326" s="2016"/>
      <c r="AY326" s="2016"/>
      <c r="AZ326" s="2016"/>
      <c r="BA326" s="2016"/>
      <c r="BB326" s="2016"/>
      <c r="BC326" s="2011" t="s">
        <v>1072</v>
      </c>
    </row>
    <row r="327" spans="1:55" ht="14" hidden="1" customHeight="1" outlineLevel="1" x14ac:dyDescent="0.25">
      <c r="A327" s="842" t="s">
        <v>813</v>
      </c>
      <c r="B327" s="781">
        <f>SUM(B324:B326)</f>
        <v>13899</v>
      </c>
      <c r="C327" s="781">
        <f>SUM(C324:C326)</f>
        <v>9483.2200000000012</v>
      </c>
      <c r="D327" s="781">
        <f t="shared" ref="D327:N327" si="194">SUM(D324:D326)</f>
        <v>13899</v>
      </c>
      <c r="E327" s="781">
        <f t="shared" si="194"/>
        <v>9017.5600000000013</v>
      </c>
      <c r="F327" s="781">
        <f t="shared" si="194"/>
        <v>13899</v>
      </c>
      <c r="G327" s="781">
        <f t="shared" si="194"/>
        <v>6773.66</v>
      </c>
      <c r="H327" s="781">
        <f t="shared" si="194"/>
        <v>14224</v>
      </c>
      <c r="I327" s="781">
        <f t="shared" si="194"/>
        <v>12030.18</v>
      </c>
      <c r="J327" s="784">
        <f t="shared" si="194"/>
        <v>14493</v>
      </c>
      <c r="K327" s="819" t="s">
        <v>455</v>
      </c>
      <c r="L327" s="843">
        <f t="shared" si="194"/>
        <v>13863.57</v>
      </c>
      <c r="M327" s="843">
        <f t="shared" si="194"/>
        <v>15256</v>
      </c>
      <c r="N327" s="844">
        <f t="shared" si="194"/>
        <v>13703</v>
      </c>
      <c r="O327" s="785">
        <f>SUM(O324:O326)</f>
        <v>13703</v>
      </c>
      <c r="P327" s="785">
        <f>SUM(P324:P326)</f>
        <v>13703</v>
      </c>
      <c r="Q327" s="820">
        <f>IF(SUM(Q324:Q326)=0,P327,SUM(Q324:Q326))</f>
        <v>13703</v>
      </c>
      <c r="R327" s="819">
        <f>SUM(R324:R326)</f>
        <v>13703</v>
      </c>
      <c r="S327" s="819">
        <f>IF(SUM(S324:S326)=0,R327,SUM(S324:S326))</f>
        <v>13703</v>
      </c>
      <c r="T327" s="819">
        <v>13980</v>
      </c>
      <c r="U327" s="819">
        <v>13980</v>
      </c>
      <c r="V327" s="819">
        <f>SUM(V324:V326)</f>
        <v>14254</v>
      </c>
      <c r="W327" s="819">
        <f>IF(SUM(W324:W326)=0,V327,SUM(W324:W326))</f>
        <v>14254</v>
      </c>
      <c r="X327" s="819">
        <f>SUM(X324:X326)</f>
        <v>14621</v>
      </c>
      <c r="Y327" s="819">
        <f>IF(SUM(Y324:Y326)=0,X327,SUM(Y324:Y326))</f>
        <v>14621</v>
      </c>
      <c r="Z327" s="819">
        <f>SUM(Z324:Z326)</f>
        <v>14993</v>
      </c>
      <c r="AA327" s="819">
        <f>IF(SUM(AA324:AA326)=0,Z327,SUM(AA324:AA326))</f>
        <v>14993</v>
      </c>
      <c r="AB327" s="819">
        <f>SUM(AB324:AB326)</f>
        <v>15422</v>
      </c>
      <c r="AC327" s="819">
        <f>IF(SUM(AC324:AC326)=0,AB327,SUM(AC324:AC326))</f>
        <v>15422</v>
      </c>
      <c r="AD327" s="819"/>
      <c r="AE327" s="819">
        <v>15662</v>
      </c>
      <c r="AF327" s="819">
        <v>15662</v>
      </c>
      <c r="AG327" s="820"/>
      <c r="AH327" s="820"/>
      <c r="AI327" s="1031"/>
      <c r="AJ327" s="1031"/>
      <c r="AK327" s="1031"/>
      <c r="AL327" s="1031"/>
      <c r="AM327" s="1031"/>
      <c r="AN327" s="1031"/>
      <c r="AO327" s="1031"/>
      <c r="AP327" s="1031"/>
      <c r="AQ327" s="1031"/>
      <c r="AR327" s="1031"/>
      <c r="AS327" s="1031"/>
      <c r="AT327" s="1031"/>
      <c r="AU327" s="1031" t="str">
        <f t="shared" si="192"/>
        <v/>
      </c>
      <c r="AV327" s="2326" t="str">
        <f t="shared" si="144"/>
        <v/>
      </c>
      <c r="AW327" s="778"/>
      <c r="AX327" s="2016"/>
      <c r="AY327" s="2016"/>
      <c r="AZ327" s="2016"/>
      <c r="BA327" s="2016"/>
      <c r="BB327" s="2016"/>
      <c r="BC327" s="2011" t="s">
        <v>1072</v>
      </c>
    </row>
    <row r="328" spans="1:55" ht="14" hidden="1" customHeight="1" outlineLevel="1" x14ac:dyDescent="0.25">
      <c r="A328" s="821"/>
      <c r="B328" s="791"/>
      <c r="C328" s="793"/>
      <c r="D328" s="792"/>
      <c r="E328" s="793"/>
      <c r="F328" s="794"/>
      <c r="G328" s="792"/>
      <c r="H328" s="792"/>
      <c r="I328" s="899"/>
      <c r="J328" s="996"/>
      <c r="K328" s="823"/>
      <c r="L328" s="829"/>
      <c r="M328" s="830"/>
      <c r="N328" s="824"/>
      <c r="O328" s="822"/>
      <c r="P328" s="822"/>
      <c r="Q328" s="822"/>
      <c r="R328" s="822"/>
      <c r="S328" s="822"/>
      <c r="T328" s="822"/>
      <c r="U328" s="822"/>
      <c r="V328" s="822"/>
      <c r="W328" s="822"/>
      <c r="X328" s="822"/>
      <c r="Y328" s="822"/>
      <c r="Z328" s="822"/>
      <c r="AA328" s="822"/>
      <c r="AB328" s="822"/>
      <c r="AC328" s="822"/>
      <c r="AD328" s="822"/>
      <c r="AE328" s="822"/>
      <c r="AF328" s="822"/>
      <c r="AG328" s="822"/>
      <c r="AH328" s="822"/>
      <c r="AI328" s="1034"/>
      <c r="AJ328" s="1034"/>
      <c r="AK328" s="1034"/>
      <c r="AL328" s="1034"/>
      <c r="AM328" s="1034"/>
      <c r="AN328" s="1034"/>
      <c r="AO328" s="1034"/>
      <c r="AP328" s="1034"/>
      <c r="AQ328" s="1034"/>
      <c r="AR328" s="1034"/>
      <c r="AS328" s="1034"/>
      <c r="AT328" s="1034"/>
      <c r="AU328" s="1034" t="str">
        <f t="shared" si="192"/>
        <v/>
      </c>
      <c r="AV328" s="2322" t="str">
        <f t="shared" si="144"/>
        <v/>
      </c>
      <c r="AW328" s="803"/>
      <c r="AX328" s="2016"/>
      <c r="AY328" s="2016"/>
      <c r="AZ328" s="2016"/>
      <c r="BA328" s="2016"/>
      <c r="BB328" s="2016"/>
      <c r="BC328" s="2011" t="s">
        <v>1072</v>
      </c>
    </row>
    <row r="329" spans="1:55" ht="14" hidden="1" customHeight="1" outlineLevel="1" x14ac:dyDescent="0.25">
      <c r="A329" s="779" t="s">
        <v>499</v>
      </c>
      <c r="B329" s="804"/>
      <c r="C329" s="775"/>
      <c r="D329" s="894"/>
      <c r="E329" s="775"/>
      <c r="F329" s="895"/>
      <c r="G329" s="894"/>
      <c r="H329" s="894"/>
      <c r="I329" s="777"/>
      <c r="J329" s="847"/>
      <c r="K329" s="788"/>
      <c r="L329" s="855"/>
      <c r="M329" s="855"/>
      <c r="N329" s="813"/>
      <c r="O329" s="788"/>
      <c r="P329" s="788"/>
      <c r="Q329" s="788"/>
      <c r="R329" s="788"/>
      <c r="S329" s="788"/>
      <c r="T329" s="788"/>
      <c r="U329" s="788"/>
      <c r="V329" s="788"/>
      <c r="W329" s="788"/>
      <c r="X329" s="788"/>
      <c r="Y329" s="788"/>
      <c r="Z329" s="788"/>
      <c r="AA329" s="788"/>
      <c r="AB329" s="788"/>
      <c r="AC329" s="788"/>
      <c r="AD329" s="788"/>
      <c r="AE329" s="788"/>
      <c r="AF329" s="788"/>
      <c r="AG329" s="788"/>
      <c r="AH329" s="788"/>
      <c r="AI329" s="788"/>
      <c r="AJ329" s="788"/>
      <c r="AK329" s="788"/>
      <c r="AL329" s="788"/>
      <c r="AM329" s="788"/>
      <c r="AN329" s="788"/>
      <c r="AO329" s="788"/>
      <c r="AP329" s="788"/>
      <c r="AQ329" s="788"/>
      <c r="AR329" s="788"/>
      <c r="AS329" s="841"/>
      <c r="AT329" s="891"/>
      <c r="AU329" s="788" t="str">
        <f t="shared" ref="AU329:AU392" si="195">IF(AR329&gt;0,AT329-AR329,"")</f>
        <v/>
      </c>
      <c r="AV329" s="2272" t="str">
        <f t="shared" si="144"/>
        <v/>
      </c>
      <c r="AW329" s="778"/>
      <c r="AX329" s="2016"/>
      <c r="AY329" s="2016"/>
      <c r="AZ329" s="2016"/>
      <c r="BA329" s="2016"/>
      <c r="BB329" s="2016"/>
    </row>
    <row r="330" spans="1:55" ht="14" hidden="1" customHeight="1" outlineLevel="1" x14ac:dyDescent="0.25">
      <c r="A330" s="779" t="s">
        <v>812</v>
      </c>
      <c r="B330" s="775">
        <v>2000</v>
      </c>
      <c r="C330" s="773">
        <f>SUM(400+1400.24)</f>
        <v>1800.24</v>
      </c>
      <c r="D330" s="850">
        <v>2000</v>
      </c>
      <c r="E330" s="773">
        <v>1729.56</v>
      </c>
      <c r="F330" s="851">
        <v>2000</v>
      </c>
      <c r="G330" s="850">
        <v>1928.04</v>
      </c>
      <c r="H330" s="850">
        <v>3400</v>
      </c>
      <c r="I330" s="774">
        <v>2932.23</v>
      </c>
      <c r="J330" s="806">
        <v>3400</v>
      </c>
      <c r="K330" s="825"/>
      <c r="L330" s="812">
        <v>2851.3</v>
      </c>
      <c r="M330" s="812">
        <v>4000</v>
      </c>
      <c r="N330" s="813">
        <v>3600</v>
      </c>
      <c r="O330" s="825">
        <v>3600</v>
      </c>
      <c r="P330" s="788">
        <v>3600</v>
      </c>
      <c r="Q330" s="788">
        <v>3600</v>
      </c>
      <c r="R330" s="788">
        <v>3600</v>
      </c>
      <c r="S330" s="825"/>
      <c r="T330" s="825">
        <v>3600</v>
      </c>
      <c r="U330" s="825">
        <v>3600</v>
      </c>
      <c r="V330" s="810">
        <v>3600</v>
      </c>
      <c r="W330" s="788">
        <f>V330</f>
        <v>3600</v>
      </c>
      <c r="X330" s="810">
        <v>3600</v>
      </c>
      <c r="Y330" s="810">
        <v>3600</v>
      </c>
      <c r="Z330" s="810">
        <v>2650</v>
      </c>
      <c r="AA330" s="810">
        <f>Z330</f>
        <v>2650</v>
      </c>
      <c r="AB330" s="810">
        <v>2650</v>
      </c>
      <c r="AC330" s="810">
        <f>AB330</f>
        <v>2650</v>
      </c>
      <c r="AD330" s="810"/>
      <c r="AE330" s="810">
        <v>1850</v>
      </c>
      <c r="AF330" s="810"/>
      <c r="AG330" s="810">
        <v>1850</v>
      </c>
      <c r="AH330" s="810">
        <v>1850</v>
      </c>
      <c r="AI330" s="810">
        <v>1850</v>
      </c>
      <c r="AJ330" s="810">
        <v>1850</v>
      </c>
      <c r="AK330" s="810">
        <v>1850</v>
      </c>
      <c r="AL330" s="810">
        <v>1850</v>
      </c>
      <c r="AM330" s="810">
        <v>1850</v>
      </c>
      <c r="AN330" s="810">
        <v>1850</v>
      </c>
      <c r="AO330" s="810">
        <v>1850</v>
      </c>
      <c r="AP330" s="810">
        <v>1850</v>
      </c>
      <c r="AQ330" s="810">
        <v>1850</v>
      </c>
      <c r="AR330" s="810">
        <v>1850</v>
      </c>
      <c r="AS330" s="1410">
        <v>1850</v>
      </c>
      <c r="AT330" s="809">
        <f>'[1]BUDGET DETAIL'!$CX$870</f>
        <v>1850</v>
      </c>
      <c r="AU330" s="810">
        <f t="shared" si="195"/>
        <v>0</v>
      </c>
      <c r="AV330" s="2274">
        <f t="shared" si="144"/>
        <v>0</v>
      </c>
      <c r="AW330" s="1565"/>
      <c r="AX330" s="2016"/>
      <c r="AY330" s="2016"/>
      <c r="AZ330" s="2016"/>
      <c r="BA330" s="2016"/>
      <c r="BB330" s="2016"/>
      <c r="BC330" s="2019"/>
    </row>
    <row r="331" spans="1:55" ht="14" hidden="1" customHeight="1" outlineLevel="1" x14ac:dyDescent="0.25">
      <c r="A331" s="842" t="s">
        <v>813</v>
      </c>
      <c r="B331" s="780">
        <f>SUM(B330)</f>
        <v>2000</v>
      </c>
      <c r="C331" s="781">
        <f t="shared" ref="C331:H331" si="196">SUM(C329:C330)</f>
        <v>1800.24</v>
      </c>
      <c r="D331" s="781">
        <f t="shared" si="196"/>
        <v>2000</v>
      </c>
      <c r="E331" s="781">
        <f t="shared" si="196"/>
        <v>1729.56</v>
      </c>
      <c r="F331" s="782">
        <f t="shared" si="196"/>
        <v>2000</v>
      </c>
      <c r="G331" s="781">
        <f t="shared" si="196"/>
        <v>1928.04</v>
      </c>
      <c r="H331" s="781">
        <f t="shared" si="196"/>
        <v>3400</v>
      </c>
      <c r="I331" s="782">
        <f>SUM(I330)</f>
        <v>2932.23</v>
      </c>
      <c r="J331" s="784">
        <f>SUM(J330:J330)</f>
        <v>3400</v>
      </c>
      <c r="K331" s="819" t="s">
        <v>455</v>
      </c>
      <c r="L331" s="843">
        <f>SUM(L330:L330)</f>
        <v>2851.3</v>
      </c>
      <c r="M331" s="843">
        <f>SUM(M330:M330)</f>
        <v>4000</v>
      </c>
      <c r="N331" s="844">
        <f>SUM(N330:N330)</f>
        <v>3600</v>
      </c>
      <c r="O331" s="785">
        <f>O330</f>
        <v>3600</v>
      </c>
      <c r="P331" s="785">
        <f>SUM(P328:P330)</f>
        <v>3600</v>
      </c>
      <c r="Q331" s="819">
        <f>IF(SUM(Q330)=0,P331,Q330)</f>
        <v>3600</v>
      </c>
      <c r="R331" s="785">
        <f>SUM(R328:R330)</f>
        <v>3600</v>
      </c>
      <c r="S331" s="819">
        <f>IF(SUM(S330)=0,R331,S330)</f>
        <v>3600</v>
      </c>
      <c r="T331" s="785">
        <v>3600</v>
      </c>
      <c r="U331" s="785">
        <v>3600</v>
      </c>
      <c r="V331" s="785">
        <f>SUM(V328:V330)</f>
        <v>3600</v>
      </c>
      <c r="W331" s="819">
        <f>IF(SUM(W330)=0,V331,W330)</f>
        <v>3600</v>
      </c>
      <c r="X331" s="785">
        <f>SUM(X328:X330)</f>
        <v>3600</v>
      </c>
      <c r="Y331" s="819">
        <f>IF(SUM(Y330)=0,X331,Y330)</f>
        <v>3600</v>
      </c>
      <c r="Z331" s="785">
        <f>SUM(Z328:Z330)</f>
        <v>2650</v>
      </c>
      <c r="AA331" s="819">
        <f>IF(SUM(AA330)=0,Z331,AA330)</f>
        <v>2650</v>
      </c>
      <c r="AB331" s="785">
        <f>SUM(AB328:AB330)</f>
        <v>2650</v>
      </c>
      <c r="AC331" s="819">
        <f>IF(SUM(AC330)=0,AB331,AC330)</f>
        <v>2650</v>
      </c>
      <c r="AD331" s="819"/>
      <c r="AE331" s="819">
        <v>1850</v>
      </c>
      <c r="AF331" s="819">
        <v>1850</v>
      </c>
      <c r="AG331" s="819">
        <v>1850</v>
      </c>
      <c r="AH331" s="819">
        <v>1850</v>
      </c>
      <c r="AI331" s="819">
        <v>1850</v>
      </c>
      <c r="AJ331" s="819">
        <v>1850</v>
      </c>
      <c r="AK331" s="819">
        <v>1850</v>
      </c>
      <c r="AL331" s="819">
        <v>1850</v>
      </c>
      <c r="AM331" s="819">
        <f t="shared" ref="AM331:AR331" si="197">AM330</f>
        <v>1850</v>
      </c>
      <c r="AN331" s="819">
        <f t="shared" si="197"/>
        <v>1850</v>
      </c>
      <c r="AO331" s="819">
        <f t="shared" si="197"/>
        <v>1850</v>
      </c>
      <c r="AP331" s="819">
        <f t="shared" si="197"/>
        <v>1850</v>
      </c>
      <c r="AQ331" s="819">
        <f t="shared" si="197"/>
        <v>1850</v>
      </c>
      <c r="AR331" s="819">
        <f t="shared" si="197"/>
        <v>1850</v>
      </c>
      <c r="AS331" s="1057">
        <f t="shared" ref="AS331" si="198">AS330</f>
        <v>1850</v>
      </c>
      <c r="AT331" s="819">
        <f>AT330</f>
        <v>1850</v>
      </c>
      <c r="AU331" s="785">
        <f t="shared" si="195"/>
        <v>0</v>
      </c>
      <c r="AV331" s="2278">
        <f t="shared" si="144"/>
        <v>0</v>
      </c>
      <c r="AW331" s="789"/>
      <c r="AX331" s="2016"/>
      <c r="AY331" s="2016"/>
      <c r="AZ331" s="2016"/>
      <c r="BA331" s="2518">
        <f>POWER(AT331/AJ331,1/5)-1</f>
        <v>0</v>
      </c>
      <c r="BB331" s="2518">
        <f>POWER(AT331/AA331,1/9)-1</f>
        <v>-3.9143730377201758E-2</v>
      </c>
      <c r="BC331" s="2332"/>
    </row>
    <row r="332" spans="1:55" ht="14" hidden="1" customHeight="1" outlineLevel="1" x14ac:dyDescent="0.25">
      <c r="A332" s="821"/>
      <c r="B332" s="796"/>
      <c r="C332" s="796"/>
      <c r="D332" s="1058"/>
      <c r="E332" s="796"/>
      <c r="F332" s="1059"/>
      <c r="G332" s="1058"/>
      <c r="H332" s="1058"/>
      <c r="I332" s="801"/>
      <c r="J332" s="996"/>
      <c r="K332" s="823"/>
      <c r="L332" s="829"/>
      <c r="M332" s="830"/>
      <c r="N332" s="824"/>
      <c r="O332" s="822"/>
      <c r="P332" s="822"/>
      <c r="Q332" s="822"/>
      <c r="R332" s="822"/>
      <c r="S332" s="822"/>
      <c r="T332" s="822"/>
      <c r="U332" s="822"/>
      <c r="V332" s="822"/>
      <c r="W332" s="822"/>
      <c r="X332" s="822"/>
      <c r="Y332" s="822"/>
      <c r="Z332" s="822"/>
      <c r="AA332" s="822"/>
      <c r="AB332" s="822"/>
      <c r="AC332" s="822"/>
      <c r="AD332" s="822"/>
      <c r="AE332" s="822"/>
      <c r="AF332" s="822"/>
      <c r="AG332" s="822"/>
      <c r="AH332" s="822"/>
      <c r="AI332" s="822"/>
      <c r="AJ332" s="822"/>
      <c r="AK332" s="822"/>
      <c r="AL332" s="822"/>
      <c r="AM332" s="822"/>
      <c r="AN332" s="822"/>
      <c r="AO332" s="822"/>
      <c r="AP332" s="822"/>
      <c r="AQ332" s="822"/>
      <c r="AR332" s="822"/>
      <c r="AS332" s="1160"/>
      <c r="AT332" s="823"/>
      <c r="AU332" s="822" t="str">
        <f t="shared" si="195"/>
        <v/>
      </c>
      <c r="AV332" s="2276" t="str">
        <f t="shared" si="144"/>
        <v/>
      </c>
      <c r="AW332" s="803"/>
      <c r="AX332" s="2016"/>
      <c r="AY332" s="2016"/>
      <c r="AZ332" s="2016"/>
      <c r="BA332" s="2016"/>
      <c r="BB332" s="2016"/>
    </row>
    <row r="333" spans="1:55" ht="14" hidden="1" customHeight="1" outlineLevel="1" x14ac:dyDescent="0.25">
      <c r="A333" s="779" t="s">
        <v>497</v>
      </c>
      <c r="B333" s="804"/>
      <c r="C333" s="775"/>
      <c r="D333" s="894"/>
      <c r="E333" s="775"/>
      <c r="F333" s="895"/>
      <c r="G333" s="895"/>
      <c r="H333" s="895"/>
      <c r="I333" s="777"/>
      <c r="J333" s="847"/>
      <c r="K333" s="788"/>
      <c r="L333" s="855"/>
      <c r="M333" s="855"/>
      <c r="N333" s="813"/>
      <c r="O333" s="788"/>
      <c r="P333" s="788"/>
      <c r="Q333" s="788"/>
      <c r="R333" s="788"/>
      <c r="S333" s="788"/>
      <c r="T333" s="788"/>
      <c r="U333" s="788"/>
      <c r="V333" s="788"/>
      <c r="W333" s="788"/>
      <c r="X333" s="788"/>
      <c r="Y333" s="788"/>
      <c r="Z333" s="788"/>
      <c r="AA333" s="788"/>
      <c r="AB333" s="788"/>
      <c r="AC333" s="788"/>
      <c r="AD333" s="788"/>
      <c r="AE333" s="788"/>
      <c r="AF333" s="788"/>
      <c r="AG333" s="788"/>
      <c r="AH333" s="788"/>
      <c r="AI333" s="788"/>
      <c r="AJ333" s="788"/>
      <c r="AK333" s="788"/>
      <c r="AL333" s="788"/>
      <c r="AM333" s="788"/>
      <c r="AN333" s="788"/>
      <c r="AO333" s="788"/>
      <c r="AP333" s="788"/>
      <c r="AQ333" s="788"/>
      <c r="AR333" s="788"/>
      <c r="AS333" s="841"/>
      <c r="AT333" s="891"/>
      <c r="AU333" s="788" t="str">
        <f t="shared" si="195"/>
        <v/>
      </c>
      <c r="AV333" s="2272" t="str">
        <f t="shared" si="144"/>
        <v/>
      </c>
      <c r="AW333" s="778"/>
      <c r="AX333" s="2016"/>
      <c r="AY333" s="2016"/>
      <c r="AZ333" s="2016"/>
      <c r="BA333" s="2016"/>
      <c r="BB333" s="2016"/>
    </row>
    <row r="334" spans="1:55" ht="14" hidden="1" customHeight="1" outlineLevel="1" x14ac:dyDescent="0.25">
      <c r="A334" s="779" t="s">
        <v>551</v>
      </c>
      <c r="B334" s="773"/>
      <c r="C334" s="773"/>
      <c r="D334" s="773">
        <v>0</v>
      </c>
      <c r="E334" s="773"/>
      <c r="F334" s="774"/>
      <c r="G334" s="774"/>
      <c r="H334" s="774"/>
      <c r="I334" s="774"/>
      <c r="J334" s="806">
        <v>0</v>
      </c>
      <c r="K334" s="788">
        <v>0</v>
      </c>
      <c r="L334" s="855"/>
      <c r="M334" s="855"/>
      <c r="N334" s="813"/>
      <c r="O334" s="788"/>
      <c r="P334" s="788"/>
      <c r="Q334" s="788"/>
      <c r="R334" s="788"/>
      <c r="S334" s="788"/>
      <c r="T334" s="788"/>
      <c r="U334" s="788"/>
      <c r="V334" s="788"/>
      <c r="W334" s="788"/>
      <c r="X334" s="788"/>
      <c r="Y334" s="788"/>
      <c r="Z334" s="810">
        <f>Y334*(1+$A$2/100)</f>
        <v>0</v>
      </c>
      <c r="AA334" s="788"/>
      <c r="AB334" s="810">
        <f>AA334*(1+$A$2/100)</f>
        <v>0</v>
      </c>
      <c r="AC334" s="788"/>
      <c r="AD334" s="788"/>
      <c r="AE334" s="788"/>
      <c r="AF334" s="788"/>
      <c r="AG334" s="788"/>
      <c r="AH334" s="788"/>
      <c r="AI334" s="788"/>
      <c r="AJ334" s="788"/>
      <c r="AK334" s="788"/>
      <c r="AL334" s="788"/>
      <c r="AM334" s="788"/>
      <c r="AN334" s="788"/>
      <c r="AO334" s="788"/>
      <c r="AP334" s="788"/>
      <c r="AQ334" s="788"/>
      <c r="AR334" s="788"/>
      <c r="AS334" s="841"/>
      <c r="AT334" s="891"/>
      <c r="AU334" s="788" t="str">
        <f t="shared" si="195"/>
        <v/>
      </c>
      <c r="AV334" s="2272" t="str">
        <f t="shared" si="144"/>
        <v/>
      </c>
      <c r="AW334" s="778"/>
      <c r="AX334" s="2016"/>
      <c r="AY334" s="2016"/>
      <c r="AZ334" s="2016"/>
      <c r="BA334" s="2016"/>
      <c r="BB334" s="2016"/>
    </row>
    <row r="335" spans="1:55" ht="14" hidden="1" customHeight="1" outlineLevel="1" x14ac:dyDescent="0.25">
      <c r="A335" s="779" t="s">
        <v>812</v>
      </c>
      <c r="B335" s="775">
        <v>500</v>
      </c>
      <c r="C335" s="773">
        <v>232.25</v>
      </c>
      <c r="D335" s="850">
        <v>500</v>
      </c>
      <c r="E335" s="773">
        <v>623.48</v>
      </c>
      <c r="F335" s="851">
        <v>500</v>
      </c>
      <c r="G335" s="851">
        <v>161.51</v>
      </c>
      <c r="H335" s="851">
        <v>500</v>
      </c>
      <c r="I335" s="774">
        <v>0</v>
      </c>
      <c r="J335" s="806">
        <v>500</v>
      </c>
      <c r="K335" s="827" t="s">
        <v>455</v>
      </c>
      <c r="L335" s="1043">
        <v>91.56</v>
      </c>
      <c r="M335" s="1043">
        <v>500</v>
      </c>
      <c r="N335" s="805">
        <v>450</v>
      </c>
      <c r="O335" s="825">
        <v>450</v>
      </c>
      <c r="P335" s="788">
        <v>450</v>
      </c>
      <c r="Q335" s="788">
        <v>450</v>
      </c>
      <c r="R335" s="891">
        <v>450</v>
      </c>
      <c r="S335" s="1040"/>
      <c r="T335" s="1040">
        <v>450</v>
      </c>
      <c r="U335" s="1040">
        <v>450</v>
      </c>
      <c r="V335" s="809">
        <v>450</v>
      </c>
      <c r="W335" s="891">
        <f>V335</f>
        <v>450</v>
      </c>
      <c r="X335" s="809">
        <v>450</v>
      </c>
      <c r="Y335" s="809">
        <v>450</v>
      </c>
      <c r="Z335" s="809">
        <v>450</v>
      </c>
      <c r="AA335" s="809">
        <f>Z335</f>
        <v>450</v>
      </c>
      <c r="AB335" s="809">
        <v>450</v>
      </c>
      <c r="AC335" s="809">
        <f>AB335</f>
        <v>450</v>
      </c>
      <c r="AD335" s="809"/>
      <c r="AE335" s="809">
        <v>450</v>
      </c>
      <c r="AF335" s="809"/>
      <c r="AG335" s="809">
        <v>450</v>
      </c>
      <c r="AH335" s="809">
        <v>450</v>
      </c>
      <c r="AI335" s="809">
        <v>450</v>
      </c>
      <c r="AJ335" s="809">
        <v>450</v>
      </c>
      <c r="AK335" s="809">
        <v>450</v>
      </c>
      <c r="AL335" s="810">
        <v>400</v>
      </c>
      <c r="AM335" s="810">
        <v>400</v>
      </c>
      <c r="AN335" s="810">
        <v>400</v>
      </c>
      <c r="AO335" s="810">
        <v>400</v>
      </c>
      <c r="AP335" s="810">
        <v>300</v>
      </c>
      <c r="AQ335" s="810">
        <v>400</v>
      </c>
      <c r="AR335" s="810">
        <v>300</v>
      </c>
      <c r="AS335" s="1410">
        <v>300</v>
      </c>
      <c r="AT335" s="809">
        <f>'[1]BUDGET DETAIL'!$CX$854</f>
        <v>300</v>
      </c>
      <c r="AU335" s="810">
        <f t="shared" si="195"/>
        <v>0</v>
      </c>
      <c r="AV335" s="2274">
        <f t="shared" ref="AV335:AV398" si="199">IF(AR335&gt;0,AU335/AR335,"")</f>
        <v>0</v>
      </c>
      <c r="AW335" s="789"/>
      <c r="AX335" s="2016"/>
      <c r="AY335" s="2016"/>
      <c r="AZ335" s="2016"/>
      <c r="BA335" s="2016"/>
      <c r="BB335" s="2016"/>
      <c r="BC335" s="2023"/>
    </row>
    <row r="336" spans="1:55" ht="14" hidden="1" customHeight="1" outlineLevel="1" x14ac:dyDescent="0.25">
      <c r="A336" s="842" t="s">
        <v>813</v>
      </c>
      <c r="B336" s="781">
        <f>SUM(B335)</f>
        <v>500</v>
      </c>
      <c r="C336" s="781">
        <f>SUM(C334:C335)</f>
        <v>232.25</v>
      </c>
      <c r="D336" s="900">
        <f>SUM(D334:D335)</f>
        <v>500</v>
      </c>
      <c r="E336" s="900">
        <f t="shared" ref="E336:N336" si="200">SUM(E334:E335)</f>
        <v>623.48</v>
      </c>
      <c r="F336" s="900">
        <f t="shared" si="200"/>
        <v>500</v>
      </c>
      <c r="G336" s="900">
        <f t="shared" si="200"/>
        <v>161.51</v>
      </c>
      <c r="H336" s="900">
        <f t="shared" si="200"/>
        <v>500</v>
      </c>
      <c r="I336" s="900">
        <f t="shared" si="200"/>
        <v>0</v>
      </c>
      <c r="J336" s="784">
        <v>500</v>
      </c>
      <c r="K336" s="995">
        <v>38782</v>
      </c>
      <c r="L336" s="848">
        <f t="shared" si="200"/>
        <v>91.56</v>
      </c>
      <c r="M336" s="848">
        <f t="shared" si="200"/>
        <v>500</v>
      </c>
      <c r="N336" s="844">
        <f t="shared" si="200"/>
        <v>450</v>
      </c>
      <c r="O336" s="785">
        <f>O335</f>
        <v>450</v>
      </c>
      <c r="P336" s="785">
        <f>P335</f>
        <v>450</v>
      </c>
      <c r="Q336" s="942">
        <f>IF(SUM(Q334:Q335)=0,P336,SUM(Q334:Q335))</f>
        <v>450</v>
      </c>
      <c r="R336" s="819">
        <f>R335</f>
        <v>450</v>
      </c>
      <c r="S336" s="819">
        <f>IF(SUM(S334:S335)=0,R336,SUM(S334:S335))</f>
        <v>450</v>
      </c>
      <c r="T336" s="819">
        <v>450</v>
      </c>
      <c r="U336" s="819">
        <v>450</v>
      </c>
      <c r="V336" s="819">
        <f>V335</f>
        <v>450</v>
      </c>
      <c r="W336" s="819">
        <f>IF(SUM(W334:W335)=0,V336,SUM(W334:W335))</f>
        <v>450</v>
      </c>
      <c r="X336" s="819">
        <f>X335</f>
        <v>450</v>
      </c>
      <c r="Y336" s="819">
        <f>IF(SUM(Y334:Y335)=0,X336,SUM(Y334:Y335))</f>
        <v>450</v>
      </c>
      <c r="Z336" s="819">
        <f>Z335</f>
        <v>450</v>
      </c>
      <c r="AA336" s="819">
        <f>IF(SUM(AA334:AA335)=0,Z336,SUM(AA334:AA335))</f>
        <v>450</v>
      </c>
      <c r="AB336" s="819">
        <f>AB335</f>
        <v>450</v>
      </c>
      <c r="AC336" s="819">
        <f>IF(SUM(AC334:AC335)=0,AB336,SUM(AC334:AC335))</f>
        <v>450</v>
      </c>
      <c r="AD336" s="819"/>
      <c r="AE336" s="819">
        <v>450</v>
      </c>
      <c r="AF336" s="819">
        <v>450</v>
      </c>
      <c r="AG336" s="819">
        <v>450</v>
      </c>
      <c r="AH336" s="819">
        <v>450</v>
      </c>
      <c r="AI336" s="819">
        <v>450</v>
      </c>
      <c r="AJ336" s="819">
        <v>450</v>
      </c>
      <c r="AK336" s="819">
        <v>450</v>
      </c>
      <c r="AL336" s="819">
        <v>400</v>
      </c>
      <c r="AM336" s="819">
        <v>400</v>
      </c>
      <c r="AN336" s="819">
        <v>400</v>
      </c>
      <c r="AO336" s="819">
        <v>400</v>
      </c>
      <c r="AP336" s="819">
        <v>300</v>
      </c>
      <c r="AQ336" s="819">
        <v>400</v>
      </c>
      <c r="AR336" s="819">
        <v>400</v>
      </c>
      <c r="AS336" s="1057">
        <f>SUM(AS335)</f>
        <v>300</v>
      </c>
      <c r="AT336" s="819">
        <f>SUM(AT335)</f>
        <v>300</v>
      </c>
      <c r="AU336" s="785">
        <f t="shared" si="195"/>
        <v>-100</v>
      </c>
      <c r="AV336" s="2278">
        <f t="shared" si="199"/>
        <v>-0.25</v>
      </c>
      <c r="AW336" s="789"/>
      <c r="AX336" s="2016"/>
      <c r="AY336" s="2016"/>
      <c r="AZ336" s="2016"/>
      <c r="BA336" s="2518">
        <f>POWER(AT336/AJ336,1/5)-1</f>
        <v>-7.7892088518272229E-2</v>
      </c>
      <c r="BB336" s="2518">
        <f>POWER(AT336/AA336,1/9)-1</f>
        <v>-4.4051921577024866E-2</v>
      </c>
      <c r="BC336" s="2332"/>
    </row>
    <row r="337" spans="1:55" ht="14" hidden="1" customHeight="1" outlineLevel="1" x14ac:dyDescent="0.25">
      <c r="A337" s="790"/>
      <c r="B337" s="872"/>
      <c r="C337" s="872"/>
      <c r="D337" s="1001"/>
      <c r="E337" s="872"/>
      <c r="F337" s="1002"/>
      <c r="G337" s="1002"/>
      <c r="H337" s="1002"/>
      <c r="I337" s="873"/>
      <c r="J337" s="1003"/>
      <c r="K337" s="921"/>
      <c r="L337" s="859"/>
      <c r="M337" s="860"/>
      <c r="N337" s="861"/>
      <c r="O337" s="800"/>
      <c r="P337" s="800"/>
      <c r="Q337" s="800"/>
      <c r="R337" s="800"/>
      <c r="S337" s="800"/>
      <c r="T337" s="800"/>
      <c r="U337" s="800"/>
      <c r="V337" s="800"/>
      <c r="W337" s="800"/>
      <c r="X337" s="800"/>
      <c r="Y337" s="800"/>
      <c r="Z337" s="800"/>
      <c r="AA337" s="800"/>
      <c r="AB337" s="800"/>
      <c r="AC337" s="800"/>
      <c r="AD337" s="800"/>
      <c r="AE337" s="800"/>
      <c r="AF337" s="800"/>
      <c r="AG337" s="800"/>
      <c r="AH337" s="800"/>
      <c r="AI337" s="800"/>
      <c r="AJ337" s="800"/>
      <c r="AK337" s="800"/>
      <c r="AL337" s="800"/>
      <c r="AM337" s="800"/>
      <c r="AN337" s="800"/>
      <c r="AO337" s="800"/>
      <c r="AP337" s="800"/>
      <c r="AQ337" s="800"/>
      <c r="AR337" s="800"/>
      <c r="AS337" s="1621"/>
      <c r="AT337" s="921"/>
      <c r="AU337" s="800" t="str">
        <f t="shared" si="195"/>
        <v/>
      </c>
      <c r="AV337" s="2273" t="str">
        <f t="shared" si="199"/>
        <v/>
      </c>
      <c r="AW337" s="862"/>
      <c r="AX337" s="2016"/>
      <c r="AY337" s="2016"/>
      <c r="AZ337" s="2016"/>
      <c r="BA337" s="2016"/>
      <c r="BB337" s="2016"/>
      <c r="BC337" s="2026"/>
    </row>
    <row r="338" spans="1:55" ht="14" customHeight="1" thickTop="1" x14ac:dyDescent="0.25">
      <c r="A338" s="771" t="s">
        <v>366</v>
      </c>
      <c r="B338" s="814"/>
      <c r="C338" s="814"/>
      <c r="D338" s="923"/>
      <c r="E338" s="814"/>
      <c r="F338" s="1060"/>
      <c r="G338" s="1060"/>
      <c r="H338" s="1060"/>
      <c r="I338" s="875"/>
      <c r="J338" s="815"/>
      <c r="K338" s="788"/>
      <c r="L338" s="855"/>
      <c r="M338" s="855"/>
      <c r="N338" s="855"/>
      <c r="O338" s="788"/>
      <c r="P338" s="788"/>
      <c r="Q338" s="788"/>
      <c r="R338" s="788"/>
      <c r="S338" s="788"/>
      <c r="T338" s="788"/>
      <c r="U338" s="788"/>
      <c r="V338" s="788"/>
      <c r="W338" s="788"/>
      <c r="X338" s="788"/>
      <c r="Y338" s="788"/>
      <c r="Z338" s="788"/>
      <c r="AA338" s="788"/>
      <c r="AB338" s="788"/>
      <c r="AC338" s="788"/>
      <c r="AD338" s="788"/>
      <c r="AE338" s="788"/>
      <c r="AF338" s="788"/>
      <c r="AG338" s="788"/>
      <c r="AH338" s="788"/>
      <c r="AI338" s="788"/>
      <c r="AJ338" s="788"/>
      <c r="AK338" s="788"/>
      <c r="AL338" s="788"/>
      <c r="AM338" s="788"/>
      <c r="AN338" s="788"/>
      <c r="AO338" s="788"/>
      <c r="AP338" s="788"/>
      <c r="AQ338" s="788"/>
      <c r="AR338" s="788"/>
      <c r="AS338" s="841"/>
      <c r="AT338" s="2263"/>
      <c r="AU338" s="788" t="str">
        <f t="shared" si="195"/>
        <v/>
      </c>
      <c r="AV338" s="2272" t="str">
        <f t="shared" si="199"/>
        <v/>
      </c>
      <c r="AW338" s="865"/>
      <c r="AX338" s="2016"/>
      <c r="AY338" s="2016"/>
      <c r="AZ338" s="2016"/>
      <c r="BA338" s="2016"/>
      <c r="BB338" s="2016"/>
      <c r="BC338" s="2031" t="s">
        <v>1072</v>
      </c>
    </row>
    <row r="339" spans="1:55" ht="14" customHeight="1" x14ac:dyDescent="0.25">
      <c r="A339" s="779" t="s">
        <v>812</v>
      </c>
      <c r="B339" s="775">
        <v>0</v>
      </c>
      <c r="C339" s="773">
        <v>0</v>
      </c>
      <c r="D339" s="773">
        <v>0</v>
      </c>
      <c r="E339" s="773">
        <v>0</v>
      </c>
      <c r="F339" s="773">
        <v>0</v>
      </c>
      <c r="G339" s="773">
        <v>0</v>
      </c>
      <c r="H339" s="773">
        <v>0</v>
      </c>
      <c r="I339" s="774">
        <v>0</v>
      </c>
      <c r="J339" s="806">
        <v>0</v>
      </c>
      <c r="K339" s="827">
        <v>0</v>
      </c>
      <c r="L339" s="863"/>
      <c r="M339" s="863"/>
      <c r="N339" s="863"/>
      <c r="O339" s="827"/>
      <c r="P339" s="827"/>
      <c r="Q339" s="827"/>
      <c r="R339" s="827"/>
      <c r="S339" s="827"/>
      <c r="T339" s="827"/>
      <c r="U339" s="827"/>
      <c r="V339" s="827"/>
      <c r="W339" s="827"/>
      <c r="X339" s="827"/>
      <c r="Y339" s="827"/>
      <c r="Z339" s="810">
        <f>Y339*(1+$A$4/100)</f>
        <v>0</v>
      </c>
      <c r="AA339" s="827"/>
      <c r="AB339" s="810">
        <f>AA339*(1+$A$4/100)</f>
        <v>0</v>
      </c>
      <c r="AC339" s="827"/>
      <c r="AD339" s="827"/>
      <c r="AE339" s="827"/>
      <c r="AF339" s="827"/>
      <c r="AG339" s="827"/>
      <c r="AH339" s="827"/>
      <c r="AI339" s="827"/>
      <c r="AJ339" s="827"/>
      <c r="AK339" s="827"/>
      <c r="AL339" s="827"/>
      <c r="AM339" s="827"/>
      <c r="AN339" s="827"/>
      <c r="AO339" s="827"/>
      <c r="AP339" s="827"/>
      <c r="AQ339" s="827"/>
      <c r="AR339" s="827"/>
      <c r="AS339" s="1127"/>
      <c r="AT339" s="2265"/>
      <c r="AU339" s="827" t="str">
        <f t="shared" si="195"/>
        <v/>
      </c>
      <c r="AV339" s="2277" t="str">
        <f t="shared" si="199"/>
        <v/>
      </c>
      <c r="AW339" s="778"/>
      <c r="AX339" s="2016"/>
      <c r="AY339" s="2016"/>
      <c r="AZ339" s="2016"/>
      <c r="BA339" s="2016"/>
      <c r="BB339" s="2016"/>
      <c r="BC339" s="2011" t="s">
        <v>1072</v>
      </c>
    </row>
    <row r="340" spans="1:55" s="1061" customFormat="1" ht="14" customHeight="1" x14ac:dyDescent="0.25">
      <c r="A340" s="771" t="s">
        <v>813</v>
      </c>
      <c r="B340" s="814">
        <f t="shared" ref="B340:I340" si="201">SUM(B339)</f>
        <v>0</v>
      </c>
      <c r="C340" s="814">
        <f t="shared" si="201"/>
        <v>0</v>
      </c>
      <c r="D340" s="814">
        <f t="shared" si="201"/>
        <v>0</v>
      </c>
      <c r="E340" s="814">
        <f t="shared" si="201"/>
        <v>0</v>
      </c>
      <c r="F340" s="875">
        <f t="shared" si="201"/>
        <v>0</v>
      </c>
      <c r="G340" s="875">
        <f t="shared" si="201"/>
        <v>0</v>
      </c>
      <c r="H340" s="875">
        <f t="shared" si="201"/>
        <v>0</v>
      </c>
      <c r="I340" s="875">
        <f t="shared" si="201"/>
        <v>0</v>
      </c>
      <c r="J340" s="815">
        <f>SUM(J339)</f>
        <v>0</v>
      </c>
      <c r="K340" s="1040">
        <v>0</v>
      </c>
      <c r="L340" s="831">
        <f>L339</f>
        <v>0</v>
      </c>
      <c r="M340" s="831">
        <f>M339</f>
        <v>0</v>
      </c>
      <c r="N340" s="831">
        <f>N339</f>
        <v>0</v>
      </c>
      <c r="O340" s="831">
        <f>O339</f>
        <v>0</v>
      </c>
      <c r="P340" s="831">
        <f>P339</f>
        <v>0</v>
      </c>
      <c r="Q340" s="828">
        <f>IF(SUM(Q339)=0,P340,Q339)</f>
        <v>0</v>
      </c>
      <c r="R340" s="831">
        <f>R339</f>
        <v>0</v>
      </c>
      <c r="S340" s="827"/>
      <c r="T340" s="827">
        <v>0</v>
      </c>
      <c r="U340" s="827"/>
      <c r="V340" s="831">
        <f>V339</f>
        <v>0</v>
      </c>
      <c r="W340" s="827"/>
      <c r="X340" s="831">
        <f>X339</f>
        <v>0</v>
      </c>
      <c r="Y340" s="827"/>
      <c r="Z340" s="831">
        <f>Z339</f>
        <v>0</v>
      </c>
      <c r="AA340" s="827"/>
      <c r="AB340" s="831">
        <f>AB339</f>
        <v>0</v>
      </c>
      <c r="AC340" s="827"/>
      <c r="AD340" s="827"/>
      <c r="AE340" s="827"/>
      <c r="AF340" s="827"/>
      <c r="AG340" s="827"/>
      <c r="AH340" s="827"/>
      <c r="AI340" s="827"/>
      <c r="AJ340" s="827"/>
      <c r="AK340" s="827"/>
      <c r="AL340" s="827"/>
      <c r="AM340" s="827"/>
      <c r="AN340" s="827"/>
      <c r="AO340" s="827"/>
      <c r="AP340" s="827"/>
      <c r="AQ340" s="827"/>
      <c r="AR340" s="827"/>
      <c r="AS340" s="1127"/>
      <c r="AT340" s="2265"/>
      <c r="AU340" s="827" t="str">
        <f t="shared" si="195"/>
        <v/>
      </c>
      <c r="AV340" s="2277" t="str">
        <f t="shared" si="199"/>
        <v/>
      </c>
      <c r="AW340" s="865"/>
      <c r="AX340" s="2016"/>
      <c r="AY340" s="2016"/>
      <c r="AZ340" s="2016"/>
      <c r="BA340" s="2016"/>
      <c r="BB340" s="2016"/>
      <c r="BC340" s="2332" t="s">
        <v>1072</v>
      </c>
    </row>
    <row r="341" spans="1:55" ht="14" customHeight="1" x14ac:dyDescent="0.25">
      <c r="A341" s="821"/>
      <c r="B341" s="793"/>
      <c r="C341" s="796"/>
      <c r="D341" s="892"/>
      <c r="E341" s="796"/>
      <c r="F341" s="893"/>
      <c r="G341" s="893"/>
      <c r="H341" s="893"/>
      <c r="I341" s="801"/>
      <c r="J341" s="996"/>
      <c r="K341" s="921"/>
      <c r="L341" s="859"/>
      <c r="M341" s="860"/>
      <c r="N341" s="859"/>
      <c r="O341" s="800"/>
      <c r="P341" s="800"/>
      <c r="Q341" s="800"/>
      <c r="R341" s="800"/>
      <c r="S341" s="800"/>
      <c r="T341" s="800"/>
      <c r="U341" s="800"/>
      <c r="V341" s="800"/>
      <c r="W341" s="800"/>
      <c r="X341" s="800"/>
      <c r="Y341" s="800"/>
      <c r="Z341" s="800"/>
      <c r="AA341" s="800"/>
      <c r="AB341" s="800"/>
      <c r="AC341" s="800"/>
      <c r="AD341" s="800"/>
      <c r="AE341" s="800"/>
      <c r="AF341" s="800"/>
      <c r="AG341" s="800"/>
      <c r="AH341" s="800"/>
      <c r="AI341" s="800"/>
      <c r="AJ341" s="800"/>
      <c r="AK341" s="800"/>
      <c r="AL341" s="800"/>
      <c r="AM341" s="800"/>
      <c r="AN341" s="800"/>
      <c r="AO341" s="800"/>
      <c r="AP341" s="800"/>
      <c r="AQ341" s="800"/>
      <c r="AR341" s="800"/>
      <c r="AS341" s="1621"/>
      <c r="AT341" s="2264"/>
      <c r="AU341" s="800" t="str">
        <f t="shared" si="195"/>
        <v/>
      </c>
      <c r="AV341" s="2273" t="str">
        <f t="shared" si="199"/>
        <v/>
      </c>
      <c r="AW341" s="803"/>
      <c r="AX341" s="2016"/>
      <c r="AY341" s="2016"/>
      <c r="AZ341" s="2016"/>
      <c r="BA341" s="2016"/>
      <c r="BB341" s="2016"/>
      <c r="BC341" s="2011" t="s">
        <v>1072</v>
      </c>
    </row>
    <row r="342" spans="1:55" ht="14" customHeight="1" x14ac:dyDescent="0.25">
      <c r="A342" s="771" t="s">
        <v>489</v>
      </c>
      <c r="B342" s="814"/>
      <c r="C342" s="814"/>
      <c r="D342" s="923"/>
      <c r="E342" s="875"/>
      <c r="F342" s="1060"/>
      <c r="G342" s="1060"/>
      <c r="H342" s="1060"/>
      <c r="I342" s="875"/>
      <c r="J342" s="815"/>
      <c r="K342" s="827"/>
      <c r="L342" s="863"/>
      <c r="M342" s="863"/>
      <c r="N342" s="863"/>
      <c r="O342" s="827"/>
      <c r="P342" s="827"/>
      <c r="Q342" s="827"/>
      <c r="R342" s="827"/>
      <c r="S342" s="827"/>
      <c r="T342" s="827"/>
      <c r="U342" s="827"/>
      <c r="V342" s="827"/>
      <c r="W342" s="827"/>
      <c r="X342" s="827"/>
      <c r="Y342" s="827"/>
      <c r="Z342" s="827"/>
      <c r="AA342" s="827"/>
      <c r="AB342" s="827"/>
      <c r="AC342" s="827"/>
      <c r="AD342" s="827"/>
      <c r="AE342" s="827"/>
      <c r="AF342" s="827"/>
      <c r="AG342" s="827"/>
      <c r="AH342" s="827"/>
      <c r="AI342" s="827"/>
      <c r="AJ342" s="827"/>
      <c r="AK342" s="827"/>
      <c r="AL342" s="827"/>
      <c r="AM342" s="827"/>
      <c r="AN342" s="827"/>
      <c r="AO342" s="827"/>
      <c r="AP342" s="827"/>
      <c r="AQ342" s="827"/>
      <c r="AR342" s="827"/>
      <c r="AS342" s="1127"/>
      <c r="AT342" s="828"/>
      <c r="AU342" s="827" t="str">
        <f t="shared" si="195"/>
        <v/>
      </c>
      <c r="AV342" s="2277" t="str">
        <f t="shared" si="199"/>
        <v/>
      </c>
      <c r="AW342" s="865"/>
      <c r="AX342" s="2016"/>
      <c r="AY342" s="2016"/>
      <c r="AZ342" s="2016"/>
      <c r="BA342" s="2016"/>
      <c r="BB342" s="2016"/>
      <c r="BC342" s="2026"/>
    </row>
    <row r="343" spans="1:55" ht="14" customHeight="1" x14ac:dyDescent="0.25">
      <c r="A343" s="842" t="s">
        <v>560</v>
      </c>
      <c r="B343" s="781">
        <f>SUM($B$299+$B$316+$B$324)</f>
        <v>165045</v>
      </c>
      <c r="C343" s="781">
        <f>SUM($C$299+$C$316+$C$324)</f>
        <v>165045</v>
      </c>
      <c r="D343" s="781">
        <f>SUM($D$299+$D$316+$D$324)</f>
        <v>212503</v>
      </c>
      <c r="E343" s="781">
        <f>SUM($E$299+$E$316+$E$324)</f>
        <v>212503</v>
      </c>
      <c r="F343" s="782">
        <f>SUM($F$299+$F$316+$F$324)</f>
        <v>212503</v>
      </c>
      <c r="G343" s="782">
        <f>SUM($G$299+$G$316+$G$324)</f>
        <v>212503</v>
      </c>
      <c r="H343" s="782">
        <f>SUM($H$299+$H$316+$H$324)</f>
        <v>223347</v>
      </c>
      <c r="I343" s="781">
        <f>SUM($I$299+$I$316+$I$324)</f>
        <v>223765.13</v>
      </c>
      <c r="J343" s="806">
        <f>SUM($J$299+$J$316+$J$324)</f>
        <v>233181</v>
      </c>
      <c r="K343" s="788"/>
      <c r="L343" s="927">
        <f>$L$299+$L$316+$L$324</f>
        <v>240178.98</v>
      </c>
      <c r="M343" s="927">
        <f t="shared" ref="M343:S343" si="202">M$299+M$316+M$324</f>
        <v>248667</v>
      </c>
      <c r="N343" s="1054">
        <f t="shared" si="202"/>
        <v>257795</v>
      </c>
      <c r="O343" s="1005">
        <f t="shared" si="202"/>
        <v>255257</v>
      </c>
      <c r="P343" s="1005">
        <f t="shared" si="202"/>
        <v>255907</v>
      </c>
      <c r="Q343" s="1005">
        <f t="shared" si="202"/>
        <v>255907</v>
      </c>
      <c r="R343" s="1005">
        <f t="shared" si="202"/>
        <v>250571</v>
      </c>
      <c r="S343" s="1005">
        <f t="shared" si="202"/>
        <v>0</v>
      </c>
      <c r="T343" s="1005">
        <v>262236</v>
      </c>
      <c r="U343" s="1005">
        <v>262236</v>
      </c>
      <c r="V343" s="1005">
        <f t="shared" ref="V343:AC343" si="203">V$299+V$316+V$324</f>
        <v>272394</v>
      </c>
      <c r="W343" s="1005">
        <f t="shared" si="203"/>
        <v>272394</v>
      </c>
      <c r="X343" s="1005">
        <f t="shared" si="203"/>
        <v>281072</v>
      </c>
      <c r="Y343" s="1005">
        <f t="shared" si="203"/>
        <v>281072</v>
      </c>
      <c r="Z343" s="1005">
        <f t="shared" si="203"/>
        <v>302773</v>
      </c>
      <c r="AA343" s="1005">
        <f t="shared" si="203"/>
        <v>302773</v>
      </c>
      <c r="AB343" s="1005">
        <f t="shared" si="203"/>
        <v>317126</v>
      </c>
      <c r="AC343" s="1005">
        <f t="shared" si="203"/>
        <v>317126</v>
      </c>
      <c r="AD343" s="1005"/>
      <c r="AE343" s="1005">
        <v>330049</v>
      </c>
      <c r="AF343" s="1005">
        <v>0</v>
      </c>
      <c r="AG343" s="1005">
        <v>247706.76</v>
      </c>
      <c r="AH343" s="1005">
        <v>254916</v>
      </c>
      <c r="AI343" s="1005">
        <v>262563.48</v>
      </c>
      <c r="AJ343" s="1005">
        <v>269152</v>
      </c>
      <c r="AK343" s="1005">
        <v>277226.56</v>
      </c>
      <c r="AL343" s="1005">
        <v>275451</v>
      </c>
      <c r="AM343" s="1005">
        <f t="shared" ref="AM343:AT343" si="204">AM$299+AM$316+AM$324</f>
        <v>280960.02</v>
      </c>
      <c r="AN343" s="1005">
        <f>AN$299+AN$316+AN$324+AN$308</f>
        <v>269846</v>
      </c>
      <c r="AO343" s="845">
        <f t="shared" si="204"/>
        <v>276592.14999999997</v>
      </c>
      <c r="AP343" s="845">
        <f>AP$299+AP$316+AP$324+AP$308</f>
        <v>269364</v>
      </c>
      <c r="AQ343" s="845">
        <f t="shared" si="204"/>
        <v>274751.28000000003</v>
      </c>
      <c r="AR343" s="845">
        <f t="shared" si="204"/>
        <v>281779</v>
      </c>
      <c r="AS343" s="1074">
        <f t="shared" si="204"/>
        <v>287414.58</v>
      </c>
      <c r="AT343" s="845">
        <f t="shared" si="204"/>
        <v>288801</v>
      </c>
      <c r="AU343" s="888">
        <f t="shared" si="195"/>
        <v>7022</v>
      </c>
      <c r="AV343" s="2278">
        <f t="shared" si="199"/>
        <v>2.4920238910635641E-2</v>
      </c>
      <c r="AW343" s="1535"/>
      <c r="AX343" s="2016"/>
      <c r="AY343" s="2016"/>
      <c r="AZ343" s="2016"/>
      <c r="BA343" s="2016"/>
      <c r="BB343" s="2016"/>
      <c r="BC343" s="2031"/>
    </row>
    <row r="344" spans="1:55" ht="14" customHeight="1" x14ac:dyDescent="0.25">
      <c r="A344" s="842" t="s">
        <v>551</v>
      </c>
      <c r="B344" s="781">
        <f>SUM($B$300+$B$317+$B$325+$B$334)</f>
        <v>282385</v>
      </c>
      <c r="C344" s="781">
        <f>SUM($C$300+$C$317+$C$325+$C$334)</f>
        <v>260916.38</v>
      </c>
      <c r="D344" s="781">
        <f>SUM($D$300+$D$317+$D$325+$D$334)</f>
        <v>257484</v>
      </c>
      <c r="E344" s="781">
        <f>SUM($E$300+$E$317+$E$325+$E$334)</f>
        <v>245735.78</v>
      </c>
      <c r="F344" s="782">
        <f>SUM($F$300+$F$317+$F$325+$F$334)</f>
        <v>257749</v>
      </c>
      <c r="G344" s="782">
        <f>SUM($G$300+$G$317+$G$325+$G$334)</f>
        <v>250968.1</v>
      </c>
      <c r="H344" s="782">
        <f>SUM($H$300+$H$317+$H$325+$H$334)</f>
        <v>243946</v>
      </c>
      <c r="I344" s="781">
        <f>SUM($I$300+$I$317+$I$325+$I$334)</f>
        <v>238967.32</v>
      </c>
      <c r="J344" s="806">
        <f>SUM($J$300+$J$317+$J$325+$J$334)</f>
        <v>251490</v>
      </c>
      <c r="K344" s="785" t="s">
        <v>51</v>
      </c>
      <c r="L344" s="927">
        <f>$L$300+$L$317+$L$325+$L$334</f>
        <v>259687.54999999996</v>
      </c>
      <c r="M344" s="927">
        <f t="shared" ref="M344:S344" si="205">M$300+M$317+M$325+M$334</f>
        <v>273147</v>
      </c>
      <c r="N344" s="1054">
        <f t="shared" si="205"/>
        <v>244825</v>
      </c>
      <c r="O344" s="1005">
        <f t="shared" si="205"/>
        <v>275590</v>
      </c>
      <c r="P344" s="1005">
        <f t="shared" si="205"/>
        <v>275157</v>
      </c>
      <c r="Q344" s="1005">
        <f t="shared" si="205"/>
        <v>275157</v>
      </c>
      <c r="R344" s="1005">
        <f t="shared" si="205"/>
        <v>275507</v>
      </c>
      <c r="S344" s="1005">
        <f t="shared" si="205"/>
        <v>0</v>
      </c>
      <c r="T344" s="1005">
        <v>275528</v>
      </c>
      <c r="U344" s="1005">
        <v>275528</v>
      </c>
      <c r="V344" s="1005">
        <f t="shared" ref="V344:AC344" si="206">V$300+V$317+V$325+V$334</f>
        <v>285541</v>
      </c>
      <c r="W344" s="1005">
        <f t="shared" si="206"/>
        <v>285541</v>
      </c>
      <c r="X344" s="1005">
        <f t="shared" si="206"/>
        <v>299696</v>
      </c>
      <c r="Y344" s="1005">
        <f t="shared" si="206"/>
        <v>299696</v>
      </c>
      <c r="Z344" s="1005">
        <f t="shared" si="206"/>
        <v>324965</v>
      </c>
      <c r="AA344" s="1005">
        <f t="shared" si="206"/>
        <v>327202</v>
      </c>
      <c r="AB344" s="1005">
        <f t="shared" si="206"/>
        <v>340960</v>
      </c>
      <c r="AC344" s="1005">
        <f t="shared" si="206"/>
        <v>340960</v>
      </c>
      <c r="AD344" s="1005"/>
      <c r="AE344" s="1005">
        <v>344786</v>
      </c>
      <c r="AF344" s="1005">
        <v>0</v>
      </c>
      <c r="AG344" s="1005">
        <v>198265.73</v>
      </c>
      <c r="AH344" s="1005">
        <v>197688</v>
      </c>
      <c r="AI344" s="1005">
        <v>203618.64</v>
      </c>
      <c r="AJ344" s="1005">
        <v>209038</v>
      </c>
      <c r="AK344" s="1005">
        <v>215309.14</v>
      </c>
      <c r="AL344" s="1005">
        <v>213240</v>
      </c>
      <c r="AM344" s="1005">
        <f t="shared" ref="AM344" si="207">AM$300+AM$317+AM$325+AM$334</f>
        <v>217504.80000000002</v>
      </c>
      <c r="AN344" s="1005">
        <f t="shared" ref="AN344:AT344" si="208">AN$300+AN$317+AN$325+AN$334+AN$309</f>
        <v>249059</v>
      </c>
      <c r="AO344" s="845">
        <f t="shared" si="208"/>
        <v>255285.47499999998</v>
      </c>
      <c r="AP344" s="845">
        <f t="shared" si="208"/>
        <v>252597</v>
      </c>
      <c r="AQ344" s="845">
        <f t="shared" si="208"/>
        <v>257648.94</v>
      </c>
      <c r="AR344" s="845">
        <f t="shared" si="208"/>
        <v>257326</v>
      </c>
      <c r="AS344" s="1074">
        <f t="shared" si="208"/>
        <v>262472.52</v>
      </c>
      <c r="AT344" s="845">
        <f t="shared" si="208"/>
        <v>261925</v>
      </c>
      <c r="AU344" s="888">
        <f t="shared" si="195"/>
        <v>4599</v>
      </c>
      <c r="AV344" s="2278">
        <f t="shared" si="199"/>
        <v>1.7872270971452553E-2</v>
      </c>
      <c r="AW344" s="865"/>
      <c r="AX344" s="2016"/>
      <c r="AY344" s="2016"/>
      <c r="AZ344" s="2016"/>
      <c r="BA344" s="2016"/>
      <c r="BB344" s="2016"/>
      <c r="BC344" s="2026"/>
    </row>
    <row r="345" spans="1:55" ht="14" customHeight="1" x14ac:dyDescent="0.25">
      <c r="A345" s="842" t="s">
        <v>812</v>
      </c>
      <c r="B345" s="781">
        <f>SUM($B$301+$B$318+$B$326+$B$330+$B$335)</f>
        <v>168357</v>
      </c>
      <c r="C345" s="781">
        <f>SUM($C$301+$C$318+$C$326+$C$330+$C$335)</f>
        <v>169563.93</v>
      </c>
      <c r="D345" s="781">
        <f>SUM($D$301+$D$318+$D$326+$D$330+$D$335)</f>
        <v>153718</v>
      </c>
      <c r="E345" s="781">
        <f>SUM($E$301+$E$318+$E$326+$E$330+$E$335)</f>
        <v>144518.79</v>
      </c>
      <c r="F345" s="782">
        <f>SUM($F$301+$F$318+$F$326+$F$330+$F$335)</f>
        <v>163213</v>
      </c>
      <c r="G345" s="782">
        <f>SUM($G$301+$G$318+$G$326+$G$330+$G$335)</f>
        <v>155878.65000000002</v>
      </c>
      <c r="H345" s="782">
        <f>SUM($H$301+$H$318+$H$326+$H$330+$H$335)</f>
        <v>173008</v>
      </c>
      <c r="I345" s="781">
        <f>SUM($I$301+$I$318+$I$326+$I$330+$I$335)</f>
        <v>171170.23</v>
      </c>
      <c r="J345" s="806">
        <f>SUM($J$301+$J$318+$J$326+$J$330+$J$335)</f>
        <v>183558</v>
      </c>
      <c r="K345" s="785" t="s">
        <v>455</v>
      </c>
      <c r="L345" s="927">
        <f>$L$301+$L$318+$L$326+$L$330+$L$335</f>
        <v>175315.87999999998</v>
      </c>
      <c r="M345" s="927">
        <f t="shared" ref="M345:S345" si="209">M$301+M$318+M$326+M$330+M$335</f>
        <v>189166</v>
      </c>
      <c r="N345" s="1054">
        <f t="shared" si="209"/>
        <v>141684</v>
      </c>
      <c r="O345" s="1005">
        <f t="shared" si="209"/>
        <v>168311</v>
      </c>
      <c r="P345" s="1005">
        <f t="shared" si="209"/>
        <v>174807</v>
      </c>
      <c r="Q345" s="1005">
        <f t="shared" si="209"/>
        <v>174807</v>
      </c>
      <c r="R345" s="1005">
        <f t="shared" si="209"/>
        <v>188016</v>
      </c>
      <c r="S345" s="1005">
        <f t="shared" si="209"/>
        <v>0</v>
      </c>
      <c r="T345" s="1005">
        <v>193251</v>
      </c>
      <c r="U345" s="1005">
        <v>193251</v>
      </c>
      <c r="V345" s="1005">
        <f t="shared" ref="V345:AC345" si="210">V$301+V$318+V$326+V$330+V$335</f>
        <v>196997</v>
      </c>
      <c r="W345" s="1005">
        <f t="shared" si="210"/>
        <v>196997</v>
      </c>
      <c r="X345" s="1005">
        <f t="shared" si="210"/>
        <v>204388</v>
      </c>
      <c r="Y345" s="1005">
        <f t="shared" si="210"/>
        <v>204388</v>
      </c>
      <c r="Z345" s="1005">
        <f t="shared" si="210"/>
        <v>209346</v>
      </c>
      <c r="AA345" s="1005">
        <f t="shared" si="210"/>
        <v>216546</v>
      </c>
      <c r="AB345" s="1005">
        <f t="shared" si="210"/>
        <v>215695</v>
      </c>
      <c r="AC345" s="1005">
        <f t="shared" si="210"/>
        <v>215695</v>
      </c>
      <c r="AD345" s="1005"/>
      <c r="AE345" s="1005">
        <v>219144</v>
      </c>
      <c r="AF345" s="810"/>
      <c r="AG345" s="810">
        <v>154599</v>
      </c>
      <c r="AH345" s="1005">
        <v>157170</v>
      </c>
      <c r="AI345" s="1005">
        <v>157170</v>
      </c>
      <c r="AJ345" s="1005">
        <v>160468</v>
      </c>
      <c r="AK345" s="1005">
        <v>160468</v>
      </c>
      <c r="AL345" s="1005">
        <v>176645</v>
      </c>
      <c r="AM345" s="1005">
        <f>AM$301+AM$318+AM$326+AM$330+AM$335</f>
        <v>176645</v>
      </c>
      <c r="AN345" s="1005">
        <f t="shared" ref="AN345:AT345" si="211">AN$301+AN$318+AN$326+AN$330+AN$335+AN$310</f>
        <v>168930</v>
      </c>
      <c r="AO345" s="845">
        <f t="shared" si="211"/>
        <v>168930</v>
      </c>
      <c r="AP345" s="845">
        <f t="shared" si="211"/>
        <v>180806</v>
      </c>
      <c r="AQ345" s="845">
        <f t="shared" si="211"/>
        <v>180906</v>
      </c>
      <c r="AR345" s="845">
        <f t="shared" si="211"/>
        <v>181736</v>
      </c>
      <c r="AS345" s="1074">
        <f t="shared" si="211"/>
        <v>181736</v>
      </c>
      <c r="AT345" s="845">
        <f t="shared" si="211"/>
        <v>191531</v>
      </c>
      <c r="AU345" s="888">
        <f t="shared" si="195"/>
        <v>9795</v>
      </c>
      <c r="AV345" s="2278">
        <f t="shared" si="199"/>
        <v>5.389686138134437E-2</v>
      </c>
      <c r="AW345" s="1535"/>
      <c r="AX345" s="2016"/>
      <c r="AY345" s="2016"/>
      <c r="AZ345" s="2016"/>
      <c r="BA345" s="2016"/>
      <c r="BB345" s="2016"/>
      <c r="BC345" s="2031"/>
    </row>
    <row r="346" spans="1:55" ht="14" customHeight="1" x14ac:dyDescent="0.25">
      <c r="A346" s="842" t="s">
        <v>155</v>
      </c>
      <c r="B346" s="781">
        <f>SUM($B$302)</f>
        <v>0</v>
      </c>
      <c r="C346" s="781">
        <f>SUM($C$302)</f>
        <v>0</v>
      </c>
      <c r="D346" s="781">
        <f>SUM($D$302)</f>
        <v>0</v>
      </c>
      <c r="E346" s="781">
        <f>SUM($E$302)</f>
        <v>0</v>
      </c>
      <c r="F346" s="782">
        <f>SUM($F$302)</f>
        <v>0</v>
      </c>
      <c r="G346" s="782">
        <f>SUM($G$302)</f>
        <v>0</v>
      </c>
      <c r="H346" s="782">
        <f>SUM($H$302)</f>
        <v>0</v>
      </c>
      <c r="I346" s="781">
        <f>SUM($I$302)</f>
        <v>0</v>
      </c>
      <c r="J346" s="784">
        <f>SUM($J$302)</f>
        <v>0</v>
      </c>
      <c r="K346" s="785"/>
      <c r="L346" s="1062"/>
      <c r="M346" s="1062"/>
      <c r="N346" s="1063"/>
      <c r="O346" s="785"/>
      <c r="P346" s="785"/>
      <c r="Q346" s="785"/>
      <c r="R346" s="785"/>
      <c r="S346" s="785"/>
      <c r="T346" s="785"/>
      <c r="U346" s="785"/>
      <c r="V346" s="785"/>
      <c r="W346" s="785"/>
      <c r="X346" s="785"/>
      <c r="Y346" s="785"/>
      <c r="Z346" s="785"/>
      <c r="AA346" s="785"/>
      <c r="AB346" s="785"/>
      <c r="AC346" s="785"/>
      <c r="AD346" s="785"/>
      <c r="AE346" s="785"/>
      <c r="AF346" s="785"/>
      <c r="AG346" s="785"/>
      <c r="AH346" s="785"/>
      <c r="AI346" s="785"/>
      <c r="AJ346" s="785"/>
      <c r="AK346" s="785"/>
      <c r="AL346" s="785"/>
      <c r="AM346" s="785"/>
      <c r="AN346" s="785"/>
      <c r="AO346" s="785"/>
      <c r="AP346" s="785"/>
      <c r="AQ346" s="785"/>
      <c r="AR346" s="785"/>
      <c r="AS346" s="820"/>
      <c r="AT346" s="819"/>
      <c r="AU346" s="785" t="str">
        <f t="shared" si="195"/>
        <v/>
      </c>
      <c r="AV346" s="2275" t="str">
        <f t="shared" si="199"/>
        <v/>
      </c>
      <c r="AW346" s="865"/>
      <c r="AX346" s="2016"/>
      <c r="AY346" s="2016"/>
      <c r="AZ346" s="2016"/>
      <c r="BA346" s="2016"/>
      <c r="BB346" s="2016"/>
      <c r="BC346" s="2026"/>
    </row>
    <row r="347" spans="1:55" ht="14" customHeight="1" x14ac:dyDescent="0.25">
      <c r="A347" s="842" t="s">
        <v>156</v>
      </c>
      <c r="B347" s="781">
        <f>SUM($B$343:$B$346)</f>
        <v>615787</v>
      </c>
      <c r="C347" s="781">
        <f>SUM($C$343:$C$346)</f>
        <v>595525.31000000006</v>
      </c>
      <c r="D347" s="781">
        <f>SUM($D$343:$D$346)</f>
        <v>623705</v>
      </c>
      <c r="E347" s="781">
        <f>SUM($E$343:$E$346)</f>
        <v>602757.57000000007</v>
      </c>
      <c r="F347" s="782">
        <f>SUM($F$343:$F$346)</f>
        <v>633465</v>
      </c>
      <c r="G347" s="782">
        <f>SUM($G$343:$G$346)</f>
        <v>619349.75</v>
      </c>
      <c r="H347" s="782">
        <f>SUM($H$343:$H$346)</f>
        <v>640301</v>
      </c>
      <c r="I347" s="781">
        <f>SUM($I$343:$I$346)</f>
        <v>633902.68000000005</v>
      </c>
      <c r="J347" s="784">
        <f t="shared" ref="J347:AB347" si="212">SUM(J$343:J$346)</f>
        <v>668229</v>
      </c>
      <c r="K347" s="784">
        <f t="shared" si="212"/>
        <v>0</v>
      </c>
      <c r="L347" s="848">
        <f t="shared" si="212"/>
        <v>675182.40999999992</v>
      </c>
      <c r="M347" s="848">
        <f t="shared" si="212"/>
        <v>710980</v>
      </c>
      <c r="N347" s="844">
        <f t="shared" si="212"/>
        <v>644304</v>
      </c>
      <c r="O347" s="845">
        <f t="shared" si="212"/>
        <v>699158</v>
      </c>
      <c r="P347" s="845">
        <f t="shared" si="212"/>
        <v>705871</v>
      </c>
      <c r="Q347" s="845">
        <f>IF(SUM(Q343:Q346)=0,P347,SUM(Q343:Q346))</f>
        <v>705871</v>
      </c>
      <c r="R347" s="845">
        <f t="shared" si="212"/>
        <v>714094</v>
      </c>
      <c r="S347" s="845">
        <f>IF(SUM(S343:S346)=0,R347,SUM(S343:S346))</f>
        <v>714094</v>
      </c>
      <c r="T347" s="845">
        <v>731015</v>
      </c>
      <c r="U347" s="845">
        <v>731015</v>
      </c>
      <c r="V347" s="845">
        <f t="shared" si="212"/>
        <v>754932</v>
      </c>
      <c r="W347" s="845">
        <f>IF(SUM(W343:W346)=0,V347,SUM(W343:W346))</f>
        <v>754932</v>
      </c>
      <c r="X347" s="845">
        <f t="shared" si="212"/>
        <v>785156</v>
      </c>
      <c r="Y347" s="845">
        <f>IF(SUM(Y343:Y346)=0,X347,SUM(Y343:Y346))</f>
        <v>785156</v>
      </c>
      <c r="Z347" s="845">
        <f t="shared" si="212"/>
        <v>837084</v>
      </c>
      <c r="AA347" s="845">
        <f>IF(SUM(AA343:AA346)=0,Z347,SUM(AA343:AA346))</f>
        <v>846521</v>
      </c>
      <c r="AB347" s="845">
        <f t="shared" si="212"/>
        <v>873781</v>
      </c>
      <c r="AC347" s="845">
        <f>IF(SUM(AC343:AC346)=0,AB347,SUM(AC343:AC346))</f>
        <v>873781</v>
      </c>
      <c r="AD347" s="845"/>
      <c r="AE347" s="845">
        <v>893979</v>
      </c>
      <c r="AF347" s="845">
        <v>893979</v>
      </c>
      <c r="AG347" s="845">
        <v>600571.49</v>
      </c>
      <c r="AH347" s="845">
        <v>609774</v>
      </c>
      <c r="AI347" s="845">
        <v>623352.12</v>
      </c>
      <c r="AJ347" s="845">
        <v>638658</v>
      </c>
      <c r="AK347" s="888">
        <v>653003.69999999995</v>
      </c>
      <c r="AL347" s="888">
        <v>665336</v>
      </c>
      <c r="AM347" s="888">
        <f t="shared" ref="AM347:AR347" si="213">SUM(AM343:AM345)</f>
        <v>675109.82000000007</v>
      </c>
      <c r="AN347" s="888">
        <f t="shared" si="213"/>
        <v>687835</v>
      </c>
      <c r="AO347" s="888">
        <f t="shared" si="213"/>
        <v>700807.625</v>
      </c>
      <c r="AP347" s="888">
        <f t="shared" si="213"/>
        <v>702767</v>
      </c>
      <c r="AQ347" s="888">
        <f t="shared" si="213"/>
        <v>713306.22</v>
      </c>
      <c r="AR347" s="888">
        <f t="shared" si="213"/>
        <v>720841</v>
      </c>
      <c r="AS347" s="1626">
        <f t="shared" ref="AS347:AT347" si="214">SUM(AS343:AS345)</f>
        <v>731623.10000000009</v>
      </c>
      <c r="AT347" s="845">
        <f t="shared" si="214"/>
        <v>742257</v>
      </c>
      <c r="AU347" s="888">
        <f t="shared" si="195"/>
        <v>21416</v>
      </c>
      <c r="AV347" s="2275">
        <f t="shared" si="199"/>
        <v>2.9709741815462772E-2</v>
      </c>
      <c r="AW347" s="865"/>
      <c r="AX347" s="2016"/>
      <c r="AY347" s="2016"/>
      <c r="AZ347" s="2016"/>
      <c r="BA347" s="2016"/>
      <c r="BB347" s="2016"/>
      <c r="BC347" s="2026"/>
    </row>
    <row r="348" spans="1:55" ht="14" customHeight="1" x14ac:dyDescent="0.25">
      <c r="A348" s="842" t="s">
        <v>148</v>
      </c>
      <c r="B348" s="781">
        <f>SUM($B$304+$B$320)</f>
        <v>0</v>
      </c>
      <c r="C348" s="781">
        <f>SUM($C$304+$C$320)</f>
        <v>0</v>
      </c>
      <c r="D348" s="781">
        <f>SUM($D$304+$D$320)</f>
        <v>0</v>
      </c>
      <c r="E348" s="781">
        <f>SUM($E$304+$E$320)</f>
        <v>0</v>
      </c>
      <c r="F348" s="782">
        <f>SUM($F$304+$F$320)</f>
        <v>0</v>
      </c>
      <c r="G348" s="782">
        <f>SUM($G$304+$G$320)</f>
        <v>0</v>
      </c>
      <c r="H348" s="782">
        <f>SUM($H$304+$H$320)</f>
        <v>0</v>
      </c>
      <c r="I348" s="781">
        <f>SUM($I$304+$I$320)</f>
        <v>0</v>
      </c>
      <c r="J348" s="784">
        <f>SUM($J$304+$J$320)</f>
        <v>0</v>
      </c>
      <c r="K348" s="785"/>
      <c r="L348" s="1062"/>
      <c r="M348" s="1062"/>
      <c r="N348" s="1063"/>
      <c r="O348" s="785"/>
      <c r="P348" s="785"/>
      <c r="Q348" s="785"/>
      <c r="R348" s="785"/>
      <c r="S348" s="785"/>
      <c r="T348" s="785"/>
      <c r="U348" s="785"/>
      <c r="V348" s="785"/>
      <c r="W348" s="785"/>
      <c r="X348" s="785"/>
      <c r="Y348" s="785"/>
      <c r="Z348" s="785"/>
      <c r="AA348" s="785"/>
      <c r="AB348" s="785"/>
      <c r="AC348" s="785"/>
      <c r="AD348" s="785"/>
      <c r="AE348" s="785"/>
      <c r="AF348" s="785"/>
      <c r="AG348" s="785"/>
      <c r="AH348" s="785"/>
      <c r="AI348" s="785"/>
      <c r="AJ348" s="785"/>
      <c r="AK348" s="785"/>
      <c r="AL348" s="785"/>
      <c r="AM348" s="785"/>
      <c r="AN348" s="785"/>
      <c r="AO348" s="785"/>
      <c r="AP348" s="785"/>
      <c r="AQ348" s="785"/>
      <c r="AR348" s="785"/>
      <c r="AS348" s="820"/>
      <c r="AT348" s="819"/>
      <c r="AU348" s="785" t="str">
        <f t="shared" si="195"/>
        <v/>
      </c>
      <c r="AV348" s="2275" t="str">
        <f t="shared" si="199"/>
        <v/>
      </c>
      <c r="AW348" s="778"/>
      <c r="AX348" s="2016"/>
      <c r="AY348" s="2016"/>
      <c r="AZ348" s="2016"/>
      <c r="BA348" s="2016"/>
      <c r="BB348" s="2016"/>
    </row>
    <row r="349" spans="1:55" ht="14" customHeight="1" x14ac:dyDescent="0.25">
      <c r="A349" s="842" t="s">
        <v>93</v>
      </c>
      <c r="B349" s="781">
        <f>SUM($B$319)</f>
        <v>0</v>
      </c>
      <c r="C349" s="781">
        <f>SUM($C$319)</f>
        <v>0</v>
      </c>
      <c r="D349" s="781">
        <f>SUM($D$319)</f>
        <v>0</v>
      </c>
      <c r="E349" s="781">
        <f>SUM($E$319)</f>
        <v>0</v>
      </c>
      <c r="F349" s="782">
        <f>SUM($F$319)</f>
        <v>0</v>
      </c>
      <c r="G349" s="782">
        <f>SUM($G$319)</f>
        <v>0</v>
      </c>
      <c r="H349" s="782">
        <f>SUM($H$319)</f>
        <v>0</v>
      </c>
      <c r="I349" s="781">
        <f>SUM($I$319)</f>
        <v>0</v>
      </c>
      <c r="J349" s="994">
        <f>SUM($J$319)</f>
        <v>0</v>
      </c>
      <c r="K349" s="819"/>
      <c r="L349" s="1062"/>
      <c r="M349" s="1062"/>
      <c r="N349" s="1063"/>
      <c r="O349" s="785"/>
      <c r="P349" s="785"/>
      <c r="Q349" s="785"/>
      <c r="R349" s="785"/>
      <c r="S349" s="785"/>
      <c r="T349" s="785"/>
      <c r="U349" s="785"/>
      <c r="V349" s="785"/>
      <c r="W349" s="785"/>
      <c r="X349" s="785"/>
      <c r="Y349" s="785"/>
      <c r="Z349" s="785"/>
      <c r="AA349" s="785"/>
      <c r="AB349" s="785"/>
      <c r="AC349" s="785"/>
      <c r="AD349" s="785"/>
      <c r="AE349" s="785"/>
      <c r="AF349" s="785"/>
      <c r="AG349" s="785"/>
      <c r="AH349" s="785"/>
      <c r="AI349" s="785"/>
      <c r="AJ349" s="785"/>
      <c r="AK349" s="785"/>
      <c r="AL349" s="785"/>
      <c r="AM349" s="785"/>
      <c r="AN349" s="785"/>
      <c r="AO349" s="785"/>
      <c r="AP349" s="785"/>
      <c r="AQ349" s="785"/>
      <c r="AR349" s="785"/>
      <c r="AS349" s="820"/>
      <c r="AT349" s="819"/>
      <c r="AU349" s="785" t="str">
        <f t="shared" si="195"/>
        <v/>
      </c>
      <c r="AV349" s="2275" t="str">
        <f t="shared" si="199"/>
        <v/>
      </c>
      <c r="AW349" s="778" t="s">
        <v>160</v>
      </c>
      <c r="AX349" s="2016"/>
      <c r="AY349" s="2016"/>
      <c r="AZ349" s="2016"/>
      <c r="BA349" s="2016"/>
      <c r="BB349" s="2016"/>
    </row>
    <row r="350" spans="1:55" ht="14" customHeight="1" collapsed="1" thickBot="1" x14ac:dyDescent="0.3">
      <c r="A350" s="902" t="s">
        <v>751</v>
      </c>
      <c r="B350" s="904">
        <f t="shared" ref="B350:O350" si="215">SUM(B347:B349)</f>
        <v>615787</v>
      </c>
      <c r="C350" s="904">
        <f t="shared" si="215"/>
        <v>595525.31000000006</v>
      </c>
      <c r="D350" s="1064">
        <f t="shared" si="215"/>
        <v>623705</v>
      </c>
      <c r="E350" s="904">
        <f t="shared" si="215"/>
        <v>602757.57000000007</v>
      </c>
      <c r="F350" s="1065">
        <f t="shared" si="215"/>
        <v>633465</v>
      </c>
      <c r="G350" s="1065">
        <f t="shared" si="215"/>
        <v>619349.75</v>
      </c>
      <c r="H350" s="1065">
        <f t="shared" si="215"/>
        <v>640301</v>
      </c>
      <c r="I350" s="905">
        <f t="shared" si="215"/>
        <v>633902.68000000005</v>
      </c>
      <c r="J350" s="906">
        <f t="shared" si="215"/>
        <v>668229</v>
      </c>
      <c r="K350" s="1066"/>
      <c r="L350" s="1067">
        <f t="shared" si="215"/>
        <v>675182.40999999992</v>
      </c>
      <c r="M350" s="1067">
        <f t="shared" si="215"/>
        <v>710980</v>
      </c>
      <c r="N350" s="908">
        <f t="shared" si="215"/>
        <v>644304</v>
      </c>
      <c r="O350" s="909">
        <f t="shared" si="215"/>
        <v>699158</v>
      </c>
      <c r="P350" s="909">
        <f t="shared" ref="P350:W350" si="216">SUM(P347:P349)</f>
        <v>705871</v>
      </c>
      <c r="Q350" s="909">
        <f t="shared" si="216"/>
        <v>705871</v>
      </c>
      <c r="R350" s="909">
        <f t="shared" si="216"/>
        <v>714094</v>
      </c>
      <c r="S350" s="909">
        <f t="shared" si="216"/>
        <v>714094</v>
      </c>
      <c r="T350" s="909">
        <v>731015</v>
      </c>
      <c r="U350" s="909">
        <v>731015</v>
      </c>
      <c r="V350" s="909">
        <f t="shared" si="216"/>
        <v>754932</v>
      </c>
      <c r="W350" s="909">
        <f t="shared" si="216"/>
        <v>754932</v>
      </c>
      <c r="X350" s="909">
        <f t="shared" ref="X350:AC350" si="217">SUM(X347:X349)</f>
        <v>785156</v>
      </c>
      <c r="Y350" s="909">
        <f t="shared" si="217"/>
        <v>785156</v>
      </c>
      <c r="Z350" s="909">
        <f t="shared" si="217"/>
        <v>837084</v>
      </c>
      <c r="AA350" s="909">
        <f t="shared" si="217"/>
        <v>846521</v>
      </c>
      <c r="AB350" s="909">
        <f t="shared" si="217"/>
        <v>873781</v>
      </c>
      <c r="AC350" s="909">
        <f t="shared" si="217"/>
        <v>873781</v>
      </c>
      <c r="AD350" s="909"/>
      <c r="AE350" s="909">
        <v>893979</v>
      </c>
      <c r="AF350" s="909">
        <v>893979</v>
      </c>
      <c r="AG350" s="909">
        <v>600571.49</v>
      </c>
      <c r="AH350" s="909">
        <v>609774</v>
      </c>
      <c r="AI350" s="909">
        <v>623352.12</v>
      </c>
      <c r="AJ350" s="909">
        <v>638658</v>
      </c>
      <c r="AK350" s="909">
        <v>653003.69999999995</v>
      </c>
      <c r="AL350" s="909">
        <v>665336</v>
      </c>
      <c r="AM350" s="909">
        <f t="shared" ref="AM350:AN350" si="218">SUM(AM347:AM349)</f>
        <v>675109.82000000007</v>
      </c>
      <c r="AN350" s="909">
        <f t="shared" si="218"/>
        <v>687835</v>
      </c>
      <c r="AO350" s="909">
        <f t="shared" ref="AO350:AP350" si="219">SUM(AO347:AO349)</f>
        <v>700807.625</v>
      </c>
      <c r="AP350" s="909">
        <f t="shared" si="219"/>
        <v>702767</v>
      </c>
      <c r="AQ350" s="909">
        <f t="shared" ref="AQ350:AR350" si="220">SUM(AQ347:AQ349)</f>
        <v>713306.22</v>
      </c>
      <c r="AR350" s="909">
        <f t="shared" si="220"/>
        <v>720841</v>
      </c>
      <c r="AS350" s="1627">
        <f t="shared" ref="AS350:AT350" si="221">SUM(AS347:AS349)</f>
        <v>731623.10000000009</v>
      </c>
      <c r="AT350" s="909">
        <f t="shared" si="221"/>
        <v>742257</v>
      </c>
      <c r="AU350" s="1017">
        <f t="shared" si="195"/>
        <v>21416</v>
      </c>
      <c r="AV350" s="2280">
        <f t="shared" si="199"/>
        <v>2.9709741815462772E-2</v>
      </c>
      <c r="AW350" s="910" t="s">
        <v>725</v>
      </c>
      <c r="AX350" s="2016"/>
      <c r="AY350" s="2016"/>
      <c r="AZ350" s="2016"/>
      <c r="BA350" s="2518">
        <f>POWER(AT350/AJ350,1/5)-1</f>
        <v>3.0521813403310283E-2</v>
      </c>
      <c r="BB350" s="2518">
        <f>POWER(AT350/AA350,1/9)-1</f>
        <v>-1.4498258226868788E-2</v>
      </c>
    </row>
    <row r="351" spans="1:55" ht="14" hidden="1" customHeight="1" outlineLevel="1" thickTop="1" x14ac:dyDescent="0.25">
      <c r="A351" s="771" t="s">
        <v>752</v>
      </c>
      <c r="C351" s="773"/>
      <c r="D351" s="773"/>
      <c r="E351" s="773"/>
      <c r="F351" s="774"/>
      <c r="H351" s="774"/>
      <c r="J351" s="847"/>
      <c r="K351" s="825"/>
      <c r="L351" s="831"/>
      <c r="M351" s="831"/>
      <c r="N351" s="831"/>
      <c r="O351" s="825"/>
      <c r="P351" s="825"/>
      <c r="Q351" s="825"/>
      <c r="R351" s="825"/>
      <c r="S351" s="825"/>
      <c r="T351" s="825"/>
      <c r="U351" s="825"/>
      <c r="V351" s="825"/>
      <c r="W351" s="825"/>
      <c r="X351" s="825"/>
      <c r="Y351" s="825"/>
      <c r="Z351" s="825"/>
      <c r="AA351" s="825"/>
      <c r="AB351" s="825"/>
      <c r="AC351" s="825"/>
      <c r="AD351" s="825"/>
      <c r="AE351" s="825"/>
      <c r="AF351" s="825"/>
      <c r="AG351" s="825"/>
      <c r="AH351" s="825"/>
      <c r="AI351" s="825"/>
      <c r="AJ351" s="825"/>
      <c r="AK351" s="825"/>
      <c r="AL351" s="825"/>
      <c r="AM351" s="825"/>
      <c r="AN351" s="825"/>
      <c r="AO351" s="825"/>
      <c r="AP351" s="825"/>
      <c r="AQ351" s="825"/>
      <c r="AR351" s="825"/>
      <c r="AS351" s="1110"/>
      <c r="AT351" s="1040"/>
      <c r="AU351" s="825" t="str">
        <f t="shared" si="195"/>
        <v/>
      </c>
      <c r="AV351" s="2274" t="str">
        <f t="shared" si="199"/>
        <v/>
      </c>
      <c r="AW351" s="778"/>
      <c r="AX351" s="2016"/>
      <c r="AY351" s="2016"/>
      <c r="AZ351" s="2016"/>
      <c r="BA351" s="2016"/>
      <c r="BB351" s="2016"/>
    </row>
    <row r="352" spans="1:55" ht="14" hidden="1" customHeight="1" outlineLevel="1" x14ac:dyDescent="0.25">
      <c r="A352" s="779" t="s">
        <v>753</v>
      </c>
      <c r="B352" s="775"/>
      <c r="C352" s="775"/>
      <c r="D352" s="850"/>
      <c r="E352" s="777"/>
      <c r="F352" s="851"/>
      <c r="G352" s="777"/>
      <c r="H352" s="851"/>
      <c r="I352" s="777"/>
      <c r="J352" s="847"/>
      <c r="K352" s="825"/>
      <c r="L352" s="831"/>
      <c r="M352" s="831"/>
      <c r="N352" s="831"/>
      <c r="O352" s="825"/>
      <c r="P352" s="825"/>
      <c r="Q352" s="825"/>
      <c r="R352" s="825"/>
      <c r="S352" s="825"/>
      <c r="T352" s="825"/>
      <c r="U352" s="825"/>
      <c r="V352" s="825"/>
      <c r="W352" s="825"/>
      <c r="X352" s="825"/>
      <c r="Y352" s="825"/>
      <c r="Z352" s="825"/>
      <c r="AA352" s="825"/>
      <c r="AB352" s="825"/>
      <c r="AC352" s="825"/>
      <c r="AD352" s="825"/>
      <c r="AE352" s="825"/>
      <c r="AF352" s="825"/>
      <c r="AG352" s="825"/>
      <c r="AH352" s="825"/>
      <c r="AI352" s="825"/>
      <c r="AJ352" s="825"/>
      <c r="AK352" s="825"/>
      <c r="AL352" s="825"/>
      <c r="AM352" s="825"/>
      <c r="AN352" s="825"/>
      <c r="AO352" s="825"/>
      <c r="AP352" s="825"/>
      <c r="AQ352" s="825"/>
      <c r="AR352" s="825"/>
      <c r="AS352" s="1110"/>
      <c r="AT352" s="1040"/>
      <c r="AU352" s="825" t="str">
        <f t="shared" si="195"/>
        <v/>
      </c>
      <c r="AV352" s="2274" t="str">
        <f t="shared" si="199"/>
        <v/>
      </c>
      <c r="AW352" s="778"/>
      <c r="AX352" s="2016"/>
      <c r="AY352" s="2016"/>
      <c r="AZ352" s="2016"/>
      <c r="BA352" s="2016"/>
      <c r="BB352" s="2016"/>
    </row>
    <row r="353" spans="1:55" ht="14" hidden="1" customHeight="1" outlineLevel="1" x14ac:dyDescent="0.25">
      <c r="A353" s="779" t="s">
        <v>754</v>
      </c>
      <c r="B353" s="775">
        <v>105000</v>
      </c>
      <c r="C353" s="775">
        <v>105000</v>
      </c>
      <c r="D353" s="775"/>
      <c r="E353" s="775"/>
      <c r="F353" s="777"/>
      <c r="G353" s="777"/>
      <c r="H353" s="777"/>
      <c r="I353" s="777"/>
      <c r="J353" s="847"/>
      <c r="K353" s="825"/>
      <c r="L353" s="831"/>
      <c r="M353" s="831"/>
      <c r="N353" s="831"/>
      <c r="O353" s="825"/>
      <c r="P353" s="825"/>
      <c r="Q353" s="825"/>
      <c r="R353" s="825"/>
      <c r="S353" s="825"/>
      <c r="T353" s="825"/>
      <c r="U353" s="825"/>
      <c r="V353" s="825"/>
      <c r="W353" s="825"/>
      <c r="X353" s="825"/>
      <c r="Y353" s="825"/>
      <c r="Z353" s="825"/>
      <c r="AA353" s="825"/>
      <c r="AB353" s="825"/>
      <c r="AC353" s="825"/>
      <c r="AD353" s="825"/>
      <c r="AE353" s="825"/>
      <c r="AF353" s="825"/>
      <c r="AG353" s="825"/>
      <c r="AH353" s="825"/>
      <c r="AI353" s="825"/>
      <c r="AJ353" s="825"/>
      <c r="AK353" s="825"/>
      <c r="AL353" s="825"/>
      <c r="AM353" s="825"/>
      <c r="AN353" s="825"/>
      <c r="AO353" s="825"/>
      <c r="AP353" s="825"/>
      <c r="AQ353" s="825"/>
      <c r="AR353" s="825"/>
      <c r="AS353" s="1110"/>
      <c r="AT353" s="1040"/>
      <c r="AU353" s="825" t="str">
        <f t="shared" si="195"/>
        <v/>
      </c>
      <c r="AV353" s="2274" t="str">
        <f t="shared" si="199"/>
        <v/>
      </c>
      <c r="AW353" s="778"/>
      <c r="AX353" s="2016"/>
      <c r="AY353" s="2016"/>
      <c r="AZ353" s="2016"/>
      <c r="BA353" s="2016"/>
      <c r="BB353" s="2016"/>
    </row>
    <row r="354" spans="1:55" ht="14" hidden="1" customHeight="1" outlineLevel="1" x14ac:dyDescent="0.25">
      <c r="A354" s="779" t="s">
        <v>623</v>
      </c>
      <c r="B354" s="775">
        <v>155000</v>
      </c>
      <c r="C354" s="775">
        <v>155000</v>
      </c>
      <c r="D354" s="775">
        <v>155000</v>
      </c>
      <c r="E354" s="775">
        <v>155000</v>
      </c>
      <c r="F354" s="777">
        <v>169500</v>
      </c>
      <c r="G354" s="777">
        <v>169500</v>
      </c>
      <c r="H354" s="777">
        <v>174500</v>
      </c>
      <c r="I354" s="777">
        <v>174500</v>
      </c>
      <c r="J354" s="847">
        <v>189000</v>
      </c>
      <c r="K354" s="788"/>
      <c r="L354" s="812">
        <v>189000</v>
      </c>
      <c r="M354" s="812">
        <v>203500</v>
      </c>
      <c r="N354" s="1068">
        <v>213000</v>
      </c>
      <c r="O354" s="788">
        <v>213000</v>
      </c>
      <c r="P354" s="788">
        <v>223000</v>
      </c>
      <c r="Q354" s="855">
        <f>P354</f>
        <v>223000</v>
      </c>
      <c r="R354" s="788"/>
      <c r="S354" s="788"/>
      <c r="T354" s="788"/>
      <c r="U354" s="788"/>
      <c r="V354" s="788"/>
      <c r="W354" s="788"/>
      <c r="X354" s="788"/>
      <c r="Y354" s="788"/>
      <c r="Z354" s="788"/>
      <c r="AA354" s="788"/>
      <c r="AB354" s="788"/>
      <c r="AC354" s="788"/>
      <c r="AD354" s="788"/>
      <c r="AE354" s="788"/>
      <c r="AF354" s="788"/>
      <c r="AG354" s="788"/>
      <c r="AH354" s="788"/>
      <c r="AI354" s="788"/>
      <c r="AJ354" s="788"/>
      <c r="AK354" s="788"/>
      <c r="AL354" s="788"/>
      <c r="AM354" s="788"/>
      <c r="AN354" s="788"/>
      <c r="AO354" s="788"/>
      <c r="AP354" s="788"/>
      <c r="AQ354" s="825"/>
      <c r="AR354" s="788"/>
      <c r="AS354" s="841"/>
      <c r="AT354" s="891"/>
      <c r="AU354" s="788" t="str">
        <f t="shared" si="195"/>
        <v/>
      </c>
      <c r="AV354" s="2272" t="str">
        <f t="shared" si="199"/>
        <v/>
      </c>
      <c r="AW354" s="778"/>
      <c r="AX354" s="2016"/>
      <c r="AY354" s="2016"/>
      <c r="AZ354" s="2016"/>
      <c r="BA354" s="2016"/>
      <c r="BB354" s="2016"/>
    </row>
    <row r="355" spans="1:55" ht="14" hidden="1" customHeight="1" outlineLevel="1" x14ac:dyDescent="0.25">
      <c r="A355" s="1069" t="s">
        <v>748</v>
      </c>
      <c r="B355" s="773">
        <v>299000</v>
      </c>
      <c r="C355" s="773">
        <v>299000</v>
      </c>
      <c r="D355" s="773">
        <v>305000</v>
      </c>
      <c r="E355" s="773">
        <v>305000</v>
      </c>
      <c r="F355" s="774">
        <v>320000</v>
      </c>
      <c r="G355" s="774">
        <v>320000</v>
      </c>
      <c r="H355" s="774">
        <v>335000</v>
      </c>
      <c r="I355" s="774">
        <v>335000</v>
      </c>
      <c r="J355" s="806">
        <v>350000</v>
      </c>
      <c r="K355" s="827" t="s">
        <v>455</v>
      </c>
      <c r="L355" s="812">
        <v>370000</v>
      </c>
      <c r="M355" s="812">
        <v>385000</v>
      </c>
      <c r="N355" s="1068">
        <v>405000</v>
      </c>
      <c r="O355" s="788">
        <v>405000</v>
      </c>
      <c r="P355" s="788">
        <v>420000</v>
      </c>
      <c r="Q355" s="855">
        <f>P355</f>
        <v>420000</v>
      </c>
      <c r="R355" s="891">
        <f>'LONG-TERM DEBT'!U54</f>
        <v>445000</v>
      </c>
      <c r="S355" s="891"/>
      <c r="T355" s="891"/>
      <c r="U355" s="891">
        <v>0</v>
      </c>
      <c r="V355" s="891"/>
      <c r="W355" s="891">
        <f>V355</f>
        <v>0</v>
      </c>
      <c r="X355" s="891"/>
      <c r="Y355" s="891">
        <f>X355</f>
        <v>0</v>
      </c>
      <c r="Z355" s="891"/>
      <c r="AA355" s="891">
        <f>Z355</f>
        <v>0</v>
      </c>
      <c r="AB355" s="891"/>
      <c r="AC355" s="891">
        <f>AB355</f>
        <v>0</v>
      </c>
      <c r="AD355" s="891"/>
      <c r="AE355" s="891"/>
      <c r="AF355" s="891"/>
      <c r="AG355" s="891"/>
      <c r="AH355" s="891"/>
      <c r="AI355" s="891"/>
      <c r="AJ355" s="891"/>
      <c r="AK355" s="891"/>
      <c r="AL355" s="891"/>
      <c r="AM355" s="891"/>
      <c r="AN355" s="891"/>
      <c r="AO355" s="891"/>
      <c r="AP355" s="891"/>
      <c r="AQ355" s="825"/>
      <c r="AR355" s="891"/>
      <c r="AS355" s="1080"/>
      <c r="AT355" s="891"/>
      <c r="AU355" s="788" t="str">
        <f t="shared" si="195"/>
        <v/>
      </c>
      <c r="AV355" s="2294" t="str">
        <f t="shared" si="199"/>
        <v/>
      </c>
      <c r="AW355" s="778"/>
      <c r="AX355" s="2016"/>
      <c r="AY355" s="2016"/>
      <c r="AZ355" s="2016"/>
      <c r="BA355" s="2016"/>
      <c r="BB355" s="2016"/>
    </row>
    <row r="356" spans="1:55" ht="14" hidden="1" customHeight="1" outlineLevel="1" x14ac:dyDescent="0.25">
      <c r="A356" s="1069" t="s">
        <v>427</v>
      </c>
      <c r="B356" s="773"/>
      <c r="C356" s="773"/>
      <c r="D356" s="773"/>
      <c r="E356" s="773"/>
      <c r="F356" s="774"/>
      <c r="G356" s="774"/>
      <c r="H356" s="774"/>
      <c r="I356" s="774"/>
      <c r="J356" s="992"/>
      <c r="K356" s="827"/>
      <c r="L356" s="1070"/>
      <c r="M356" s="812"/>
      <c r="N356" s="1068"/>
      <c r="O356" s="788"/>
      <c r="P356" s="841"/>
      <c r="Q356" s="855"/>
      <c r="R356" s="891">
        <v>351700</v>
      </c>
      <c r="S356" s="891"/>
      <c r="T356" s="891">
        <v>361500</v>
      </c>
      <c r="U356" s="891">
        <v>361500</v>
      </c>
      <c r="V356" s="891">
        <f>SUM('LONG-TERM DEBT'!W56:W61)</f>
        <v>371000</v>
      </c>
      <c r="W356" s="891">
        <f>SUM('LONG-TERM DEBT'!W56:W61)</f>
        <v>371000</v>
      </c>
      <c r="X356" s="891">
        <f>SUM('LONG-TERM DEBT'!X56:X61)</f>
        <v>371500</v>
      </c>
      <c r="Y356" s="891">
        <f>SUM('LONG-TERM DEBT'!X56:X61)</f>
        <v>371500</v>
      </c>
      <c r="Z356" s="891">
        <f>SUM('LONG-TERM DEBT'!Y56:Y61)</f>
        <v>296000</v>
      </c>
      <c r="AA356" s="891">
        <f>SUM('LONG-TERM DEBT'!Y56:Y61)</f>
        <v>296000</v>
      </c>
      <c r="AB356" s="891">
        <f>SUM('LONG-TERM DEBT'!Z56:Z61)</f>
        <v>300500</v>
      </c>
      <c r="AC356" s="891">
        <f>SUM('LONG-TERM DEBT'!Z56:Z61)</f>
        <v>300500</v>
      </c>
      <c r="AD356" s="891"/>
      <c r="AE356" s="891">
        <v>305500</v>
      </c>
      <c r="AF356" s="891"/>
      <c r="AG356" s="891">
        <v>210000</v>
      </c>
      <c r="AH356" s="891">
        <v>210000</v>
      </c>
      <c r="AI356" s="891">
        <v>215000</v>
      </c>
      <c r="AJ356" s="891">
        <v>215000</v>
      </c>
      <c r="AK356" s="891">
        <v>120000</v>
      </c>
      <c r="AL356" s="788">
        <v>120000</v>
      </c>
      <c r="AM356" s="788">
        <f>SUM('LONG-TERM DEBT'!AE56:AE61)</f>
        <v>0</v>
      </c>
      <c r="AN356" s="788"/>
      <c r="AO356" s="788">
        <f>SUM('LONG-TERM DEBT'!AG56:AG61)</f>
        <v>0</v>
      </c>
      <c r="AP356" s="788"/>
      <c r="AQ356" s="788">
        <f>SUM('LONG-TERM DEBT'!AI56:AI61)</f>
        <v>0</v>
      </c>
      <c r="AR356" s="788"/>
      <c r="AS356" s="841"/>
      <c r="AT356" s="891"/>
      <c r="AU356" s="788" t="str">
        <f t="shared" si="195"/>
        <v/>
      </c>
      <c r="AV356" s="2272" t="str">
        <f t="shared" si="199"/>
        <v/>
      </c>
      <c r="AW356" s="887"/>
      <c r="AX356" s="2016"/>
      <c r="AY356" s="2016"/>
      <c r="AZ356" s="2016"/>
      <c r="BA356" s="2016"/>
      <c r="BB356" s="2016"/>
      <c r="BC356" s="2032"/>
    </row>
    <row r="357" spans="1:55" ht="14" hidden="1" customHeight="1" outlineLevel="1" x14ac:dyDescent="0.25">
      <c r="A357" s="1069" t="s">
        <v>805</v>
      </c>
      <c r="B357" s="773"/>
      <c r="C357" s="773"/>
      <c r="D357" s="773"/>
      <c r="E357" s="773"/>
      <c r="F357" s="774"/>
      <c r="G357" s="774"/>
      <c r="H357" s="774"/>
      <c r="I357" s="774"/>
      <c r="J357" s="992"/>
      <c r="K357" s="827"/>
      <c r="L357" s="1070"/>
      <c r="M357" s="812"/>
      <c r="N357" s="1068"/>
      <c r="O357" s="788"/>
      <c r="P357" s="841"/>
      <c r="Q357" s="855"/>
      <c r="R357" s="891"/>
      <c r="S357" s="891"/>
      <c r="T357" s="891">
        <v>176000</v>
      </c>
      <c r="U357" s="891">
        <v>176000</v>
      </c>
      <c r="V357" s="891">
        <f>SUM('LONG-TERM DEBT'!W63:W66)</f>
        <v>180000</v>
      </c>
      <c r="W357" s="891">
        <f>SUM('LONG-TERM DEBT'!W63:W66)</f>
        <v>180000</v>
      </c>
      <c r="X357" s="891">
        <f>SUM('LONG-TERM DEBT'!X63:X66)</f>
        <v>185000</v>
      </c>
      <c r="Y357" s="891">
        <f>SUM('LONG-TERM DEBT'!X63:X66)</f>
        <v>185000</v>
      </c>
      <c r="Z357" s="891">
        <f>SUM('LONG-TERM DEBT'!Y63:Y66)</f>
        <v>190000</v>
      </c>
      <c r="AA357" s="891">
        <f>SUM('LONG-TERM DEBT'!Y63:Y66)</f>
        <v>190000</v>
      </c>
      <c r="AB357" s="891">
        <f>SUM('LONG-TERM DEBT'!Z63:Z66)</f>
        <v>195000</v>
      </c>
      <c r="AC357" s="891">
        <f>SUM('LONG-TERM DEBT'!Z63:Z66)</f>
        <v>195000</v>
      </c>
      <c r="AD357" s="891"/>
      <c r="AE357" s="891">
        <v>200000</v>
      </c>
      <c r="AF357" s="891"/>
      <c r="AG357" s="891">
        <v>210000</v>
      </c>
      <c r="AH357" s="891">
        <v>210000</v>
      </c>
      <c r="AI357" s="891">
        <v>210000</v>
      </c>
      <c r="AJ357" s="891">
        <v>210000</v>
      </c>
      <c r="AK357" s="891">
        <v>200000</v>
      </c>
      <c r="AL357" s="788">
        <v>200000</v>
      </c>
      <c r="AM357" s="788">
        <f>SUM('LONG-TERM DEBT'!AE63:AE65)</f>
        <v>200000</v>
      </c>
      <c r="AN357" s="788">
        <v>200000</v>
      </c>
      <c r="AO357" s="788">
        <f>SUM('LONG-TERM DEBT'!AF63:AF65)</f>
        <v>0</v>
      </c>
      <c r="AP357" s="788"/>
      <c r="AQ357" s="788">
        <f>SUM('LONG-TERM DEBT'!AH63:AH65)</f>
        <v>0</v>
      </c>
      <c r="AR357" s="788"/>
      <c r="AS357" s="841"/>
      <c r="AT357" s="891"/>
      <c r="AU357" s="788" t="str">
        <f t="shared" si="195"/>
        <v/>
      </c>
      <c r="AV357" s="2272" t="str">
        <f t="shared" si="199"/>
        <v/>
      </c>
      <c r="AW357" s="887"/>
      <c r="AX357" s="2016"/>
      <c r="AY357" s="2016"/>
      <c r="AZ357" s="2016"/>
      <c r="BA357" s="2016"/>
      <c r="BB357" s="2016"/>
      <c r="BC357" s="2032"/>
    </row>
    <row r="358" spans="1:55" ht="14" hidden="1" customHeight="1" outlineLevel="1" x14ac:dyDescent="0.25">
      <c r="A358" s="1069" t="s">
        <v>804</v>
      </c>
      <c r="B358" s="773"/>
      <c r="C358" s="773"/>
      <c r="D358" s="773"/>
      <c r="E358" s="773"/>
      <c r="F358" s="774"/>
      <c r="G358" s="774"/>
      <c r="H358" s="774"/>
      <c r="I358" s="774"/>
      <c r="J358" s="992"/>
      <c r="K358" s="827"/>
      <c r="L358" s="1070"/>
      <c r="M358" s="812"/>
      <c r="N358" s="1068"/>
      <c r="O358" s="788"/>
      <c r="P358" s="841"/>
      <c r="Q358" s="855"/>
      <c r="R358" s="891"/>
      <c r="S358" s="891"/>
      <c r="T358" s="891"/>
      <c r="U358" s="891"/>
      <c r="V358" s="891"/>
      <c r="W358" s="891"/>
      <c r="X358" s="891"/>
      <c r="Y358" s="891"/>
      <c r="Z358" s="891">
        <f>SUM('LONG-TERM DEBT'!Y67)</f>
        <v>71000</v>
      </c>
      <c r="AA358" s="891">
        <f>SUM('LONG-TERM DEBT'!Y67)</f>
        <v>71000</v>
      </c>
      <c r="AB358" s="1071">
        <f>SUM('LONG-TERM DEBT'!Z67+'LONG-TERM DEBT'!Z68)</f>
        <v>74000</v>
      </c>
      <c r="AC358" s="891">
        <f>SUM('LONG-TERM DEBT'!Z67+'LONG-TERM DEBT'!Z68)</f>
        <v>74000</v>
      </c>
      <c r="AD358" s="891"/>
      <c r="AE358" s="891">
        <v>96000</v>
      </c>
      <c r="AF358" s="891">
        <v>0</v>
      </c>
      <c r="AG358" s="891">
        <v>0</v>
      </c>
      <c r="AH358" s="891">
        <v>0</v>
      </c>
      <c r="AI358" s="891">
        <v>0</v>
      </c>
      <c r="AJ358" s="891">
        <v>0</v>
      </c>
      <c r="AK358" s="891">
        <v>0</v>
      </c>
      <c r="AL358" s="788">
        <v>0</v>
      </c>
      <c r="AM358" s="788">
        <f>SUM('LONG-TERM DEBT'!AF67+'LONG-TERM DEBT'!AEF3)+'LONG-TERM DEBT'!AF160</f>
        <v>0</v>
      </c>
      <c r="AN358" s="788"/>
      <c r="AO358" s="788">
        <f>SUM('LONG-TERM DEBT'!AH67+'LONG-TERM DEBT'!AEH3)+'LONG-TERM DEBT'!AH160</f>
        <v>0</v>
      </c>
      <c r="AP358" s="788"/>
      <c r="AQ358" s="788">
        <f>SUM('LONG-TERM DEBT'!AJ67+'LONG-TERM DEBT'!AEJ3)+'LONG-TERM DEBT'!AJ160</f>
        <v>0</v>
      </c>
      <c r="AR358" s="788"/>
      <c r="AS358" s="841"/>
      <c r="AT358" s="891"/>
      <c r="AU358" s="788" t="str">
        <f t="shared" si="195"/>
        <v/>
      </c>
      <c r="AV358" s="2272" t="str">
        <f t="shared" si="199"/>
        <v/>
      </c>
      <c r="AW358" s="887"/>
      <c r="AX358" s="2016"/>
      <c r="AY358" s="2016"/>
      <c r="AZ358" s="2016"/>
      <c r="BA358" s="2016"/>
      <c r="BB358" s="2016"/>
      <c r="BC358" s="2032"/>
    </row>
    <row r="359" spans="1:55" ht="14" hidden="1" customHeight="1" outlineLevel="1" x14ac:dyDescent="0.25">
      <c r="A359" s="1069" t="s">
        <v>914</v>
      </c>
      <c r="B359" s="773"/>
      <c r="C359" s="773"/>
      <c r="D359" s="773"/>
      <c r="E359" s="773"/>
      <c r="F359" s="774"/>
      <c r="G359" s="774"/>
      <c r="H359" s="774"/>
      <c r="I359" s="774"/>
      <c r="J359" s="992"/>
      <c r="K359" s="827"/>
      <c r="L359" s="1070"/>
      <c r="M359" s="812"/>
      <c r="N359" s="1068"/>
      <c r="O359" s="788"/>
      <c r="P359" s="841"/>
      <c r="Q359" s="855"/>
      <c r="R359" s="891"/>
      <c r="S359" s="891"/>
      <c r="T359" s="891"/>
      <c r="U359" s="891"/>
      <c r="V359" s="891"/>
      <c r="W359" s="891"/>
      <c r="X359" s="891"/>
      <c r="Y359" s="891"/>
      <c r="Z359" s="891"/>
      <c r="AA359" s="891"/>
      <c r="AB359" s="891"/>
      <c r="AC359" s="891"/>
      <c r="AD359" s="891"/>
      <c r="AE359" s="891">
        <v>0</v>
      </c>
      <c r="AF359" s="891"/>
      <c r="AG359" s="891">
        <v>135500</v>
      </c>
      <c r="AH359" s="891">
        <v>135500</v>
      </c>
      <c r="AI359" s="891">
        <v>150000</v>
      </c>
      <c r="AJ359" s="891">
        <v>150000</v>
      </c>
      <c r="AK359" s="891">
        <v>155000</v>
      </c>
      <c r="AL359" s="788">
        <v>155000</v>
      </c>
      <c r="AM359" s="788">
        <f>SUM('LONG-TERM DEBT'!AE70:AE78)</f>
        <v>165000</v>
      </c>
      <c r="AN359" s="788">
        <v>165000</v>
      </c>
      <c r="AO359" s="788">
        <f>SUM('LONG-TERM DEBT'!AF70:AF78)</f>
        <v>155000</v>
      </c>
      <c r="AP359" s="788">
        <f>AO359</f>
        <v>155000</v>
      </c>
      <c r="AQ359" s="788">
        <f>SUM('LONG-TERM DEBT'!AG70:AG78)</f>
        <v>160000</v>
      </c>
      <c r="AR359" s="788">
        <f>AQ359</f>
        <v>160000</v>
      </c>
      <c r="AS359" s="841">
        <f>SUM('LONG-TERM DEBT'!AH70:AH78)</f>
        <v>155000</v>
      </c>
      <c r="AT359" s="891">
        <f>SUM('[1]BUDGET DETAIL'!$CX$888:$CX$889)</f>
        <v>155000</v>
      </c>
      <c r="AU359" s="788">
        <f t="shared" si="195"/>
        <v>-5000</v>
      </c>
      <c r="AV359" s="2272">
        <f t="shared" si="199"/>
        <v>-3.125E-2</v>
      </c>
      <c r="AW359" s="887"/>
      <c r="AX359" s="2016"/>
      <c r="AY359" s="2016"/>
      <c r="AZ359" s="2016"/>
      <c r="BA359" s="2016"/>
      <c r="BB359" s="2016"/>
      <c r="BC359" s="2032"/>
    </row>
    <row r="360" spans="1:55" ht="14" hidden="1" customHeight="1" outlineLevel="1" x14ac:dyDescent="0.25">
      <c r="A360" s="1395" t="s">
        <v>966</v>
      </c>
      <c r="B360" s="773"/>
      <c r="C360" s="773"/>
      <c r="D360" s="773"/>
      <c r="E360" s="773"/>
      <c r="F360" s="774"/>
      <c r="G360" s="774"/>
      <c r="H360" s="774"/>
      <c r="I360" s="774"/>
      <c r="J360" s="992"/>
      <c r="K360" s="827"/>
      <c r="L360" s="1070"/>
      <c r="M360" s="812"/>
      <c r="N360" s="1068"/>
      <c r="O360" s="788"/>
      <c r="P360" s="841"/>
      <c r="Q360" s="855"/>
      <c r="R360" s="891"/>
      <c r="S360" s="891"/>
      <c r="T360" s="891"/>
      <c r="U360" s="891"/>
      <c r="V360" s="891"/>
      <c r="W360" s="891"/>
      <c r="X360" s="891"/>
      <c r="Y360" s="891"/>
      <c r="Z360" s="891"/>
      <c r="AA360" s="891"/>
      <c r="AB360" s="891"/>
      <c r="AC360" s="891"/>
      <c r="AD360" s="891"/>
      <c r="AE360" s="891"/>
      <c r="AF360" s="891"/>
      <c r="AG360" s="891"/>
      <c r="AH360" s="891"/>
      <c r="AI360" s="891">
        <v>191000</v>
      </c>
      <c r="AJ360" s="891">
        <v>191000</v>
      </c>
      <c r="AK360" s="891">
        <v>200000</v>
      </c>
      <c r="AL360" s="788">
        <v>200000</v>
      </c>
      <c r="AM360" s="788">
        <f>SUM('LONG-TERM DEBT'!AE80:AE81)</f>
        <v>285000</v>
      </c>
      <c r="AN360" s="788">
        <v>285000</v>
      </c>
      <c r="AO360" s="788">
        <f>SUM('LONG-TERM DEBT'!AF80:AF81)</f>
        <v>305000</v>
      </c>
      <c r="AP360" s="788">
        <f>AO360</f>
        <v>305000</v>
      </c>
      <c r="AQ360" s="788">
        <f>SUM('LONG-TERM DEBT'!AG80:AG81)</f>
        <v>320000</v>
      </c>
      <c r="AR360" s="788">
        <f t="shared" ref="AR360:AR361" si="222">AQ360</f>
        <v>320000</v>
      </c>
      <c r="AS360" s="841">
        <f>SUM('LONG-TERM DEBT'!AH80:AH81)</f>
        <v>335000</v>
      </c>
      <c r="AT360" s="891">
        <f>SUM('[1]BUDGET DETAIL'!$CX$891:$CX$892)</f>
        <v>335000</v>
      </c>
      <c r="AU360" s="788">
        <f t="shared" si="195"/>
        <v>15000</v>
      </c>
      <c r="AV360" s="2272">
        <f t="shared" si="199"/>
        <v>4.6875E-2</v>
      </c>
      <c r="AW360" s="887"/>
      <c r="AX360" s="2016"/>
      <c r="AY360" s="2016"/>
      <c r="AZ360" s="2016"/>
      <c r="BA360" s="2016"/>
      <c r="BB360" s="2016"/>
      <c r="BC360" s="2032"/>
    </row>
    <row r="361" spans="1:55" ht="14" hidden="1" customHeight="1" outlineLevel="1" x14ac:dyDescent="0.25">
      <c r="A361" s="1395" t="s">
        <v>1005</v>
      </c>
      <c r="B361" s="773"/>
      <c r="C361" s="773"/>
      <c r="D361" s="773"/>
      <c r="E361" s="773"/>
      <c r="F361" s="774"/>
      <c r="G361" s="774"/>
      <c r="H361" s="774"/>
      <c r="I361" s="774"/>
      <c r="J361" s="992"/>
      <c r="K361" s="827"/>
      <c r="L361" s="1070"/>
      <c r="M361" s="812"/>
      <c r="N361" s="1068"/>
      <c r="O361" s="788"/>
      <c r="P361" s="841"/>
      <c r="Q361" s="855"/>
      <c r="R361" s="891"/>
      <c r="S361" s="891"/>
      <c r="T361" s="891"/>
      <c r="U361" s="891"/>
      <c r="V361" s="891"/>
      <c r="W361" s="891"/>
      <c r="X361" s="891"/>
      <c r="Y361" s="891"/>
      <c r="Z361" s="891"/>
      <c r="AA361" s="891"/>
      <c r="AB361" s="891"/>
      <c r="AC361" s="891"/>
      <c r="AD361" s="891"/>
      <c r="AE361" s="891"/>
      <c r="AF361" s="891"/>
      <c r="AG361" s="891"/>
      <c r="AH361" s="891"/>
      <c r="AI361" s="891"/>
      <c r="AJ361" s="891"/>
      <c r="AK361" s="788">
        <v>120000</v>
      </c>
      <c r="AL361" s="788">
        <v>120000</v>
      </c>
      <c r="AM361" s="788">
        <f>SUM('LONG-TERM DEBT'!AE84:AE85)</f>
        <v>125000</v>
      </c>
      <c r="AN361" s="788">
        <v>125000</v>
      </c>
      <c r="AO361" s="788">
        <f>SUM('LONG-TERM DEBT'!AF84:AF85)</f>
        <v>130000</v>
      </c>
      <c r="AP361" s="788">
        <f>AO361</f>
        <v>130000</v>
      </c>
      <c r="AQ361" s="788">
        <f>SUM('LONG-TERM DEBT'!AG84:AG85)</f>
        <v>140000</v>
      </c>
      <c r="AR361" s="788">
        <f t="shared" si="222"/>
        <v>140000</v>
      </c>
      <c r="AS361" s="841">
        <f>SUM('LONG-TERM DEBT'!AH84:AH85)</f>
        <v>145000</v>
      </c>
      <c r="AT361" s="891">
        <f>SUM('[1]BUDGET DETAIL'!$CX$894:$CX$895)</f>
        <v>145000</v>
      </c>
      <c r="AU361" s="788">
        <f t="shared" si="195"/>
        <v>5000</v>
      </c>
      <c r="AV361" s="2272">
        <f t="shared" si="199"/>
        <v>3.5714285714285712E-2</v>
      </c>
      <c r="AW361" s="887"/>
      <c r="AX361" s="2016"/>
      <c r="AY361" s="2016"/>
      <c r="AZ361" s="2016"/>
      <c r="BA361" s="2016"/>
      <c r="BB361" s="2016"/>
      <c r="BC361" s="2032"/>
    </row>
    <row r="362" spans="1:55" ht="14" hidden="1" customHeight="1" outlineLevel="1" x14ac:dyDescent="0.25">
      <c r="A362" s="1072"/>
      <c r="B362" s="773"/>
      <c r="C362" s="773"/>
      <c r="D362" s="773"/>
      <c r="E362" s="773"/>
      <c r="F362" s="774"/>
      <c r="G362" s="774"/>
      <c r="H362" s="774"/>
      <c r="I362" s="774"/>
      <c r="J362" s="992"/>
      <c r="K362" s="827"/>
      <c r="L362" s="1070"/>
      <c r="M362" s="812"/>
      <c r="N362" s="1068"/>
      <c r="O362" s="788"/>
      <c r="P362" s="841"/>
      <c r="Q362" s="855"/>
      <c r="R362" s="891"/>
      <c r="S362" s="891"/>
      <c r="T362" s="891"/>
      <c r="U362" s="891"/>
      <c r="V362" s="891"/>
      <c r="W362" s="891"/>
      <c r="X362" s="891"/>
      <c r="Y362" s="891"/>
      <c r="Z362" s="891"/>
      <c r="AA362" s="891"/>
      <c r="AB362" s="891"/>
      <c r="AC362" s="891"/>
      <c r="AD362" s="891"/>
      <c r="AE362" s="891"/>
      <c r="AF362" s="891"/>
      <c r="AG362" s="891"/>
      <c r="AH362" s="891"/>
      <c r="AI362" s="891"/>
      <c r="AJ362" s="891"/>
      <c r="AK362" s="788"/>
      <c r="AL362" s="788">
        <v>0</v>
      </c>
      <c r="AM362" s="788"/>
      <c r="AN362" s="788"/>
      <c r="AO362" s="788"/>
      <c r="AP362" s="788"/>
      <c r="AQ362" s="788"/>
      <c r="AR362" s="788"/>
      <c r="AS362" s="841"/>
      <c r="AT362" s="891"/>
      <c r="AU362" s="788" t="str">
        <f t="shared" si="195"/>
        <v/>
      </c>
      <c r="AV362" s="2272" t="str">
        <f t="shared" si="199"/>
        <v/>
      </c>
      <c r="AW362" s="887"/>
      <c r="AX362" s="2016"/>
      <c r="AY362" s="2016"/>
      <c r="AZ362" s="2016"/>
      <c r="BA362" s="2016"/>
      <c r="BB362" s="2016"/>
      <c r="BC362" s="2032"/>
    </row>
    <row r="363" spans="1:55" ht="14" hidden="1" customHeight="1" outlineLevel="1" x14ac:dyDescent="0.25">
      <c r="A363" s="842" t="s">
        <v>721</v>
      </c>
      <c r="B363" s="781">
        <f>SUM(B353:B355)</f>
        <v>559000</v>
      </c>
      <c r="C363" s="781">
        <f>SUM(C353:C355)</f>
        <v>559000</v>
      </c>
      <c r="D363" s="781">
        <f t="shared" ref="D363:J363" si="223">SUM(D352:D355)</f>
        <v>460000</v>
      </c>
      <c r="E363" s="781">
        <f t="shared" si="223"/>
        <v>460000</v>
      </c>
      <c r="F363" s="781">
        <f t="shared" si="223"/>
        <v>489500</v>
      </c>
      <c r="G363" s="781">
        <f t="shared" si="223"/>
        <v>489500</v>
      </c>
      <c r="H363" s="781">
        <f t="shared" si="223"/>
        <v>509500</v>
      </c>
      <c r="I363" s="781">
        <f t="shared" si="223"/>
        <v>509500</v>
      </c>
      <c r="J363" s="994">
        <f t="shared" si="223"/>
        <v>539000</v>
      </c>
      <c r="K363" s="995">
        <v>38789</v>
      </c>
      <c r="L363" s="1032">
        <f>SUM(L352:L355)</f>
        <v>559000</v>
      </c>
      <c r="M363" s="843">
        <f>SUM(M352:M355)</f>
        <v>588500</v>
      </c>
      <c r="N363" s="1073">
        <f>SUM(N352:N355)</f>
        <v>618000</v>
      </c>
      <c r="O363" s="845">
        <f>SUM(O353:O355)</f>
        <v>618000</v>
      </c>
      <c r="P363" s="1074">
        <f>SUM(P353:P355)</f>
        <v>643000</v>
      </c>
      <c r="Q363" s="819">
        <f>IF(SUM(Q354:Q355)=0,P363,SUM(Q354:Q355))</f>
        <v>643000</v>
      </c>
      <c r="R363" s="845">
        <f>SUM(R353:R356)</f>
        <v>796700</v>
      </c>
      <c r="S363" s="819">
        <f>IF(SUM(S354:S355)=0,R363,SUM(S354:S355))</f>
        <v>796700</v>
      </c>
      <c r="T363" s="819">
        <v>537500</v>
      </c>
      <c r="U363" s="819">
        <v>537500</v>
      </c>
      <c r="V363" s="845">
        <f>SUM(V353:V357)</f>
        <v>551000</v>
      </c>
      <c r="W363" s="819">
        <f>IF(SUM(W353:W357)=0,V363,SUM(W353:W357))</f>
        <v>551000</v>
      </c>
      <c r="X363" s="845">
        <f>SUM(X353:X357)</f>
        <v>556500</v>
      </c>
      <c r="Y363" s="819">
        <f>IF(SUM(Y353:Y357)=0,X363,SUM(Y353:Y357))</f>
        <v>556500</v>
      </c>
      <c r="Z363" s="845">
        <f>SUM(Z353:Z358)</f>
        <v>557000</v>
      </c>
      <c r="AA363" s="819">
        <f>IF(SUM(AA353:AA358)=0,Z363,SUM(AA353:AA358))</f>
        <v>557000</v>
      </c>
      <c r="AB363" s="845">
        <f>SUM(AB353:AB358)</f>
        <v>569500</v>
      </c>
      <c r="AC363" s="819">
        <f>IF(SUM(AC353:AC358)=0,AB363,SUM(AC353:AC358))</f>
        <v>569500</v>
      </c>
      <c r="AD363" s="819"/>
      <c r="AE363" s="819">
        <v>601500</v>
      </c>
      <c r="AF363" s="819">
        <v>601500</v>
      </c>
      <c r="AG363" s="819">
        <v>555500</v>
      </c>
      <c r="AH363" s="819">
        <v>555500</v>
      </c>
      <c r="AI363" s="819">
        <v>766000</v>
      </c>
      <c r="AJ363" s="819">
        <v>766000</v>
      </c>
      <c r="AK363" s="819">
        <v>795000</v>
      </c>
      <c r="AL363" s="788">
        <v>795000</v>
      </c>
      <c r="AM363" s="785">
        <f t="shared" ref="AM363:AS363" si="224">IF(SUM(AM357:AM362)=0,AL363,SUM(AM356:AM362))</f>
        <v>775000</v>
      </c>
      <c r="AN363" s="785">
        <f t="shared" si="224"/>
        <v>775000</v>
      </c>
      <c r="AO363" s="785">
        <f t="shared" si="224"/>
        <v>590000</v>
      </c>
      <c r="AP363" s="785">
        <f t="shared" si="224"/>
        <v>590000</v>
      </c>
      <c r="AQ363" s="785">
        <f t="shared" si="224"/>
        <v>620000</v>
      </c>
      <c r="AR363" s="785">
        <f t="shared" si="224"/>
        <v>620000</v>
      </c>
      <c r="AS363" s="820">
        <f t="shared" si="224"/>
        <v>635000</v>
      </c>
      <c r="AT363" s="819">
        <f>SUM(AT359:AT362)</f>
        <v>635000</v>
      </c>
      <c r="AU363" s="785">
        <f t="shared" si="195"/>
        <v>15000</v>
      </c>
      <c r="AV363" s="2275">
        <f t="shared" si="199"/>
        <v>2.4193548387096774E-2</v>
      </c>
      <c r="AW363" s="778"/>
      <c r="AX363" s="2016"/>
      <c r="AY363" s="2016"/>
      <c r="AZ363" s="2016"/>
      <c r="BA363" s="2518">
        <f>POWER(AT363/AJ363,1/5)-1</f>
        <v>-3.6816595544524988E-2</v>
      </c>
      <c r="BB363" s="2518">
        <f>POWER(AT363/AA363,1/9)-1</f>
        <v>1.4668740758327026E-2</v>
      </c>
      <c r="BC363" s="2332"/>
    </row>
    <row r="364" spans="1:55" ht="14" hidden="1" customHeight="1" outlineLevel="1" x14ac:dyDescent="0.25">
      <c r="A364" s="821"/>
      <c r="B364" s="796"/>
      <c r="C364" s="796"/>
      <c r="D364" s="796"/>
      <c r="E364" s="796"/>
      <c r="F364" s="801"/>
      <c r="G364" s="801"/>
      <c r="H364" s="801"/>
      <c r="I364" s="801"/>
      <c r="J364" s="846"/>
      <c r="K364" s="823"/>
      <c r="L364" s="830"/>
      <c r="M364" s="830"/>
      <c r="N364" s="1075"/>
      <c r="O364" s="823"/>
      <c r="P364" s="823"/>
      <c r="Q364" s="823"/>
      <c r="R364" s="823"/>
      <c r="S364" s="823"/>
      <c r="T364" s="823"/>
      <c r="U364" s="823"/>
      <c r="V364" s="823"/>
      <c r="W364" s="823"/>
      <c r="X364" s="823"/>
      <c r="Y364" s="823"/>
      <c r="Z364" s="823"/>
      <c r="AA364" s="823"/>
      <c r="AB364" s="823"/>
      <c r="AC364" s="823"/>
      <c r="AD364" s="823"/>
      <c r="AE364" s="823"/>
      <c r="AF364" s="823"/>
      <c r="AG364" s="823"/>
      <c r="AH364" s="823"/>
      <c r="AI364" s="823"/>
      <c r="AJ364" s="823"/>
      <c r="AK364" s="823"/>
      <c r="AL364" s="823"/>
      <c r="AM364" s="823"/>
      <c r="AN364" s="823"/>
      <c r="AO364" s="823"/>
      <c r="AP364" s="823"/>
      <c r="AQ364" s="823"/>
      <c r="AR364" s="823"/>
      <c r="AS364" s="1629"/>
      <c r="AT364" s="823"/>
      <c r="AU364" s="822" t="str">
        <f t="shared" si="195"/>
        <v/>
      </c>
      <c r="AV364" s="2285" t="str">
        <f t="shared" si="199"/>
        <v/>
      </c>
      <c r="AW364" s="803"/>
      <c r="AX364" s="2016"/>
      <c r="AY364" s="2016"/>
      <c r="AZ364" s="2016"/>
      <c r="BA364" s="2016"/>
      <c r="BB364" s="2016"/>
    </row>
    <row r="365" spans="1:55" ht="14" hidden="1" customHeight="1" outlineLevel="1" x14ac:dyDescent="0.25">
      <c r="A365" s="779" t="s">
        <v>627</v>
      </c>
      <c r="B365" s="775"/>
      <c r="C365" s="775"/>
      <c r="D365" s="775"/>
      <c r="E365" s="775"/>
      <c r="F365" s="777"/>
      <c r="G365" s="777"/>
      <c r="H365" s="777"/>
      <c r="I365" s="777"/>
      <c r="J365" s="847"/>
      <c r="K365" s="825"/>
      <c r="L365" s="831"/>
      <c r="M365" s="831"/>
      <c r="N365" s="1076"/>
      <c r="O365" s="825"/>
      <c r="P365" s="825"/>
      <c r="Q365" s="825"/>
      <c r="R365" s="825"/>
      <c r="S365" s="825"/>
      <c r="T365" s="825"/>
      <c r="U365" s="825"/>
      <c r="V365" s="825"/>
      <c r="W365" s="825"/>
      <c r="X365" s="825"/>
      <c r="Y365" s="825"/>
      <c r="Z365" s="825"/>
      <c r="AA365" s="825"/>
      <c r="AB365" s="825"/>
      <c r="AC365" s="825"/>
      <c r="AD365" s="825"/>
      <c r="AE365" s="825"/>
      <c r="AF365" s="825"/>
      <c r="AG365" s="825"/>
      <c r="AH365" s="825"/>
      <c r="AI365" s="825"/>
      <c r="AJ365" s="825"/>
      <c r="AK365" s="825"/>
      <c r="AL365" s="825"/>
      <c r="AM365" s="825"/>
      <c r="AN365" s="825"/>
      <c r="AO365" s="825"/>
      <c r="AP365" s="825"/>
      <c r="AQ365" s="825"/>
      <c r="AR365" s="825"/>
      <c r="AS365" s="1110"/>
      <c r="AT365" s="1040"/>
      <c r="AU365" s="825" t="str">
        <f t="shared" si="195"/>
        <v/>
      </c>
      <c r="AV365" s="2274" t="str">
        <f t="shared" si="199"/>
        <v/>
      </c>
      <c r="AW365" s="778"/>
      <c r="AX365" s="2016"/>
      <c r="AY365" s="2016"/>
      <c r="AZ365" s="2016"/>
      <c r="BA365" s="2016"/>
      <c r="BB365" s="2016"/>
    </row>
    <row r="366" spans="1:55" ht="14" hidden="1" customHeight="1" outlineLevel="1" x14ac:dyDescent="0.25">
      <c r="A366" s="998" t="s">
        <v>633</v>
      </c>
      <c r="B366" s="775">
        <v>4221</v>
      </c>
      <c r="C366" s="775">
        <v>4221</v>
      </c>
      <c r="D366" s="775"/>
      <c r="E366" s="775"/>
      <c r="F366" s="777"/>
      <c r="G366" s="777"/>
      <c r="H366" s="777"/>
      <c r="I366" s="777"/>
      <c r="J366" s="847"/>
      <c r="K366" s="825"/>
      <c r="L366" s="831"/>
      <c r="M366" s="831"/>
      <c r="N366" s="1076">
        <v>0</v>
      </c>
      <c r="O366" s="825">
        <v>0</v>
      </c>
      <c r="P366" s="825">
        <v>0</v>
      </c>
      <c r="Q366" s="825">
        <v>0</v>
      </c>
      <c r="R366" s="825"/>
      <c r="S366" s="825"/>
      <c r="T366" s="825"/>
      <c r="U366" s="825"/>
      <c r="V366" s="825"/>
      <c r="W366" s="825"/>
      <c r="X366" s="825"/>
      <c r="Y366" s="825"/>
      <c r="Z366" s="825"/>
      <c r="AA366" s="825"/>
      <c r="AB366" s="825"/>
      <c r="AC366" s="825"/>
      <c r="AD366" s="825"/>
      <c r="AE366" s="825"/>
      <c r="AF366" s="825"/>
      <c r="AG366" s="825"/>
      <c r="AH366" s="825"/>
      <c r="AI366" s="825"/>
      <c r="AJ366" s="825"/>
      <c r="AK366" s="825"/>
      <c r="AL366" s="825"/>
      <c r="AM366" s="825"/>
      <c r="AN366" s="825"/>
      <c r="AO366" s="825"/>
      <c r="AP366" s="825"/>
      <c r="AQ366" s="825"/>
      <c r="AR366" s="825"/>
      <c r="AS366" s="1110"/>
      <c r="AT366" s="1040"/>
      <c r="AU366" s="825" t="str">
        <f t="shared" si="195"/>
        <v/>
      </c>
      <c r="AV366" s="2274" t="str">
        <f t="shared" si="199"/>
        <v/>
      </c>
      <c r="AW366" s="778"/>
      <c r="AX366" s="2016"/>
      <c r="AY366" s="2016"/>
      <c r="AZ366" s="2016"/>
      <c r="BA366" s="2016"/>
      <c r="BB366" s="2016"/>
    </row>
    <row r="367" spans="1:55" ht="14" hidden="1" customHeight="1" outlineLevel="1" x14ac:dyDescent="0.25">
      <c r="A367" s="998" t="s">
        <v>292</v>
      </c>
      <c r="B367" s="775">
        <v>178895</v>
      </c>
      <c r="C367" s="775">
        <v>178895</v>
      </c>
      <c r="D367" s="775">
        <v>172307</v>
      </c>
      <c r="E367" s="775">
        <v>172307</v>
      </c>
      <c r="F367" s="777">
        <v>165719</v>
      </c>
      <c r="G367" s="777">
        <v>165719</v>
      </c>
      <c r="H367" s="777">
        <v>158940</v>
      </c>
      <c r="I367" s="777">
        <v>158939</v>
      </c>
      <c r="J367" s="847">
        <v>151960</v>
      </c>
      <c r="K367" s="825"/>
      <c r="L367" s="898">
        <v>144399.38</v>
      </c>
      <c r="M367" s="898">
        <v>136840</v>
      </c>
      <c r="N367" s="1076">
        <v>128700</v>
      </c>
      <c r="O367" s="825">
        <v>128700</v>
      </c>
      <c r="P367" s="825">
        <v>119914</v>
      </c>
      <c r="Q367" s="831">
        <f>P367</f>
        <v>119914</v>
      </c>
      <c r="R367" s="788"/>
      <c r="S367" s="825"/>
      <c r="T367" s="825"/>
      <c r="U367" s="825"/>
      <c r="V367" s="788"/>
      <c r="W367" s="825"/>
      <c r="X367" s="788"/>
      <c r="Y367" s="825"/>
      <c r="Z367" s="788"/>
      <c r="AA367" s="825"/>
      <c r="AB367" s="788"/>
      <c r="AC367" s="825"/>
      <c r="AD367" s="825"/>
      <c r="AE367" s="825"/>
      <c r="AF367" s="825"/>
      <c r="AG367" s="825"/>
      <c r="AH367" s="825"/>
      <c r="AI367" s="825"/>
      <c r="AJ367" s="825"/>
      <c r="AK367" s="825"/>
      <c r="AL367" s="825"/>
      <c r="AM367" s="825"/>
      <c r="AN367" s="825"/>
      <c r="AO367" s="825"/>
      <c r="AP367" s="825"/>
      <c r="AQ367" s="825"/>
      <c r="AR367" s="825"/>
      <c r="AS367" s="1110"/>
      <c r="AT367" s="1040"/>
      <c r="AU367" s="825" t="str">
        <f t="shared" si="195"/>
        <v/>
      </c>
      <c r="AV367" s="2274" t="str">
        <f t="shared" si="199"/>
        <v/>
      </c>
      <c r="AW367" s="778"/>
      <c r="AX367" s="2016"/>
      <c r="AY367" s="2016"/>
      <c r="AZ367" s="2016"/>
      <c r="BA367" s="2016"/>
      <c r="BB367" s="2016"/>
    </row>
    <row r="368" spans="1:55" ht="14" hidden="1" customHeight="1" outlineLevel="1" x14ac:dyDescent="0.25">
      <c r="A368" s="998" t="s">
        <v>423</v>
      </c>
      <c r="B368" s="774">
        <v>429863</v>
      </c>
      <c r="C368" s="774">
        <v>429863</v>
      </c>
      <c r="D368" s="775">
        <v>417903</v>
      </c>
      <c r="E368" s="777">
        <v>417903</v>
      </c>
      <c r="F368" s="777">
        <v>407228</v>
      </c>
      <c r="G368" s="777">
        <v>407228</v>
      </c>
      <c r="H368" s="777">
        <v>395228</v>
      </c>
      <c r="I368" s="777">
        <v>395228</v>
      </c>
      <c r="J368" s="1077">
        <v>382665</v>
      </c>
      <c r="K368" s="827" t="s">
        <v>455</v>
      </c>
      <c r="L368" s="898">
        <v>369540</v>
      </c>
      <c r="M368" s="898">
        <v>354740</v>
      </c>
      <c r="N368" s="1076">
        <v>338378</v>
      </c>
      <c r="O368" s="825">
        <v>338378</v>
      </c>
      <c r="P368" s="825">
        <v>318128</v>
      </c>
      <c r="Q368" s="831">
        <f>P368</f>
        <v>318128</v>
      </c>
      <c r="R368" s="788">
        <f>'LONG-TERM DEBT'!U94</f>
        <v>300277.5</v>
      </c>
      <c r="S368" s="825"/>
      <c r="T368" s="825"/>
      <c r="U368" s="825">
        <v>0</v>
      </c>
      <c r="V368" s="788"/>
      <c r="W368" s="788">
        <f>V368</f>
        <v>0</v>
      </c>
      <c r="X368" s="788"/>
      <c r="Y368" s="788">
        <f>X368</f>
        <v>0</v>
      </c>
      <c r="Z368" s="788"/>
      <c r="AA368" s="788">
        <f>Z368</f>
        <v>0</v>
      </c>
      <c r="AB368" s="788"/>
      <c r="AC368" s="788">
        <f>AB368</f>
        <v>0</v>
      </c>
      <c r="AD368" s="788"/>
      <c r="AE368" s="788"/>
      <c r="AF368" s="788"/>
      <c r="AG368" s="788"/>
      <c r="AH368" s="788"/>
      <c r="AI368" s="788"/>
      <c r="AJ368" s="788"/>
      <c r="AK368" s="788"/>
      <c r="AL368" s="788"/>
      <c r="AM368" s="788"/>
      <c r="AN368" s="788"/>
      <c r="AO368" s="788"/>
      <c r="AP368" s="788"/>
      <c r="AQ368" s="788"/>
      <c r="AR368" s="788"/>
      <c r="AS368" s="841"/>
      <c r="AT368" s="891"/>
      <c r="AU368" s="788" t="str">
        <f t="shared" si="195"/>
        <v/>
      </c>
      <c r="AV368" s="2272" t="str">
        <f t="shared" si="199"/>
        <v/>
      </c>
      <c r="AW368" s="778"/>
      <c r="AX368" s="2016"/>
      <c r="AY368" s="2016"/>
      <c r="AZ368" s="2016"/>
      <c r="BA368" s="2016"/>
      <c r="BB368" s="2016"/>
    </row>
    <row r="369" spans="1:55" ht="14" hidden="1" customHeight="1" outlineLevel="1" x14ac:dyDescent="0.25">
      <c r="A369" s="998" t="s">
        <v>427</v>
      </c>
      <c r="B369" s="774"/>
      <c r="C369" s="774"/>
      <c r="D369" s="775"/>
      <c r="E369" s="777"/>
      <c r="F369" s="777"/>
      <c r="G369" s="777"/>
      <c r="H369" s="777"/>
      <c r="I369" s="777"/>
      <c r="J369" s="1077"/>
      <c r="K369" s="827"/>
      <c r="L369" s="898"/>
      <c r="M369" s="898">
        <v>0</v>
      </c>
      <c r="N369" s="1076"/>
      <c r="O369" s="825"/>
      <c r="P369" s="1043"/>
      <c r="Q369" s="825"/>
      <c r="R369" s="825">
        <v>88005</v>
      </c>
      <c r="S369" s="825"/>
      <c r="T369" s="825">
        <v>77453.75</v>
      </c>
      <c r="U369" s="825">
        <v>77453.75</v>
      </c>
      <c r="V369" s="788">
        <f>SUM('LONG-TERM DEBT'!W96:W101)</f>
        <v>66608.75</v>
      </c>
      <c r="W369" s="788">
        <f>SUM('LONG-TERM DEBT'!W96:W101)</f>
        <v>66608.75</v>
      </c>
      <c r="X369" s="788">
        <f>SUM('LONG-TERM DEBT'!V96:V101)</f>
        <v>77453.75</v>
      </c>
      <c r="Y369" s="788">
        <f>SUM('LONG-TERM DEBT'!V96:V101)</f>
        <v>77453.75</v>
      </c>
      <c r="Z369" s="788">
        <f>SUM('LONG-TERM DEBT'!Y96:Y101)</f>
        <v>36908.75</v>
      </c>
      <c r="AA369" s="788">
        <f>SUM('LONG-TERM DEBT'!Y96:Y101)</f>
        <v>36908.75</v>
      </c>
      <c r="AB369" s="788">
        <f>SUM('LONG-TERM DEBT'!Z96:Z101)</f>
        <v>30988.75</v>
      </c>
      <c r="AC369" s="788">
        <f>SUM('LONG-TERM DEBT'!Z96:Z101)</f>
        <v>30988.75</v>
      </c>
      <c r="AD369" s="788"/>
      <c r="AE369" s="788">
        <v>24227.5</v>
      </c>
      <c r="AF369" s="788"/>
      <c r="AG369" s="788">
        <v>16590</v>
      </c>
      <c r="AH369" s="788">
        <v>16590</v>
      </c>
      <c r="AI369" s="788">
        <v>10290</v>
      </c>
      <c r="AJ369" s="788">
        <v>10290</v>
      </c>
      <c r="AK369" s="788">
        <v>3840</v>
      </c>
      <c r="AL369" s="1543">
        <v>3840</v>
      </c>
      <c r="AM369" s="1543">
        <f>SUM('LONG-TERM DEBT'!AE96:AE101)</f>
        <v>0</v>
      </c>
      <c r="AN369" s="1543"/>
      <c r="AO369" s="1543">
        <f>SUM('LONG-TERM DEBT'!AG96:AG101)</f>
        <v>0</v>
      </c>
      <c r="AP369" s="1543"/>
      <c r="AQ369" s="1543">
        <f>SUM('LONG-TERM DEBT'!AG96:AG101)</f>
        <v>0</v>
      </c>
      <c r="AR369" s="1543">
        <f>AQ369</f>
        <v>0</v>
      </c>
      <c r="AS369" s="1640"/>
      <c r="AT369" s="2355"/>
      <c r="AU369" s="1543" t="str">
        <f t="shared" si="195"/>
        <v/>
      </c>
      <c r="AV369" s="2295" t="str">
        <f t="shared" si="199"/>
        <v/>
      </c>
      <c r="AW369" s="887"/>
      <c r="AX369" s="2016"/>
      <c r="AY369" s="2016"/>
      <c r="AZ369" s="2016"/>
      <c r="BA369" s="2016"/>
      <c r="BB369" s="2016"/>
      <c r="BC369" s="2032"/>
    </row>
    <row r="370" spans="1:55" ht="14" hidden="1" customHeight="1" outlineLevel="1" x14ac:dyDescent="0.25">
      <c r="A370" s="998" t="s">
        <v>805</v>
      </c>
      <c r="B370" s="774"/>
      <c r="C370" s="774"/>
      <c r="D370" s="775"/>
      <c r="E370" s="777"/>
      <c r="F370" s="777"/>
      <c r="G370" s="777"/>
      <c r="H370" s="777"/>
      <c r="I370" s="777"/>
      <c r="J370" s="1077"/>
      <c r="K370" s="827"/>
      <c r="L370" s="898"/>
      <c r="M370" s="898"/>
      <c r="N370" s="1076"/>
      <c r="O370" s="825"/>
      <c r="P370" s="1078"/>
      <c r="Q370" s="825"/>
      <c r="R370" s="1040"/>
      <c r="S370" s="1040"/>
      <c r="T370" s="1040">
        <v>52766.57</v>
      </c>
      <c r="U370" s="1040">
        <v>52766.57</v>
      </c>
      <c r="V370" s="891">
        <f>SUM('LONG-TERM DEBT'!W103:W106)</f>
        <v>49100</v>
      </c>
      <c r="W370" s="891">
        <f>SUM('LONG-TERM DEBT'!W103:W106)</f>
        <v>49100</v>
      </c>
      <c r="X370" s="891">
        <f>SUM('LONG-TERM DEBT'!V103:V106)</f>
        <v>52766.17</v>
      </c>
      <c r="Y370" s="891">
        <f>SUM('LONG-TERM DEBT'!V103:V106)</f>
        <v>52766.17</v>
      </c>
      <c r="Z370" s="891">
        <f>SUM('LONG-TERM DEBT'!Y103:Y106)</f>
        <v>38150</v>
      </c>
      <c r="AA370" s="891">
        <f>SUM('LONG-TERM DEBT'!Y103:Y106)</f>
        <v>38150</v>
      </c>
      <c r="AB370" s="891">
        <f>SUM('LONG-TERM DEBT'!Z103:Z106)</f>
        <v>32450</v>
      </c>
      <c r="AC370" s="891">
        <f>SUM('LONG-TERM DEBT'!Z103:Z106)</f>
        <v>32450</v>
      </c>
      <c r="AD370" s="891"/>
      <c r="AE370" s="891">
        <v>26600</v>
      </c>
      <c r="AF370" s="788"/>
      <c r="AG370" s="788">
        <v>20600</v>
      </c>
      <c r="AH370" s="788">
        <v>20600</v>
      </c>
      <c r="AI370" s="788">
        <v>12200</v>
      </c>
      <c r="AJ370" s="788">
        <v>12200</v>
      </c>
      <c r="AK370" s="788">
        <v>8000</v>
      </c>
      <c r="AL370" s="1543">
        <v>8000</v>
      </c>
      <c r="AM370" s="1543">
        <f>SUM('LONG-TERM DEBT'!AE103:AE106)</f>
        <v>4000</v>
      </c>
      <c r="AN370" s="1543">
        <v>4000</v>
      </c>
      <c r="AO370" s="1543">
        <f>SUM('LONG-TERM DEBT'!AF103:AF106)</f>
        <v>0</v>
      </c>
      <c r="AP370" s="1543"/>
      <c r="AQ370" s="1543">
        <f>SUM('LONG-TERM DEBT'!AH103:AH106)</f>
        <v>0</v>
      </c>
      <c r="AR370" s="1543">
        <f t="shared" ref="AR370:AR374" si="225">AQ370</f>
        <v>0</v>
      </c>
      <c r="AS370" s="1640"/>
      <c r="AT370" s="2355"/>
      <c r="AU370" s="1543" t="str">
        <f t="shared" si="195"/>
        <v/>
      </c>
      <c r="AV370" s="2295" t="str">
        <f t="shared" si="199"/>
        <v/>
      </c>
      <c r="AW370" s="887"/>
      <c r="AX370" s="2016"/>
      <c r="AY370" s="2016"/>
      <c r="AZ370" s="2016"/>
      <c r="BA370" s="2016"/>
      <c r="BB370" s="2016"/>
      <c r="BC370" s="2032"/>
    </row>
    <row r="371" spans="1:55" ht="14" hidden="1" customHeight="1" outlineLevel="1" x14ac:dyDescent="0.25">
      <c r="A371" s="998" t="s">
        <v>838</v>
      </c>
      <c r="B371" s="774"/>
      <c r="C371" s="774"/>
      <c r="D371" s="775"/>
      <c r="E371" s="777"/>
      <c r="F371" s="777"/>
      <c r="G371" s="777"/>
      <c r="H371" s="777"/>
      <c r="I371" s="777"/>
      <c r="J371" s="1077"/>
      <c r="K371" s="827"/>
      <c r="L371" s="898"/>
      <c r="M371" s="898"/>
      <c r="N371" s="1076"/>
      <c r="O371" s="825"/>
      <c r="P371" s="1078"/>
      <c r="Q371" s="825"/>
      <c r="R371" s="1040"/>
      <c r="S371" s="1040"/>
      <c r="T371" s="1040"/>
      <c r="U371" s="1040"/>
      <c r="V371" s="891"/>
      <c r="W371" s="891"/>
      <c r="X371" s="891"/>
      <c r="Y371" s="891"/>
      <c r="Z371" s="891">
        <f>SUM('LONG-TERM DEBT'!Y108)</f>
        <v>0</v>
      </c>
      <c r="AA371" s="891">
        <f>SUM('LONG-TERM DEBT'!Y108)</f>
        <v>0</v>
      </c>
      <c r="AB371" s="891">
        <f>SUM('LONG-TERM DEBT'!Z108)</f>
        <v>0</v>
      </c>
      <c r="AC371" s="891">
        <f>SUM('LONG-TERM DEBT'!Z108)</f>
        <v>0</v>
      </c>
      <c r="AD371" s="891"/>
      <c r="AE371" s="891"/>
      <c r="AF371" s="788"/>
      <c r="AG371" s="788">
        <v>0</v>
      </c>
      <c r="AH371" s="788">
        <v>0</v>
      </c>
      <c r="AI371" s="788">
        <v>0</v>
      </c>
      <c r="AJ371" s="788"/>
      <c r="AK371" s="788">
        <v>0</v>
      </c>
      <c r="AL371" s="1543">
        <v>0</v>
      </c>
      <c r="AM371" s="1543">
        <v>0</v>
      </c>
      <c r="AN371" s="1543"/>
      <c r="AO371" s="1543">
        <v>0</v>
      </c>
      <c r="AP371" s="1543"/>
      <c r="AQ371" s="1543">
        <v>0</v>
      </c>
      <c r="AR371" s="1543">
        <f t="shared" si="225"/>
        <v>0</v>
      </c>
      <c r="AS371" s="1640"/>
      <c r="AT371" s="2355"/>
      <c r="AU371" s="1543" t="str">
        <f t="shared" si="195"/>
        <v/>
      </c>
      <c r="AV371" s="2295" t="str">
        <f t="shared" si="199"/>
        <v/>
      </c>
      <c r="AW371" s="887"/>
      <c r="AX371" s="2016"/>
      <c r="AY371" s="2016"/>
      <c r="AZ371" s="2016"/>
      <c r="BA371" s="2016"/>
      <c r="BB371" s="2016"/>
      <c r="BC371" s="2032"/>
    </row>
    <row r="372" spans="1:55" ht="14" hidden="1" customHeight="1" outlineLevel="1" x14ac:dyDescent="0.25">
      <c r="A372" s="1395" t="s">
        <v>914</v>
      </c>
      <c r="B372" s="774"/>
      <c r="C372" s="774"/>
      <c r="D372" s="775"/>
      <c r="E372" s="777"/>
      <c r="F372" s="777"/>
      <c r="G372" s="777"/>
      <c r="H372" s="777"/>
      <c r="I372" s="777"/>
      <c r="J372" s="1077"/>
      <c r="K372" s="827"/>
      <c r="L372" s="898"/>
      <c r="M372" s="898"/>
      <c r="N372" s="1076"/>
      <c r="O372" s="825"/>
      <c r="P372" s="1078"/>
      <c r="Q372" s="825"/>
      <c r="R372" s="1079"/>
      <c r="S372" s="1040"/>
      <c r="T372" s="1079"/>
      <c r="U372" s="1079"/>
      <c r="V372" s="1080"/>
      <c r="W372" s="891"/>
      <c r="X372" s="1080"/>
      <c r="Y372" s="891"/>
      <c r="Z372" s="1080"/>
      <c r="AA372" s="891"/>
      <c r="AB372" s="1080"/>
      <c r="AC372" s="891"/>
      <c r="AD372" s="891"/>
      <c r="AE372" s="891">
        <v>0</v>
      </c>
      <c r="AF372" s="788"/>
      <c r="AG372" s="788">
        <v>97376.260000000009</v>
      </c>
      <c r="AH372" s="788">
        <v>97376.260000000009</v>
      </c>
      <c r="AI372" s="788">
        <v>93093.760000000009</v>
      </c>
      <c r="AJ372" s="788">
        <v>93093.760000000009</v>
      </c>
      <c r="AK372" s="788">
        <v>88518.760000000009</v>
      </c>
      <c r="AL372" s="1543">
        <v>88518.760000000009</v>
      </c>
      <c r="AM372" s="1543">
        <f>SUM('LONG-TERM DEBT'!AE109:AE117)</f>
        <v>83718.760000000009</v>
      </c>
      <c r="AN372" s="1543">
        <v>83719</v>
      </c>
      <c r="AO372" s="1543">
        <f>SUM('LONG-TERM DEBT'!AF109:AF117)</f>
        <v>78143.760000000009</v>
      </c>
      <c r="AP372" s="1543">
        <f>AO372</f>
        <v>78143.760000000009</v>
      </c>
      <c r="AQ372" s="1543">
        <f>SUM('LONG-TERM DEBT'!AG109:AG117)</f>
        <v>71843.760000000009</v>
      </c>
      <c r="AR372" s="1543">
        <f t="shared" si="225"/>
        <v>71843.760000000009</v>
      </c>
      <c r="AS372" s="2268">
        <f>SUM('LONG-TERM DEBT'!AH109:AH117)</f>
        <v>65543.760000000009</v>
      </c>
      <c r="AT372" s="2356">
        <f>SUM('[1]BUDGET DETAIL'!$CX$900:$CX$901)</f>
        <v>65544</v>
      </c>
      <c r="AU372" s="1543">
        <f t="shared" si="195"/>
        <v>-6299.7600000000093</v>
      </c>
      <c r="AV372" s="2295">
        <f t="shared" si="199"/>
        <v>-8.768694734239979E-2</v>
      </c>
      <c r="AW372" s="887"/>
      <c r="AX372" s="2016"/>
      <c r="AY372" s="2016"/>
      <c r="AZ372" s="2016"/>
      <c r="BA372" s="2016"/>
      <c r="BB372" s="2016"/>
      <c r="BC372" s="2032"/>
    </row>
    <row r="373" spans="1:55" ht="14" hidden="1" customHeight="1" outlineLevel="1" x14ac:dyDescent="0.35">
      <c r="A373" s="1395" t="s">
        <v>966</v>
      </c>
      <c r="B373" s="774"/>
      <c r="C373" s="774"/>
      <c r="D373" s="775"/>
      <c r="E373" s="777"/>
      <c r="F373" s="777"/>
      <c r="G373" s="777"/>
      <c r="H373" s="777"/>
      <c r="I373" s="777"/>
      <c r="J373" s="1077"/>
      <c r="K373" s="827"/>
      <c r="L373" s="898"/>
      <c r="M373" s="898"/>
      <c r="N373" s="1076"/>
      <c r="O373" s="825"/>
      <c r="P373" s="1078"/>
      <c r="Q373" s="825"/>
      <c r="R373" s="1079"/>
      <c r="S373" s="1040"/>
      <c r="T373" s="1079"/>
      <c r="U373" s="1079"/>
      <c r="V373" s="1080"/>
      <c r="W373" s="891"/>
      <c r="X373" s="1080"/>
      <c r="Y373" s="891"/>
      <c r="Z373" s="1080"/>
      <c r="AA373" s="891"/>
      <c r="AB373" s="1080"/>
      <c r="AC373" s="891"/>
      <c r="AD373" s="891"/>
      <c r="AE373" s="891"/>
      <c r="AF373" s="788"/>
      <c r="AG373" s="788"/>
      <c r="AH373" s="788"/>
      <c r="AI373" s="788">
        <v>351512.5</v>
      </c>
      <c r="AJ373" s="788">
        <v>351512.5</v>
      </c>
      <c r="AK373" s="788">
        <v>341962.5</v>
      </c>
      <c r="AL373" s="1543">
        <v>341962.5</v>
      </c>
      <c r="AM373" s="1543">
        <f>SUM('LONG-TERM DEBT'!AE120:AE121)</f>
        <v>331962.5</v>
      </c>
      <c r="AN373" s="1543">
        <v>331963</v>
      </c>
      <c r="AO373" s="1543">
        <f>SUM('LONG-TERM DEBT'!AF120:AF121)</f>
        <v>317712.5</v>
      </c>
      <c r="AP373" s="1543">
        <f>AO373</f>
        <v>317712.5</v>
      </c>
      <c r="AQ373" s="1543">
        <f>SUM('LONG-TERM DEBT'!AG120:AG121)</f>
        <v>302462.5</v>
      </c>
      <c r="AR373" s="1543">
        <f t="shared" si="225"/>
        <v>302462.5</v>
      </c>
      <c r="AS373" s="2268">
        <f>SUM('LONG-TERM DEBT'!AH120:AH121)</f>
        <v>286462.5</v>
      </c>
      <c r="AT373" s="2356">
        <f>SUM('[1]BUDGET DETAIL'!$CX$903:$CX$904)</f>
        <v>286463</v>
      </c>
      <c r="AU373" s="1543">
        <f t="shared" si="195"/>
        <v>-15999.5</v>
      </c>
      <c r="AV373" s="2295">
        <f t="shared" si="199"/>
        <v>-5.2897466628094393E-2</v>
      </c>
      <c r="AW373" s="1512"/>
      <c r="AX373" s="2016"/>
      <c r="AY373" s="2016"/>
      <c r="AZ373" s="2016"/>
      <c r="BA373" s="2016"/>
      <c r="BB373" s="2016"/>
      <c r="BC373" s="2033"/>
    </row>
    <row r="374" spans="1:55" ht="14" hidden="1" customHeight="1" outlineLevel="1" x14ac:dyDescent="0.35">
      <c r="A374" s="1395" t="s">
        <v>945</v>
      </c>
      <c r="B374" s="774"/>
      <c r="C374" s="774"/>
      <c r="D374" s="775"/>
      <c r="E374" s="777"/>
      <c r="F374" s="777"/>
      <c r="G374" s="777"/>
      <c r="H374" s="777"/>
      <c r="I374" s="777"/>
      <c r="J374" s="1077"/>
      <c r="K374" s="827"/>
      <c r="L374" s="898"/>
      <c r="M374" s="898"/>
      <c r="N374" s="1076"/>
      <c r="O374" s="825"/>
      <c r="P374" s="1078"/>
      <c r="Q374" s="825"/>
      <c r="R374" s="1079"/>
      <c r="S374" s="1040"/>
      <c r="T374" s="1079"/>
      <c r="U374" s="1079"/>
      <c r="V374" s="1080"/>
      <c r="W374" s="891"/>
      <c r="X374" s="1080"/>
      <c r="Y374" s="891"/>
      <c r="Z374" s="1080"/>
      <c r="AA374" s="891"/>
      <c r="AB374" s="1080"/>
      <c r="AC374" s="891"/>
      <c r="AD374" s="891"/>
      <c r="AE374" s="891"/>
      <c r="AF374" s="788"/>
      <c r="AG374" s="788"/>
      <c r="AH374" s="788"/>
      <c r="AI374" s="788"/>
      <c r="AJ374" s="788">
        <v>59936.479999999996</v>
      </c>
      <c r="AK374" s="788">
        <v>121006.5</v>
      </c>
      <c r="AL374" s="1543">
        <v>121006.5</v>
      </c>
      <c r="AM374" s="1543">
        <f>SUM('LONG-TERM DEBT'!AE124:AE125)</f>
        <v>114881.5</v>
      </c>
      <c r="AN374" s="1543">
        <v>114882</v>
      </c>
      <c r="AO374" s="1543">
        <f>SUM('LONG-TERM DEBT'!AF124:AF125)</f>
        <v>108506.5</v>
      </c>
      <c r="AP374" s="1543">
        <f>AO374</f>
        <v>108506.5</v>
      </c>
      <c r="AQ374" s="1543">
        <f>SUM('LONG-TERM DEBT'!AG124:AG125)</f>
        <v>101756.5</v>
      </c>
      <c r="AR374" s="1543">
        <f t="shared" si="225"/>
        <v>101756.5</v>
      </c>
      <c r="AS374" s="2268">
        <f>SUM('LONG-TERM DEBT'!AH124:AH125)</f>
        <v>94631.5</v>
      </c>
      <c r="AT374" s="2356">
        <f>SUM('[1]BUDGET DETAIL'!$CX$906:$CX$907)</f>
        <v>94632</v>
      </c>
      <c r="AU374" s="1543">
        <f t="shared" si="195"/>
        <v>-7124.5</v>
      </c>
      <c r="AV374" s="2295">
        <f t="shared" si="199"/>
        <v>-7.0015183305243395E-2</v>
      </c>
      <c r="AW374" s="1512"/>
      <c r="AX374" s="2016"/>
      <c r="AY374" s="2016"/>
      <c r="AZ374" s="2016"/>
      <c r="BA374" s="2016"/>
      <c r="BB374" s="2016"/>
      <c r="BC374" s="2033"/>
    </row>
    <row r="375" spans="1:55" ht="14" hidden="1" customHeight="1" outlineLevel="1" x14ac:dyDescent="0.25">
      <c r="A375" s="998"/>
      <c r="B375" s="774"/>
      <c r="C375" s="774"/>
      <c r="D375" s="775"/>
      <c r="E375" s="777"/>
      <c r="F375" s="777"/>
      <c r="G375" s="777"/>
      <c r="H375" s="777"/>
      <c r="I375" s="777"/>
      <c r="J375" s="1077"/>
      <c r="K375" s="827"/>
      <c r="L375" s="898"/>
      <c r="M375" s="898"/>
      <c r="N375" s="1076"/>
      <c r="O375" s="825"/>
      <c r="P375" s="1078"/>
      <c r="Q375" s="825"/>
      <c r="R375" s="1079"/>
      <c r="S375" s="1040"/>
      <c r="T375" s="1079"/>
      <c r="U375" s="1079"/>
      <c r="V375" s="1080"/>
      <c r="W375" s="891"/>
      <c r="X375" s="1080"/>
      <c r="Y375" s="891"/>
      <c r="Z375" s="1080"/>
      <c r="AA375" s="891"/>
      <c r="AB375" s="1080"/>
      <c r="AC375" s="891"/>
      <c r="AD375" s="891"/>
      <c r="AE375" s="891"/>
      <c r="AF375" s="788"/>
      <c r="AG375" s="788"/>
      <c r="AH375" s="788"/>
      <c r="AI375" s="788"/>
      <c r="AJ375" s="788"/>
      <c r="AK375" s="788"/>
      <c r="AL375" s="1543">
        <v>0</v>
      </c>
      <c r="AM375" s="1543"/>
      <c r="AN375" s="1543"/>
      <c r="AO375" s="1543"/>
      <c r="AP375" s="1543"/>
      <c r="AQ375" s="1543"/>
      <c r="AR375" s="1543"/>
      <c r="AS375" s="1640"/>
      <c r="AT375" s="2355"/>
      <c r="AU375" s="1543" t="str">
        <f t="shared" si="195"/>
        <v/>
      </c>
      <c r="AV375" s="2295" t="str">
        <f t="shared" si="199"/>
        <v/>
      </c>
      <c r="AW375" s="887"/>
      <c r="AX375" s="2016"/>
      <c r="AY375" s="2016"/>
      <c r="AZ375" s="2016"/>
      <c r="BA375" s="2016"/>
      <c r="BB375" s="2016"/>
      <c r="BC375" s="2032"/>
    </row>
    <row r="376" spans="1:55" ht="14" hidden="1" customHeight="1" outlineLevel="1" x14ac:dyDescent="0.25">
      <c r="A376" s="856" t="s">
        <v>721</v>
      </c>
      <c r="B376" s="781">
        <f>SUM(B366:B368)</f>
        <v>612979</v>
      </c>
      <c r="C376" s="781">
        <f>SUM(C366:C368)</f>
        <v>612979</v>
      </c>
      <c r="D376" s="781">
        <f t="shared" ref="D376:J376" si="226">SUM(D367:D368)</f>
        <v>590210</v>
      </c>
      <c r="E376" s="781">
        <f t="shared" si="226"/>
        <v>590210</v>
      </c>
      <c r="F376" s="781">
        <f t="shared" si="226"/>
        <v>572947</v>
      </c>
      <c r="G376" s="781">
        <f t="shared" si="226"/>
        <v>572947</v>
      </c>
      <c r="H376" s="781">
        <f t="shared" si="226"/>
        <v>554168</v>
      </c>
      <c r="I376" s="781">
        <f t="shared" si="226"/>
        <v>554167</v>
      </c>
      <c r="J376" s="784">
        <f t="shared" si="226"/>
        <v>534625</v>
      </c>
      <c r="K376" s="995">
        <v>38789</v>
      </c>
      <c r="L376" s="843">
        <f>SUM(L367:L369)</f>
        <v>513939.38</v>
      </c>
      <c r="M376" s="843">
        <f>SUM(M367:M369)</f>
        <v>491580</v>
      </c>
      <c r="N376" s="1073">
        <f>SUM(N367:N369)</f>
        <v>467078</v>
      </c>
      <c r="O376" s="845">
        <f>SUM(O367:O369)</f>
        <v>467078</v>
      </c>
      <c r="P376" s="1074">
        <f>SUM(P367:P369)</f>
        <v>438042</v>
      </c>
      <c r="Q376" s="819">
        <f>IF(SUM(Q367:Q368)=0,P376,SUM(Q366:Q369))</f>
        <v>438042</v>
      </c>
      <c r="R376" s="1074">
        <f>SUM(R367:R369)</f>
        <v>388282.5</v>
      </c>
      <c r="S376" s="819">
        <f>IF(SUM(S367:S368)=0,R376,SUM(S366:S369))</f>
        <v>388282.5</v>
      </c>
      <c r="T376" s="1057">
        <v>130220.32</v>
      </c>
      <c r="U376" s="1057">
        <v>130220.32</v>
      </c>
      <c r="V376" s="1074">
        <f>SUM(V366:V370)</f>
        <v>115708.75</v>
      </c>
      <c r="W376" s="819">
        <f>IF(SUM(W366:W370)=0,V376,SUM(W366:W370))</f>
        <v>115708.75</v>
      </c>
      <c r="X376" s="1074">
        <f>SUM(X366:X370)</f>
        <v>130219.92</v>
      </c>
      <c r="Y376" s="819">
        <f>IF(SUM(Y366:Y370)=0,X376,SUM(Y366:Y370))</f>
        <v>130219.92</v>
      </c>
      <c r="Z376" s="1074">
        <f>SUM(Z366:Z371)</f>
        <v>75058.75</v>
      </c>
      <c r="AA376" s="819">
        <f>IF(SUM(AA366:AA370)=0,Z376,SUM(AA366:AA370))</f>
        <v>75058.75</v>
      </c>
      <c r="AB376" s="1074">
        <f>SUM(AB366:AB371)</f>
        <v>63438.75</v>
      </c>
      <c r="AC376" s="819">
        <f>IF(SUM(AC366:AC370)=0,AB376,SUM(AC366:AC370))</f>
        <v>63438.75</v>
      </c>
      <c r="AD376" s="819"/>
      <c r="AE376" s="819">
        <v>50827.5</v>
      </c>
      <c r="AF376" s="819">
        <v>50827.5</v>
      </c>
      <c r="AG376" s="819">
        <v>134566.26</v>
      </c>
      <c r="AH376" s="819">
        <v>134566.26</v>
      </c>
      <c r="AI376" s="785">
        <v>467096.26</v>
      </c>
      <c r="AJ376" s="785">
        <v>527032.74</v>
      </c>
      <c r="AK376" s="785">
        <v>563327.76</v>
      </c>
      <c r="AL376" s="1543">
        <v>563327.76</v>
      </c>
      <c r="AM376" s="1545">
        <f t="shared" ref="AM376:AR376" si="227">SUM(AM369:AM374)</f>
        <v>534562.76</v>
      </c>
      <c r="AN376" s="1545">
        <f t="shared" si="227"/>
        <v>534564</v>
      </c>
      <c r="AO376" s="1545">
        <f t="shared" si="227"/>
        <v>504362.76</v>
      </c>
      <c r="AP376" s="1545">
        <f t="shared" si="227"/>
        <v>504362.76</v>
      </c>
      <c r="AQ376" s="1545">
        <f t="shared" si="227"/>
        <v>476062.76</v>
      </c>
      <c r="AR376" s="1545">
        <f t="shared" si="227"/>
        <v>476062.76</v>
      </c>
      <c r="AS376" s="1641">
        <f t="shared" ref="AS376" si="228">SUM(AS369:AS374)</f>
        <v>446637.76</v>
      </c>
      <c r="AT376" s="2357">
        <f>SUM(AT372:AT374)</f>
        <v>446639</v>
      </c>
      <c r="AU376" s="1545">
        <f t="shared" si="195"/>
        <v>-29423.760000000009</v>
      </c>
      <c r="AV376" s="2296">
        <f t="shared" si="199"/>
        <v>-6.1806472743215643E-2</v>
      </c>
      <c r="AW376" s="778"/>
      <c r="AX376" s="2016"/>
      <c r="AY376" s="2016"/>
      <c r="AZ376" s="2016"/>
      <c r="BA376" s="2016"/>
      <c r="BB376" s="2016"/>
      <c r="BC376" s="2332"/>
    </row>
    <row r="377" spans="1:55" ht="14" hidden="1" customHeight="1" outlineLevel="1" x14ac:dyDescent="0.25">
      <c r="A377" s="790"/>
      <c r="B377" s="872"/>
      <c r="C377" s="872"/>
      <c r="D377" s="872"/>
      <c r="E377" s="872"/>
      <c r="F377" s="873"/>
      <c r="G377" s="873"/>
      <c r="H377" s="873"/>
      <c r="I377" s="873"/>
      <c r="J377" s="1003"/>
      <c r="K377" s="823"/>
      <c r="L377" s="829"/>
      <c r="M377" s="830"/>
      <c r="N377" s="1081"/>
      <c r="O377" s="822"/>
      <c r="P377" s="822"/>
      <c r="Q377" s="822"/>
      <c r="R377" s="822"/>
      <c r="S377" s="822"/>
      <c r="T377" s="822"/>
      <c r="U377" s="822"/>
      <c r="V377" s="822"/>
      <c r="W377" s="822"/>
      <c r="X377" s="822"/>
      <c r="Y377" s="822"/>
      <c r="Z377" s="822"/>
      <c r="AA377" s="822"/>
      <c r="AB377" s="822"/>
      <c r="AC377" s="822"/>
      <c r="AD377" s="822"/>
      <c r="AE377" s="822"/>
      <c r="AF377" s="822"/>
      <c r="AG377" s="822"/>
      <c r="AH377" s="822"/>
      <c r="AI377" s="822"/>
      <c r="AJ377" s="822"/>
      <c r="AK377" s="822"/>
      <c r="AL377" s="822"/>
      <c r="AM377" s="822"/>
      <c r="AN377" s="822"/>
      <c r="AO377" s="822"/>
      <c r="AP377" s="822"/>
      <c r="AQ377" s="822"/>
      <c r="AR377" s="822"/>
      <c r="AS377" s="1160"/>
      <c r="AT377" s="823"/>
      <c r="AU377" s="822" t="str">
        <f t="shared" si="195"/>
        <v/>
      </c>
      <c r="AV377" s="2276" t="str">
        <f t="shared" si="199"/>
        <v/>
      </c>
      <c r="AW377" s="862"/>
      <c r="AX377" s="2016"/>
      <c r="AY377" s="2016"/>
      <c r="AZ377" s="2016"/>
      <c r="BA377" s="2016"/>
      <c r="BB377" s="2016"/>
      <c r="BC377" s="2026"/>
    </row>
    <row r="378" spans="1:55" ht="14" hidden="1" customHeight="1" outlineLevel="1" x14ac:dyDescent="0.25">
      <c r="A378" s="779" t="s">
        <v>839</v>
      </c>
      <c r="B378" s="775"/>
      <c r="C378" s="775"/>
      <c r="D378" s="775"/>
      <c r="E378" s="775"/>
      <c r="F378" s="777"/>
      <c r="G378" s="777"/>
      <c r="H378" s="777"/>
      <c r="I378" s="777"/>
      <c r="J378" s="847"/>
      <c r="K378" s="825"/>
      <c r="L378" s="831"/>
      <c r="M378" s="831"/>
      <c r="N378" s="1076"/>
      <c r="O378" s="825"/>
      <c r="P378" s="825"/>
      <c r="Q378" s="825"/>
      <c r="R378" s="825"/>
      <c r="S378" s="825"/>
      <c r="T378" s="825"/>
      <c r="U378" s="825"/>
      <c r="V378" s="825"/>
      <c r="W378" s="825"/>
      <c r="X378" s="825"/>
      <c r="Y378" s="825"/>
      <c r="Z378" s="825"/>
      <c r="AA378" s="825"/>
      <c r="AB378" s="825"/>
      <c r="AC378" s="825"/>
      <c r="AD378" s="825"/>
      <c r="AE378" s="825"/>
      <c r="AF378" s="825"/>
      <c r="AG378" s="825"/>
      <c r="AH378" s="825"/>
      <c r="AI378" s="825"/>
      <c r="AJ378" s="825"/>
      <c r="AK378" s="825"/>
      <c r="AL378" s="825"/>
      <c r="AM378" s="825"/>
      <c r="AN378" s="825"/>
      <c r="AO378" s="825"/>
      <c r="AP378" s="825"/>
      <c r="AQ378" s="825"/>
      <c r="AR378" s="825"/>
      <c r="AS378" s="1110"/>
      <c r="AT378" s="1040"/>
      <c r="AU378" s="825" t="str">
        <f t="shared" si="195"/>
        <v/>
      </c>
      <c r="AV378" s="2274" t="str">
        <f t="shared" si="199"/>
        <v/>
      </c>
      <c r="AW378" s="778"/>
      <c r="AX378" s="2016"/>
      <c r="AY378" s="2016"/>
      <c r="AZ378" s="2016"/>
      <c r="BA378" s="2016"/>
      <c r="BB378" s="2016"/>
    </row>
    <row r="379" spans="1:55" ht="14" hidden="1" customHeight="1" outlineLevel="1" x14ac:dyDescent="0.25">
      <c r="A379" s="779" t="s">
        <v>681</v>
      </c>
      <c r="B379" s="775">
        <v>10000</v>
      </c>
      <c r="C379" s="775">
        <v>0</v>
      </c>
      <c r="D379" s="775">
        <v>10000</v>
      </c>
      <c r="E379" s="775">
        <v>0</v>
      </c>
      <c r="F379" s="777">
        <v>10000</v>
      </c>
      <c r="G379" s="777">
        <v>4374.5200000000004</v>
      </c>
      <c r="H379" s="777">
        <v>10000</v>
      </c>
      <c r="I379" s="777">
        <v>0</v>
      </c>
      <c r="J379" s="847">
        <v>5000</v>
      </c>
      <c r="K379" s="827" t="s">
        <v>455</v>
      </c>
      <c r="L379" s="863">
        <v>0</v>
      </c>
      <c r="M379" s="1082">
        <v>25000</v>
      </c>
      <c r="N379" s="1076">
        <v>25000</v>
      </c>
      <c r="O379" s="825">
        <v>25000</v>
      </c>
      <c r="P379" s="825">
        <v>25000</v>
      </c>
      <c r="Q379" s="825">
        <v>25000</v>
      </c>
      <c r="R379" s="825"/>
      <c r="S379" s="825"/>
      <c r="T379" s="825"/>
      <c r="U379" s="825"/>
      <c r="V379" s="825"/>
      <c r="W379" s="825"/>
      <c r="X379" s="825"/>
      <c r="Y379" s="825"/>
      <c r="Z379" s="825">
        <v>9846</v>
      </c>
      <c r="AA379" s="810">
        <f>Z379</f>
        <v>9846</v>
      </c>
      <c r="AB379" s="825">
        <v>18047</v>
      </c>
      <c r="AC379" s="810">
        <f>AB379</f>
        <v>18047</v>
      </c>
      <c r="AD379" s="810"/>
      <c r="AE379" s="810">
        <v>0</v>
      </c>
      <c r="AF379" s="810"/>
      <c r="AG379" s="810">
        <v>447000</v>
      </c>
      <c r="AH379" s="1415">
        <v>447000</v>
      </c>
      <c r="AI379" s="1415">
        <v>53613</v>
      </c>
      <c r="AJ379" s="1415">
        <v>53613</v>
      </c>
      <c r="AK379" s="1415">
        <v>10000</v>
      </c>
      <c r="AL379" s="1544">
        <v>10000</v>
      </c>
      <c r="AM379" s="1544">
        <f>SUM('LONG-TERM DEBT'!AF154:AF155)</f>
        <v>0</v>
      </c>
      <c r="AN379" s="1544"/>
      <c r="AO379" s="1544">
        <f>SUM('LONG-TERM DEBT'!AH154:AH155)</f>
        <v>0</v>
      </c>
      <c r="AP379" s="1544"/>
      <c r="AQ379" s="1544">
        <f>SUM('LONG-TERM DEBT'!AG154:AG155)</f>
        <v>0</v>
      </c>
      <c r="AR379" s="1544"/>
      <c r="AS379" s="1642"/>
      <c r="AT379" s="2358"/>
      <c r="AU379" s="1544" t="str">
        <f t="shared" si="195"/>
        <v/>
      </c>
      <c r="AV379" s="2297" t="str">
        <f t="shared" si="199"/>
        <v/>
      </c>
      <c r="AW379" s="1423"/>
      <c r="AX379" s="2016"/>
      <c r="AY379" s="2016"/>
      <c r="AZ379" s="2016"/>
      <c r="BA379" s="2016"/>
      <c r="BB379" s="2016"/>
      <c r="BC379" s="2011"/>
    </row>
    <row r="380" spans="1:55" ht="14" hidden="1" customHeight="1" outlineLevel="1" x14ac:dyDescent="0.25">
      <c r="A380" s="842" t="s">
        <v>721</v>
      </c>
      <c r="B380" s="781">
        <f t="shared" ref="B380:J380" si="229">SUM(B379)</f>
        <v>10000</v>
      </c>
      <c r="C380" s="781">
        <f t="shared" si="229"/>
        <v>0</v>
      </c>
      <c r="D380" s="781">
        <f t="shared" si="229"/>
        <v>10000</v>
      </c>
      <c r="E380" s="781">
        <f t="shared" si="229"/>
        <v>0</v>
      </c>
      <c r="F380" s="782">
        <f>SUM(F379)</f>
        <v>10000</v>
      </c>
      <c r="G380" s="782">
        <f>SUM(G379)</f>
        <v>4374.5200000000004</v>
      </c>
      <c r="H380" s="782">
        <f>SUM(H379)</f>
        <v>10000</v>
      </c>
      <c r="I380" s="782">
        <f>SUM(I379)</f>
        <v>0</v>
      </c>
      <c r="J380" s="784">
        <f t="shared" si="229"/>
        <v>5000</v>
      </c>
      <c r="K380" s="995">
        <v>38789</v>
      </c>
      <c r="L380" s="896">
        <f>L379</f>
        <v>0</v>
      </c>
      <c r="M380" s="1083">
        <f>SUM(M379)</f>
        <v>25000</v>
      </c>
      <c r="N380" s="1084">
        <f>SUM(N379)</f>
        <v>25000</v>
      </c>
      <c r="O380" s="785">
        <f>SUM(O379)</f>
        <v>25000</v>
      </c>
      <c r="P380" s="785">
        <f>SUM(P379)</f>
        <v>25000</v>
      </c>
      <c r="Q380" s="819">
        <f>IF(SUM(Q379)=0,P380,Q379)</f>
        <v>25000</v>
      </c>
      <c r="R380" s="785">
        <f>SUM(R379)</f>
        <v>0</v>
      </c>
      <c r="S380" s="819">
        <f>IF(SUM(S379)=0,R380,S379)</f>
        <v>0</v>
      </c>
      <c r="T380" s="785">
        <v>0</v>
      </c>
      <c r="U380" s="785">
        <v>0</v>
      </c>
      <c r="V380" s="785">
        <f>SUM(V379)</f>
        <v>0</v>
      </c>
      <c r="W380" s="819">
        <f>IF(SUM(W379)=0,V380,W379)</f>
        <v>0</v>
      </c>
      <c r="X380" s="785">
        <f>SUM(X379)</f>
        <v>0</v>
      </c>
      <c r="Y380" s="819">
        <f>IF(SUM(Y379)=0,X380,Y379)</f>
        <v>0</v>
      </c>
      <c r="Z380" s="785">
        <f>SUM(Z379)</f>
        <v>9846</v>
      </c>
      <c r="AA380" s="819">
        <f>IF(SUM(AA379)=0,Z380,AA379)</f>
        <v>9846</v>
      </c>
      <c r="AB380" s="785">
        <f>SUM(AB379)</f>
        <v>18047</v>
      </c>
      <c r="AC380" s="819">
        <f>IF(SUM(AC379)=0,AB380,AC379)</f>
        <v>18047</v>
      </c>
      <c r="AD380" s="819"/>
      <c r="AE380" s="819">
        <v>18047</v>
      </c>
      <c r="AF380" s="819">
        <v>18047</v>
      </c>
      <c r="AG380" s="819">
        <v>447000</v>
      </c>
      <c r="AH380" s="819">
        <v>447000</v>
      </c>
      <c r="AI380" s="785">
        <v>53613</v>
      </c>
      <c r="AJ380" s="785">
        <v>53613</v>
      </c>
      <c r="AK380" s="785">
        <v>10000</v>
      </c>
      <c r="AL380" s="1545">
        <v>10000</v>
      </c>
      <c r="AM380" s="1545">
        <f>AM379</f>
        <v>0</v>
      </c>
      <c r="AN380" s="1545"/>
      <c r="AO380" s="1545">
        <f>AO379</f>
        <v>0</v>
      </c>
      <c r="AP380" s="1545"/>
      <c r="AQ380" s="1545">
        <f>AQ379</f>
        <v>0</v>
      </c>
      <c r="AR380" s="1545"/>
      <c r="AS380" s="1641"/>
      <c r="AT380" s="2357"/>
      <c r="AU380" s="1545" t="str">
        <f t="shared" si="195"/>
        <v/>
      </c>
      <c r="AV380" s="2296" t="str">
        <f t="shared" si="199"/>
        <v/>
      </c>
      <c r="AW380" s="778"/>
      <c r="AX380" s="2016"/>
      <c r="AY380" s="2016"/>
      <c r="AZ380" s="2016"/>
      <c r="BA380" s="2016"/>
      <c r="BB380" s="2016"/>
      <c r="BC380" s="2332"/>
    </row>
    <row r="381" spans="1:55" ht="14" hidden="1" customHeight="1" outlineLevel="1" x14ac:dyDescent="0.25">
      <c r="A381" s="821"/>
      <c r="B381" s="796"/>
      <c r="C381" s="796"/>
      <c r="D381" s="796"/>
      <c r="E381" s="796"/>
      <c r="F381" s="801"/>
      <c r="G381" s="801"/>
      <c r="H381" s="801"/>
      <c r="I381" s="801"/>
      <c r="J381" s="846"/>
      <c r="K381" s="823"/>
      <c r="L381" s="830"/>
      <c r="M381" s="830"/>
      <c r="N381" s="1075"/>
      <c r="O381" s="823"/>
      <c r="P381" s="823"/>
      <c r="Q381" s="823"/>
      <c r="R381" s="823"/>
      <c r="S381" s="823"/>
      <c r="T381" s="823"/>
      <c r="U381" s="823"/>
      <c r="V381" s="823"/>
      <c r="W381" s="823"/>
      <c r="X381" s="823"/>
      <c r="Y381" s="823"/>
      <c r="Z381" s="823"/>
      <c r="AA381" s="823"/>
      <c r="AB381" s="823"/>
      <c r="AC381" s="823"/>
      <c r="AD381" s="823"/>
      <c r="AE381" s="823"/>
      <c r="AF381" s="823"/>
      <c r="AG381" s="823"/>
      <c r="AH381" s="823"/>
      <c r="AI381" s="823"/>
      <c r="AJ381" s="823"/>
      <c r="AK381" s="823"/>
      <c r="AL381" s="1546"/>
      <c r="AM381" s="1546"/>
      <c r="AN381" s="1546"/>
      <c r="AO381" s="1546"/>
      <c r="AP381" s="1546"/>
      <c r="AQ381" s="1546"/>
      <c r="AR381" s="1546"/>
      <c r="AS381" s="1643"/>
      <c r="AT381" s="1546"/>
      <c r="AU381" s="2340" t="str">
        <f t="shared" si="195"/>
        <v/>
      </c>
      <c r="AV381" s="2298" t="str">
        <f t="shared" si="199"/>
        <v/>
      </c>
      <c r="AW381" s="803"/>
      <c r="AX381" s="2016"/>
      <c r="AY381" s="2016"/>
      <c r="AZ381" s="2016"/>
      <c r="BA381" s="2016"/>
      <c r="BB381" s="2016"/>
    </row>
    <row r="382" spans="1:55" ht="14" hidden="1" customHeight="1" outlineLevel="1" x14ac:dyDescent="0.25">
      <c r="A382" s="779" t="s">
        <v>682</v>
      </c>
      <c r="B382" s="775">
        <v>5600</v>
      </c>
      <c r="C382" s="775">
        <v>1500</v>
      </c>
      <c r="D382" s="775">
        <v>5600</v>
      </c>
      <c r="E382" s="775">
        <v>1500</v>
      </c>
      <c r="F382" s="777">
        <v>5600</v>
      </c>
      <c r="G382" s="777">
        <v>3050</v>
      </c>
      <c r="H382" s="777">
        <v>5600</v>
      </c>
      <c r="I382" s="777">
        <v>1500</v>
      </c>
      <c r="J382" s="847">
        <v>2500</v>
      </c>
      <c r="K382" s="827" t="s">
        <v>197</v>
      </c>
      <c r="L382" s="898">
        <v>1500</v>
      </c>
      <c r="M382" s="898">
        <v>2500</v>
      </c>
      <c r="N382" s="1076">
        <v>2500</v>
      </c>
      <c r="O382" s="825">
        <v>2500</v>
      </c>
      <c r="P382" s="825">
        <v>30000</v>
      </c>
      <c r="Q382" s="825">
        <v>30000</v>
      </c>
      <c r="R382" s="825">
        <v>2500</v>
      </c>
      <c r="S382" s="825"/>
      <c r="T382" s="825">
        <v>2500</v>
      </c>
      <c r="U382" s="825">
        <v>2500</v>
      </c>
      <c r="V382" s="825">
        <v>2500</v>
      </c>
      <c r="W382" s="788">
        <f>V382</f>
        <v>2500</v>
      </c>
      <c r="X382" s="825">
        <v>2500</v>
      </c>
      <c r="Y382" s="788">
        <f>X382</f>
        <v>2500</v>
      </c>
      <c r="Z382" s="825">
        <v>2500</v>
      </c>
      <c r="AA382" s="788">
        <f>Z382</f>
        <v>2500</v>
      </c>
      <c r="AB382" s="825">
        <v>2500</v>
      </c>
      <c r="AC382" s="788">
        <f>AB382</f>
        <v>2500</v>
      </c>
      <c r="AD382" s="788"/>
      <c r="AE382" s="825">
        <v>2500</v>
      </c>
      <c r="AF382" s="788"/>
      <c r="AG382" s="788">
        <v>2500</v>
      </c>
      <c r="AH382" s="788">
        <v>2500</v>
      </c>
      <c r="AI382" s="825">
        <v>2500</v>
      </c>
      <c r="AJ382" s="825">
        <v>2500</v>
      </c>
      <c r="AK382" s="825">
        <v>2500</v>
      </c>
      <c r="AL382" s="1547">
        <v>2500</v>
      </c>
      <c r="AM382" s="1547">
        <v>2500</v>
      </c>
      <c r="AN382" s="1547">
        <v>2500</v>
      </c>
      <c r="AO382" s="1547">
        <v>2500</v>
      </c>
      <c r="AP382" s="1547">
        <v>2500</v>
      </c>
      <c r="AQ382" s="1547">
        <v>2500</v>
      </c>
      <c r="AR382" s="1547">
        <v>2500</v>
      </c>
      <c r="AS382" s="1644">
        <f>AR382</f>
        <v>2500</v>
      </c>
      <c r="AT382" s="2359">
        <f>'[1]BUDGET DETAIL'!$CX$884</f>
        <v>2500</v>
      </c>
      <c r="AU382" s="1547">
        <f t="shared" si="195"/>
        <v>0</v>
      </c>
      <c r="AV382" s="2299">
        <f t="shared" si="199"/>
        <v>0</v>
      </c>
      <c r="AW382" s="778"/>
      <c r="AX382" s="2016"/>
      <c r="AY382" s="2016"/>
      <c r="AZ382" s="2016"/>
      <c r="BA382" s="2016"/>
      <c r="BB382" s="2016"/>
    </row>
    <row r="383" spans="1:55" ht="14" hidden="1" customHeight="1" outlineLevel="1" x14ac:dyDescent="0.25">
      <c r="A383" s="771" t="s">
        <v>101</v>
      </c>
      <c r="B383" s="775"/>
      <c r="C383" s="775"/>
      <c r="D383" s="775"/>
      <c r="E383" s="775"/>
      <c r="F383" s="777"/>
      <c r="G383" s="777"/>
      <c r="H383" s="777"/>
      <c r="I383" s="777"/>
      <c r="J383" s="1006"/>
      <c r="K383" s="827"/>
      <c r="L383" s="898"/>
      <c r="M383" s="898">
        <v>5000</v>
      </c>
      <c r="N383" s="1076">
        <v>5000</v>
      </c>
      <c r="O383" s="825">
        <v>5000</v>
      </c>
      <c r="P383" s="825">
        <v>5000</v>
      </c>
      <c r="Q383" s="825">
        <v>5000</v>
      </c>
      <c r="R383" s="825"/>
      <c r="S383" s="825"/>
      <c r="T383" s="825"/>
      <c r="U383" s="825"/>
      <c r="V383" s="825"/>
      <c r="W383" s="825"/>
      <c r="X383" s="825"/>
      <c r="Y383" s="825"/>
      <c r="Z383" s="825"/>
      <c r="AA383" s="825"/>
      <c r="AB383" s="825"/>
      <c r="AC383" s="825"/>
      <c r="AD383" s="825"/>
      <c r="AE383" s="825"/>
      <c r="AF383" s="825"/>
      <c r="AG383" s="825"/>
      <c r="AH383" s="825"/>
      <c r="AI383" s="825"/>
      <c r="AJ383" s="825"/>
      <c r="AK383" s="825"/>
      <c r="AL383" s="1547"/>
      <c r="AM383" s="1547"/>
      <c r="AN383" s="1547"/>
      <c r="AO383" s="1547"/>
      <c r="AP383" s="1547"/>
      <c r="AQ383" s="1547"/>
      <c r="AR383" s="1547"/>
      <c r="AS383" s="1644"/>
      <c r="AT383" s="2359"/>
      <c r="AU383" s="1547" t="str">
        <f t="shared" si="195"/>
        <v/>
      </c>
      <c r="AV383" s="2299" t="str">
        <f t="shared" si="199"/>
        <v/>
      </c>
      <c r="AW383" s="778"/>
      <c r="AX383" s="2016"/>
      <c r="AY383" s="2016"/>
      <c r="AZ383" s="2016"/>
      <c r="BA383" s="2016"/>
      <c r="BB383" s="2016"/>
    </row>
    <row r="384" spans="1:55" ht="14" hidden="1" customHeight="1" outlineLevel="1" x14ac:dyDescent="0.25">
      <c r="A384" s="842" t="s">
        <v>546</v>
      </c>
      <c r="B384" s="781">
        <f t="shared" ref="B384:J384" si="230">SUM(B382)</f>
        <v>5600</v>
      </c>
      <c r="C384" s="781">
        <f t="shared" si="230"/>
        <v>1500</v>
      </c>
      <c r="D384" s="781">
        <f t="shared" si="230"/>
        <v>5600</v>
      </c>
      <c r="E384" s="781">
        <f t="shared" si="230"/>
        <v>1500</v>
      </c>
      <c r="F384" s="782">
        <f t="shared" si="230"/>
        <v>5600</v>
      </c>
      <c r="G384" s="782">
        <f t="shared" si="230"/>
        <v>3050</v>
      </c>
      <c r="H384" s="782">
        <f t="shared" si="230"/>
        <v>5600</v>
      </c>
      <c r="I384" s="782">
        <f t="shared" si="230"/>
        <v>1500</v>
      </c>
      <c r="J384" s="994">
        <f t="shared" si="230"/>
        <v>2500</v>
      </c>
      <c r="K384" s="819"/>
      <c r="L384" s="786">
        <f>L382</f>
        <v>1500</v>
      </c>
      <c r="M384" s="786">
        <f>SUM(M382:M383)</f>
        <v>7500</v>
      </c>
      <c r="N384" s="1084">
        <f>SUM(N382:N383)</f>
        <v>7500</v>
      </c>
      <c r="O384" s="785">
        <f>SUM(O382:O383)</f>
        <v>7500</v>
      </c>
      <c r="P384" s="785">
        <f>SUM(P382:P383)</f>
        <v>35000</v>
      </c>
      <c r="Q384" s="819">
        <f>IF(SUM(Q382:Q383)=0,P384,SUM(Q382:Q383))</f>
        <v>35000</v>
      </c>
      <c r="R384" s="785">
        <f>SUM(R382:R383)</f>
        <v>2500</v>
      </c>
      <c r="S384" s="819">
        <f>IF(SUM(S382:S383)=0,R384,SUM(S382:S383))</f>
        <v>2500</v>
      </c>
      <c r="T384" s="785">
        <v>2500</v>
      </c>
      <c r="U384" s="785">
        <v>2500</v>
      </c>
      <c r="V384" s="785">
        <f>SUM(V382:V383)</f>
        <v>2500</v>
      </c>
      <c r="W384" s="819">
        <f>IF(SUM(W382:W383)=0,V384,SUM(W382:W383))</f>
        <v>2500</v>
      </c>
      <c r="X384" s="785">
        <f>SUM(X382:X383)</f>
        <v>2500</v>
      </c>
      <c r="Y384" s="819">
        <f>IF(SUM(Y382:Y383)=0,X384,SUM(Y382:Y383))</f>
        <v>2500</v>
      </c>
      <c r="Z384" s="785">
        <f>SUM(Z382:Z383)</f>
        <v>2500</v>
      </c>
      <c r="AA384" s="819">
        <f>IF(SUM(AA382:AA383)=0,Z384,SUM(AA382:AA383))</f>
        <v>2500</v>
      </c>
      <c r="AB384" s="785">
        <f>SUM(AB382:AB383)</f>
        <v>2500</v>
      </c>
      <c r="AC384" s="819">
        <f>IF(SUM(AC382:AC383)=0,AB384,SUM(AC382:AC383))</f>
        <v>2500</v>
      </c>
      <c r="AD384" s="819"/>
      <c r="AE384" s="819">
        <v>2500</v>
      </c>
      <c r="AF384" s="819">
        <v>2500</v>
      </c>
      <c r="AG384" s="819">
        <v>2500</v>
      </c>
      <c r="AH384" s="819">
        <v>2500</v>
      </c>
      <c r="AI384" s="785">
        <v>2500</v>
      </c>
      <c r="AJ384" s="785">
        <v>2500</v>
      </c>
      <c r="AK384" s="785">
        <v>2500</v>
      </c>
      <c r="AL384" s="1545">
        <v>2500</v>
      </c>
      <c r="AM384" s="1545">
        <f t="shared" ref="AM384:AS384" si="231">AM382</f>
        <v>2500</v>
      </c>
      <c r="AN384" s="1545">
        <f t="shared" si="231"/>
        <v>2500</v>
      </c>
      <c r="AO384" s="1545">
        <f t="shared" si="231"/>
        <v>2500</v>
      </c>
      <c r="AP384" s="1545">
        <f t="shared" si="231"/>
        <v>2500</v>
      </c>
      <c r="AQ384" s="1545">
        <f t="shared" si="231"/>
        <v>2500</v>
      </c>
      <c r="AR384" s="1545">
        <f t="shared" si="231"/>
        <v>2500</v>
      </c>
      <c r="AS384" s="1641">
        <f t="shared" si="231"/>
        <v>2500</v>
      </c>
      <c r="AT384" s="2357">
        <f>SUM(AT382:AT383)</f>
        <v>2500</v>
      </c>
      <c r="AU384" s="1545">
        <f t="shared" si="195"/>
        <v>0</v>
      </c>
      <c r="AV384" s="2296">
        <f t="shared" si="199"/>
        <v>0</v>
      </c>
      <c r="AW384" s="778"/>
      <c r="AX384" s="2016"/>
      <c r="AY384" s="2016"/>
      <c r="AZ384" s="2016"/>
      <c r="BA384" s="2016"/>
      <c r="BB384" s="2016"/>
      <c r="BC384" s="2332"/>
    </row>
    <row r="385" spans="1:55" ht="14" hidden="1" customHeight="1" outlineLevel="1" x14ac:dyDescent="0.25">
      <c r="A385" s="779"/>
      <c r="B385" s="775"/>
      <c r="C385" s="775"/>
      <c r="D385" s="775"/>
      <c r="E385" s="775"/>
      <c r="F385" s="777"/>
      <c r="G385" s="777"/>
      <c r="H385" s="777"/>
      <c r="I385" s="777"/>
      <c r="J385" s="847"/>
      <c r="K385" s="921"/>
      <c r="L385" s="863"/>
      <c r="M385" s="863"/>
      <c r="N385" s="1085"/>
      <c r="O385" s="827"/>
      <c r="P385" s="827"/>
      <c r="Q385" s="827"/>
      <c r="R385" s="827"/>
      <c r="S385" s="827"/>
      <c r="T385" s="827"/>
      <c r="U385" s="827"/>
      <c r="V385" s="827"/>
      <c r="W385" s="827"/>
      <c r="X385" s="827"/>
      <c r="Y385" s="827"/>
      <c r="Z385" s="827"/>
      <c r="AA385" s="827"/>
      <c r="AB385" s="827"/>
      <c r="AC385" s="827"/>
      <c r="AD385" s="827"/>
      <c r="AE385" s="827"/>
      <c r="AF385" s="827"/>
      <c r="AG385" s="827"/>
      <c r="AH385" s="827"/>
      <c r="AI385" s="827"/>
      <c r="AJ385" s="827"/>
      <c r="AK385" s="827"/>
      <c r="AL385" s="827"/>
      <c r="AM385" s="827"/>
      <c r="AN385" s="827"/>
      <c r="AO385" s="827"/>
      <c r="AP385" s="827"/>
      <c r="AQ385" s="827"/>
      <c r="AR385" s="827"/>
      <c r="AS385" s="1127"/>
      <c r="AT385" s="828"/>
      <c r="AU385" s="827" t="str">
        <f t="shared" si="195"/>
        <v/>
      </c>
      <c r="AV385" s="2277" t="str">
        <f t="shared" si="199"/>
        <v/>
      </c>
      <c r="AW385" s="778"/>
      <c r="AX385" s="2016"/>
      <c r="AY385" s="2016"/>
      <c r="AZ385" s="2016"/>
      <c r="BA385" s="2016"/>
      <c r="BB385" s="2016"/>
    </row>
    <row r="386" spans="1:55" ht="14" customHeight="1" collapsed="1" thickTop="1" thickBot="1" x14ac:dyDescent="0.3">
      <c r="A386" s="902" t="s">
        <v>814</v>
      </c>
      <c r="B386" s="904">
        <f>SUM($B$376+$B$380+$B$363+$B$384)</f>
        <v>1187579</v>
      </c>
      <c r="C386" s="904">
        <f>SUM($C$376+$C$380+$C$363+$C$384)</f>
        <v>1173479</v>
      </c>
      <c r="D386" s="904">
        <f>SUM($D$376+$D$380+$D$363+$D$384)</f>
        <v>1065810</v>
      </c>
      <c r="E386" s="904">
        <f>SUM($E$376+$E$380+$E$363+$E$384)</f>
        <v>1051710</v>
      </c>
      <c r="F386" s="1086">
        <f>SUM($F$384,$F$380,$F$376,$F$363)</f>
        <v>1078047</v>
      </c>
      <c r="G386" s="1086">
        <f>SUM($G$384,$G$380,$G$376,$G$363)</f>
        <v>1069871.52</v>
      </c>
      <c r="H386" s="1086">
        <f>SUM($H$376+$H$380+$H$363+$H$384)</f>
        <v>1079268</v>
      </c>
      <c r="I386" s="953">
        <f>SUM(I$363+$I$376+$I$380+$I$384)</f>
        <v>1065167</v>
      </c>
      <c r="J386" s="953">
        <f>SUM(J$363+$I$376+$I$380+$I$384)</f>
        <v>1094667</v>
      </c>
      <c r="K386" s="1086">
        <f>SUM(K$363+$I$376+$I$380+$I$384)</f>
        <v>594456</v>
      </c>
      <c r="L386" s="953">
        <f t="shared" ref="L386:S386" si="232">SUM(L$363+L$376+L$380+L$384)</f>
        <v>1074439.3799999999</v>
      </c>
      <c r="M386" s="953">
        <f t="shared" si="232"/>
        <v>1112580</v>
      </c>
      <c r="N386" s="1087">
        <f t="shared" si="232"/>
        <v>1117578</v>
      </c>
      <c r="O386" s="1017">
        <f t="shared" si="232"/>
        <v>1117578</v>
      </c>
      <c r="P386" s="1017">
        <f t="shared" si="232"/>
        <v>1141042</v>
      </c>
      <c r="Q386" s="1017">
        <f t="shared" si="232"/>
        <v>1141042</v>
      </c>
      <c r="R386" s="1017">
        <f t="shared" si="232"/>
        <v>1187482.5</v>
      </c>
      <c r="S386" s="1017">
        <f t="shared" si="232"/>
        <v>1187482.5</v>
      </c>
      <c r="T386" s="1017">
        <v>670220.32000000007</v>
      </c>
      <c r="U386" s="1017">
        <v>670220.32000000007</v>
      </c>
      <c r="V386" s="1017">
        <f t="shared" ref="V386:AC386" si="233">SUM(V$363+V$376+V$380+V$384)</f>
        <v>669208.75</v>
      </c>
      <c r="W386" s="1017">
        <f t="shared" si="233"/>
        <v>669208.75</v>
      </c>
      <c r="X386" s="1017">
        <f t="shared" si="233"/>
        <v>689219.92</v>
      </c>
      <c r="Y386" s="1017">
        <f t="shared" si="233"/>
        <v>689219.92</v>
      </c>
      <c r="Z386" s="1017">
        <f t="shared" si="233"/>
        <v>644404.75</v>
      </c>
      <c r="AA386" s="1017">
        <f t="shared" si="233"/>
        <v>644404.75</v>
      </c>
      <c r="AB386" s="1017">
        <f t="shared" si="233"/>
        <v>653485.75</v>
      </c>
      <c r="AC386" s="1017">
        <f t="shared" si="233"/>
        <v>653485.75</v>
      </c>
      <c r="AD386" s="1017"/>
      <c r="AE386" s="1017">
        <v>672874.5</v>
      </c>
      <c r="AF386" s="1017">
        <v>672874.5</v>
      </c>
      <c r="AG386" s="1017">
        <v>1139566.26</v>
      </c>
      <c r="AH386" s="1017">
        <v>1139566.26</v>
      </c>
      <c r="AI386" s="1017">
        <v>1289209.26</v>
      </c>
      <c r="AJ386" s="1017">
        <v>1349145.74</v>
      </c>
      <c r="AK386" s="1017">
        <v>1370827.76</v>
      </c>
      <c r="AL386" s="1017">
        <v>1370827.76</v>
      </c>
      <c r="AM386" s="1017">
        <f t="shared" ref="AM386:AT386" si="234">SUM(AM$363+AM$376+AM$380+AM$384)</f>
        <v>1312062.76</v>
      </c>
      <c r="AN386" s="1017">
        <f t="shared" si="234"/>
        <v>1312064</v>
      </c>
      <c r="AO386" s="1017">
        <f t="shared" si="234"/>
        <v>1096862.76</v>
      </c>
      <c r="AP386" s="1017">
        <f t="shared" si="234"/>
        <v>1096862.76</v>
      </c>
      <c r="AQ386" s="1017">
        <f t="shared" si="234"/>
        <v>1098562.76</v>
      </c>
      <c r="AR386" s="1017">
        <f t="shared" si="234"/>
        <v>1098562.76</v>
      </c>
      <c r="AS386" s="1638">
        <f t="shared" si="234"/>
        <v>1084137.76</v>
      </c>
      <c r="AT386" s="909">
        <f t="shared" si="234"/>
        <v>1084139</v>
      </c>
      <c r="AU386" s="1017">
        <f t="shared" si="195"/>
        <v>-14423.760000000009</v>
      </c>
      <c r="AV386" s="2291">
        <f t="shared" si="199"/>
        <v>-1.3129664071263447E-2</v>
      </c>
      <c r="AW386" s="1617"/>
      <c r="AX386" s="2016"/>
      <c r="AY386" s="2016"/>
      <c r="AZ386" s="2016"/>
      <c r="BA386" s="2518">
        <f>POWER(AT386/AJ386,1/5)-1</f>
        <v>-4.2794423078756694E-2</v>
      </c>
      <c r="BB386" s="2518">
        <f>POWER(AT386/AA386,1/9)-1</f>
        <v>5.9504766766165007E-2</v>
      </c>
      <c r="BC386" s="2011"/>
    </row>
    <row r="387" spans="1:55" ht="14" hidden="1" customHeight="1" outlineLevel="1" thickTop="1" x14ac:dyDescent="0.25">
      <c r="A387" s="771" t="s">
        <v>815</v>
      </c>
      <c r="B387" s="775"/>
      <c r="C387" s="775"/>
      <c r="D387" s="775"/>
      <c r="E387" s="777"/>
      <c r="F387" s="777"/>
      <c r="G387" s="777"/>
      <c r="H387" s="777"/>
      <c r="I387" s="775"/>
      <c r="J387" s="847"/>
      <c r="K387" s="825"/>
      <c r="L387" s="831"/>
      <c r="M387" s="831"/>
      <c r="N387" s="831"/>
      <c r="O387" s="825"/>
      <c r="P387" s="825"/>
      <c r="Q387" s="825"/>
      <c r="R387" s="825"/>
      <c r="S387" s="825"/>
      <c r="T387" s="825"/>
      <c r="U387" s="825"/>
      <c r="V387" s="825"/>
      <c r="W387" s="825"/>
      <c r="X387" s="825"/>
      <c r="Y387" s="825"/>
      <c r="Z387" s="825"/>
      <c r="AA387" s="825"/>
      <c r="AB387" s="825"/>
      <c r="AC387" s="825"/>
      <c r="AD387" s="825"/>
      <c r="AE387" s="825"/>
      <c r="AF387" s="825"/>
      <c r="AG387" s="825"/>
      <c r="AH387" s="825"/>
      <c r="AI387" s="825"/>
      <c r="AJ387" s="825"/>
      <c r="AK387" s="825"/>
      <c r="AL387" s="825"/>
      <c r="AM387" s="825"/>
      <c r="AN387" s="825"/>
      <c r="AO387" s="825"/>
      <c r="AP387" s="825"/>
      <c r="AQ387" s="825"/>
      <c r="AR387" s="825"/>
      <c r="AS387" s="1110"/>
      <c r="AT387" s="1040"/>
      <c r="AU387" s="825" t="str">
        <f t="shared" si="195"/>
        <v/>
      </c>
      <c r="AV387" s="2274" t="str">
        <f t="shared" si="199"/>
        <v/>
      </c>
      <c r="AW387" s="778"/>
      <c r="AX387" s="2016"/>
      <c r="AY387" s="2016"/>
      <c r="AZ387" s="2016"/>
      <c r="BA387" s="2016"/>
      <c r="BB387" s="2016"/>
    </row>
    <row r="388" spans="1:55" ht="14" hidden="1" customHeight="1" outlineLevel="1" x14ac:dyDescent="0.25">
      <c r="A388" s="779" t="s">
        <v>426</v>
      </c>
      <c r="B388" s="775"/>
      <c r="C388" s="775"/>
      <c r="D388" s="775"/>
      <c r="E388" s="777"/>
      <c r="F388" s="777"/>
      <c r="G388" s="777"/>
      <c r="H388" s="777"/>
      <c r="I388" s="775"/>
      <c r="J388" s="847"/>
      <c r="K388" s="788"/>
      <c r="L388" s="855"/>
      <c r="M388" s="855"/>
      <c r="N388" s="855"/>
      <c r="O388" s="788"/>
      <c r="P388" s="788"/>
      <c r="Q388" s="788"/>
      <c r="R388" s="788"/>
      <c r="S388" s="788"/>
      <c r="T388" s="788"/>
      <c r="U388" s="788"/>
      <c r="V388" s="788"/>
      <c r="W388" s="788"/>
      <c r="X388" s="788"/>
      <c r="Y388" s="788"/>
      <c r="Z388" s="788"/>
      <c r="AA388" s="788"/>
      <c r="AB388" s="788"/>
      <c r="AC388" s="788"/>
      <c r="AD388" s="788"/>
      <c r="AE388" s="788"/>
      <c r="AF388" s="788"/>
      <c r="AG388" s="788"/>
      <c r="AH388" s="788"/>
      <c r="AI388" s="788"/>
      <c r="AJ388" s="788"/>
      <c r="AK388" s="788"/>
      <c r="AL388" s="788"/>
      <c r="AM388" s="788"/>
      <c r="AN388" s="788"/>
      <c r="AO388" s="788"/>
      <c r="AP388" s="788"/>
      <c r="AQ388" s="788"/>
      <c r="AR388" s="788"/>
      <c r="AS388" s="841"/>
      <c r="AT388" s="891"/>
      <c r="AU388" s="788" t="str">
        <f t="shared" si="195"/>
        <v/>
      </c>
      <c r="AV388" s="2272" t="str">
        <f t="shared" si="199"/>
        <v/>
      </c>
      <c r="AW388" s="778"/>
      <c r="AX388" s="2016"/>
      <c r="AY388" s="2016"/>
      <c r="AZ388" s="2016"/>
      <c r="BA388" s="2016"/>
      <c r="BB388" s="2016"/>
    </row>
    <row r="389" spans="1:55" ht="14" hidden="1" customHeight="1" outlineLevel="1" x14ac:dyDescent="0.25">
      <c r="A389" s="779" t="s">
        <v>705</v>
      </c>
      <c r="B389" s="775">
        <v>3000</v>
      </c>
      <c r="C389" s="773">
        <v>2500</v>
      </c>
      <c r="D389" s="775">
        <v>3000</v>
      </c>
      <c r="E389" s="773">
        <v>0</v>
      </c>
      <c r="F389" s="777"/>
      <c r="G389" s="777"/>
      <c r="H389" s="777"/>
      <c r="I389" s="773">
        <v>0</v>
      </c>
      <c r="J389" s="806"/>
      <c r="K389" s="788"/>
      <c r="L389" s="855"/>
      <c r="M389" s="855"/>
      <c r="N389" s="855"/>
      <c r="O389" s="788"/>
      <c r="P389" s="788"/>
      <c r="Q389" s="788"/>
      <c r="R389" s="788"/>
      <c r="S389" s="788"/>
      <c r="T389" s="788"/>
      <c r="U389" s="788"/>
      <c r="V389" s="788"/>
      <c r="W389" s="788"/>
      <c r="X389" s="788"/>
      <c r="Y389" s="788"/>
      <c r="Z389" s="788"/>
      <c r="AA389" s="788"/>
      <c r="AB389" s="788"/>
      <c r="AC389" s="788"/>
      <c r="AD389" s="788"/>
      <c r="AE389" s="788"/>
      <c r="AF389" s="788"/>
      <c r="AG389" s="788"/>
      <c r="AH389" s="788"/>
      <c r="AI389" s="788"/>
      <c r="AJ389" s="788"/>
      <c r="AK389" s="788"/>
      <c r="AL389" s="788"/>
      <c r="AM389" s="788"/>
      <c r="AN389" s="788"/>
      <c r="AO389" s="788"/>
      <c r="AP389" s="788"/>
      <c r="AQ389" s="788"/>
      <c r="AR389" s="788"/>
      <c r="AS389" s="841"/>
      <c r="AT389" s="891"/>
      <c r="AU389" s="788" t="str">
        <f t="shared" si="195"/>
        <v/>
      </c>
      <c r="AV389" s="2272" t="str">
        <f t="shared" si="199"/>
        <v/>
      </c>
      <c r="AW389" s="778"/>
      <c r="AX389" s="2016"/>
      <c r="AY389" s="2016"/>
      <c r="AZ389" s="2016"/>
      <c r="BA389" s="2016"/>
      <c r="BB389" s="2016"/>
    </row>
    <row r="390" spans="1:55" ht="14" hidden="1" customHeight="1" outlineLevel="1" x14ac:dyDescent="0.25">
      <c r="A390" s="779" t="s">
        <v>735</v>
      </c>
      <c r="B390" s="775">
        <v>396341</v>
      </c>
      <c r="C390" s="773">
        <v>396341</v>
      </c>
      <c r="D390" s="775">
        <v>427475</v>
      </c>
      <c r="E390" s="773">
        <v>427475</v>
      </c>
      <c r="F390" s="777">
        <v>420927</v>
      </c>
      <c r="G390" s="777">
        <v>420927</v>
      </c>
      <c r="H390" s="777">
        <v>473082</v>
      </c>
      <c r="I390" s="773">
        <v>473082</v>
      </c>
      <c r="J390" s="806">
        <v>518521</v>
      </c>
      <c r="K390" s="827" t="s">
        <v>455</v>
      </c>
      <c r="L390" s="898">
        <v>618800</v>
      </c>
      <c r="M390" s="1088">
        <v>588220</v>
      </c>
      <c r="N390" s="1076">
        <v>643879</v>
      </c>
      <c r="O390" s="825">
        <v>643879</v>
      </c>
      <c r="P390" s="825">
        <v>667094</v>
      </c>
      <c r="Q390" s="831">
        <f>P390</f>
        <v>667094</v>
      </c>
      <c r="R390" s="827">
        <v>733580</v>
      </c>
      <c r="S390" s="825"/>
      <c r="T390" s="825">
        <v>756064</v>
      </c>
      <c r="U390" s="825">
        <v>756064</v>
      </c>
      <c r="V390" s="827">
        <v>796025</v>
      </c>
      <c r="W390" s="788">
        <f>V390</f>
        <v>796025</v>
      </c>
      <c r="X390" s="827">
        <v>884541</v>
      </c>
      <c r="Y390" s="827">
        <v>884541</v>
      </c>
      <c r="Z390" s="827">
        <v>964456</v>
      </c>
      <c r="AA390" s="827">
        <f>Z390</f>
        <v>964456</v>
      </c>
      <c r="AB390" s="827">
        <v>1057155</v>
      </c>
      <c r="AC390" s="825">
        <f>AB390</f>
        <v>1057155</v>
      </c>
      <c r="AD390" s="825"/>
      <c r="AE390" s="825">
        <v>1076261</v>
      </c>
      <c r="AF390" s="810"/>
      <c r="AG390" s="810">
        <v>1208241.3489142857</v>
      </c>
      <c r="AH390" s="810">
        <v>1140341</v>
      </c>
      <c r="AI390" s="825">
        <v>1280179.3877714283</v>
      </c>
      <c r="AJ390" s="825">
        <v>1224339</v>
      </c>
      <c r="AK390" s="825">
        <v>1374477.9425142857</v>
      </c>
      <c r="AL390" s="825">
        <v>1365197</v>
      </c>
      <c r="AM390" s="825">
        <v>1432033</v>
      </c>
      <c r="AN390" s="825">
        <v>1432033</v>
      </c>
      <c r="AO390" s="825">
        <v>1547145.9702818999</v>
      </c>
      <c r="AP390" s="825">
        <v>1547146</v>
      </c>
      <c r="AQ390" s="825">
        <f>AO390*$AH$6</f>
        <v>1717332.0270129091</v>
      </c>
      <c r="AR390" s="825">
        <v>1723590</v>
      </c>
      <c r="AS390" s="1110">
        <f>AR390*$AH$6</f>
        <v>1913184.9000000001</v>
      </c>
      <c r="AT390" s="1040">
        <f>'[1]BUDGET DETAIL'!$CX$940</f>
        <v>1749985</v>
      </c>
      <c r="AU390" s="825">
        <f t="shared" si="195"/>
        <v>26395</v>
      </c>
      <c r="AV390" s="2274">
        <f t="shared" si="199"/>
        <v>1.5313966778642253E-2</v>
      </c>
      <c r="AW390" s="1526"/>
      <c r="AX390" s="2016"/>
      <c r="AY390" s="2016"/>
      <c r="AZ390" s="2016"/>
      <c r="BA390" s="2016"/>
      <c r="BB390" s="2016"/>
      <c r="BC390" s="2024"/>
    </row>
    <row r="391" spans="1:55" ht="14" hidden="1" customHeight="1" outlineLevel="1" x14ac:dyDescent="0.25">
      <c r="A391" s="842" t="s">
        <v>736</v>
      </c>
      <c r="B391" s="781">
        <f>SUM(B389:B390)</f>
        <v>399341</v>
      </c>
      <c r="C391" s="781">
        <f>SUM(C389:C390)</f>
        <v>398841</v>
      </c>
      <c r="D391" s="781">
        <f>SUM(D388:D390)</f>
        <v>430475</v>
      </c>
      <c r="E391" s="781">
        <f>SUM(E389:E390)</f>
        <v>427475</v>
      </c>
      <c r="F391" s="782">
        <f>SUM(F390:F390)</f>
        <v>420927</v>
      </c>
      <c r="G391" s="782">
        <f>SUM(G390:G390)</f>
        <v>420927</v>
      </c>
      <c r="H391" s="782">
        <f>SUM(H390:H390)</f>
        <v>473082</v>
      </c>
      <c r="I391" s="782">
        <f>SUM(I390:I390)</f>
        <v>473082</v>
      </c>
      <c r="J391" s="869">
        <f>SUM(J390:J390)</f>
        <v>518521</v>
      </c>
      <c r="K391" s="995">
        <v>38789</v>
      </c>
      <c r="L391" s="1090">
        <f>SUM(L389:L390)</f>
        <v>618800</v>
      </c>
      <c r="M391" s="1090">
        <f>SUM(M389:M390)</f>
        <v>588220</v>
      </c>
      <c r="N391" s="1091">
        <f>SUM(N389:N390)</f>
        <v>643879</v>
      </c>
      <c r="O391" s="819">
        <f>SUM(O389:O390)</f>
        <v>643879</v>
      </c>
      <c r="P391" s="819">
        <f>SUM(P389:P390)</f>
        <v>667094</v>
      </c>
      <c r="Q391" s="819">
        <f>IF(SUM(Q389:Q390)=0,P391,SUM(Q389:Q390))</f>
        <v>667094</v>
      </c>
      <c r="R391" s="819">
        <f>SUM(R389:R390)</f>
        <v>733580</v>
      </c>
      <c r="S391" s="819">
        <f>IF(SUM(S389:S390)=0,R391,SUM(S389:S390))</f>
        <v>733580</v>
      </c>
      <c r="T391" s="819">
        <v>756064</v>
      </c>
      <c r="U391" s="819">
        <v>756064</v>
      </c>
      <c r="V391" s="819">
        <f>SUM(V389:V390)</f>
        <v>796025</v>
      </c>
      <c r="W391" s="819">
        <f>IF(SUM(W389:W390)=0,V391,SUM(W389:W390))</f>
        <v>796025</v>
      </c>
      <c r="X391" s="819">
        <f>SUM(X389:X390)</f>
        <v>884541</v>
      </c>
      <c r="Y391" s="819">
        <f>IF(SUM(Y389:Y390)=0,X391,SUM(Y389:Y390))</f>
        <v>884541</v>
      </c>
      <c r="Z391" s="819">
        <f>SUM(Z389:Z390)</f>
        <v>964456</v>
      </c>
      <c r="AA391" s="819">
        <f>IF(SUM(AA389:AA390)=0,Z391,SUM(AA389:AA390))</f>
        <v>964456</v>
      </c>
      <c r="AB391" s="819">
        <f>SUM(AB389:AB390)</f>
        <v>1057155</v>
      </c>
      <c r="AC391" s="819">
        <f>IF(SUM(AC389:AC390)=0,AB391,SUM(AC389:AC390))</f>
        <v>1057155</v>
      </c>
      <c r="AD391" s="819"/>
      <c r="AE391" s="819">
        <v>1076261</v>
      </c>
      <c r="AF391" s="819">
        <v>1076261</v>
      </c>
      <c r="AG391" s="819">
        <v>1208241.3489142857</v>
      </c>
      <c r="AH391" s="819">
        <v>1140341</v>
      </c>
      <c r="AI391" s="785">
        <v>1280179.3877714283</v>
      </c>
      <c r="AJ391" s="785">
        <v>1224339</v>
      </c>
      <c r="AK391" s="785">
        <v>1374477.9425142857</v>
      </c>
      <c r="AL391" s="785">
        <v>1365197</v>
      </c>
      <c r="AM391" s="785">
        <f>SUM(AM388:AM390)</f>
        <v>1432033</v>
      </c>
      <c r="AN391" s="785">
        <f t="shared" ref="AN391:AT391" si="235">SUM(AN388:AN390)</f>
        <v>1432033</v>
      </c>
      <c r="AO391" s="785">
        <f t="shared" si="235"/>
        <v>1547145.9702818999</v>
      </c>
      <c r="AP391" s="785">
        <f t="shared" si="235"/>
        <v>1547146</v>
      </c>
      <c r="AQ391" s="785">
        <f t="shared" si="235"/>
        <v>1717332.0270129091</v>
      </c>
      <c r="AR391" s="785">
        <f t="shared" si="235"/>
        <v>1723590</v>
      </c>
      <c r="AS391" s="820">
        <f t="shared" si="235"/>
        <v>1913184.9000000001</v>
      </c>
      <c r="AT391" s="819">
        <f t="shared" si="235"/>
        <v>1749985</v>
      </c>
      <c r="AU391" s="785">
        <f t="shared" si="195"/>
        <v>26395</v>
      </c>
      <c r="AV391" s="2275">
        <f t="shared" si="199"/>
        <v>1.5313966778642253E-2</v>
      </c>
      <c r="AW391" s="1089"/>
      <c r="AX391" s="2016"/>
      <c r="AY391" s="2016"/>
      <c r="AZ391" s="2016"/>
      <c r="BA391" s="2518">
        <f>POWER(AT391/AJ391,1/5)-1</f>
        <v>7.4055018027665342E-2</v>
      </c>
      <c r="BB391" s="2518">
        <f>POWER(AT391/AA391,1/9)-1</f>
        <v>6.8440180116585925E-2</v>
      </c>
      <c r="BC391" s="2332"/>
    </row>
    <row r="392" spans="1:55" ht="14" hidden="1" customHeight="1" outlineLevel="1" x14ac:dyDescent="0.25">
      <c r="A392" s="821" t="s">
        <v>102</v>
      </c>
      <c r="B392" s="796"/>
      <c r="C392" s="793"/>
      <c r="D392" s="796"/>
      <c r="E392" s="793"/>
      <c r="F392" s="801"/>
      <c r="G392" s="801"/>
      <c r="H392" s="801"/>
      <c r="I392" s="796"/>
      <c r="J392" s="1092"/>
      <c r="K392" s="823"/>
      <c r="L392" s="829"/>
      <c r="M392" s="830"/>
      <c r="N392" s="829"/>
      <c r="O392" s="822"/>
      <c r="P392" s="822"/>
      <c r="Q392" s="822"/>
      <c r="R392" s="822"/>
      <c r="S392" s="822"/>
      <c r="T392" s="822"/>
      <c r="U392" s="822"/>
      <c r="V392" s="822"/>
      <c r="W392" s="822"/>
      <c r="X392" s="822"/>
      <c r="Y392" s="822"/>
      <c r="Z392" s="822"/>
      <c r="AA392" s="822"/>
      <c r="AB392" s="822"/>
      <c r="AC392" s="822"/>
      <c r="AD392" s="822"/>
      <c r="AE392" s="822"/>
      <c r="AF392" s="822"/>
      <c r="AG392" s="822"/>
      <c r="AH392" s="822"/>
      <c r="AI392" s="822"/>
      <c r="AJ392" s="822"/>
      <c r="AK392" s="822"/>
      <c r="AL392" s="822"/>
      <c r="AM392" s="822"/>
      <c r="AN392" s="822"/>
      <c r="AO392" s="822"/>
      <c r="AP392" s="822"/>
      <c r="AQ392" s="822"/>
      <c r="AR392" s="822"/>
      <c r="AS392" s="1160"/>
      <c r="AT392" s="823"/>
      <c r="AU392" s="822" t="str">
        <f t="shared" si="195"/>
        <v/>
      </c>
      <c r="AV392" s="2276" t="str">
        <f t="shared" si="199"/>
        <v/>
      </c>
      <c r="AW392" s="803"/>
      <c r="AX392" s="2016"/>
      <c r="AY392" s="2016"/>
      <c r="AZ392" s="2016"/>
      <c r="BA392" s="2016"/>
      <c r="BB392" s="2016"/>
    </row>
    <row r="393" spans="1:55" ht="14" hidden="1" customHeight="1" outlineLevel="1" x14ac:dyDescent="0.25">
      <c r="A393" s="779" t="s">
        <v>737</v>
      </c>
      <c r="B393" s="775"/>
      <c r="C393" s="804"/>
      <c r="D393" s="775"/>
      <c r="E393" s="804"/>
      <c r="F393" s="777"/>
      <c r="G393" s="777"/>
      <c r="H393" s="777"/>
      <c r="I393" s="775"/>
      <c r="J393" s="775"/>
      <c r="K393" s="788"/>
      <c r="L393" s="855"/>
      <c r="M393" s="855"/>
      <c r="N393" s="855"/>
      <c r="O393" s="788"/>
      <c r="P393" s="788"/>
      <c r="Q393" s="788"/>
      <c r="R393" s="788"/>
      <c r="S393" s="788"/>
      <c r="T393" s="788"/>
      <c r="U393" s="788"/>
      <c r="V393" s="788"/>
      <c r="W393" s="788"/>
      <c r="X393" s="788"/>
      <c r="Y393" s="788"/>
      <c r="Z393" s="788"/>
      <c r="AA393" s="788"/>
      <c r="AB393" s="788"/>
      <c r="AC393" s="788"/>
      <c r="AD393" s="788"/>
      <c r="AE393" s="788"/>
      <c r="AF393" s="788"/>
      <c r="AG393" s="788"/>
      <c r="AH393" s="788"/>
      <c r="AI393" s="788"/>
      <c r="AJ393" s="788"/>
      <c r="AK393" s="788"/>
      <c r="AL393" s="788"/>
      <c r="AM393" s="788"/>
      <c r="AN393" s="788"/>
      <c r="AO393" s="788"/>
      <c r="AP393" s="788"/>
      <c r="AQ393" s="788"/>
      <c r="AR393" s="788"/>
      <c r="AS393" s="841"/>
      <c r="AT393" s="891"/>
      <c r="AU393" s="788" t="str">
        <f t="shared" ref="AU393:AU438" si="236">IF(AR393&gt;0,AT393-AR393,"")</f>
        <v/>
      </c>
      <c r="AV393" s="2272" t="str">
        <f t="shared" si="199"/>
        <v/>
      </c>
      <c r="AW393" s="778"/>
      <c r="AX393" s="2016"/>
      <c r="AY393" s="2016"/>
      <c r="AZ393" s="2016"/>
      <c r="BA393" s="2016"/>
      <c r="BB393" s="2016"/>
    </row>
    <row r="394" spans="1:55" ht="14" hidden="1" customHeight="1" outlineLevel="1" x14ac:dyDescent="0.25">
      <c r="A394" s="779" t="s">
        <v>171</v>
      </c>
      <c r="B394" s="775">
        <v>154668</v>
      </c>
      <c r="C394" s="773">
        <v>154022</v>
      </c>
      <c r="D394" s="773">
        <v>170551</v>
      </c>
      <c r="E394" s="773">
        <v>156318.21</v>
      </c>
      <c r="F394" s="774">
        <v>183751</v>
      </c>
      <c r="G394" s="774">
        <v>181912</v>
      </c>
      <c r="H394" s="774">
        <v>198542</v>
      </c>
      <c r="I394" s="773">
        <f>31778.46+130383.04+1350</f>
        <v>163511.5</v>
      </c>
      <c r="J394" s="806">
        <v>227636</v>
      </c>
      <c r="K394" s="816">
        <v>38794</v>
      </c>
      <c r="L394" s="812">
        <v>259904.27</v>
      </c>
      <c r="M394" s="812">
        <v>292238</v>
      </c>
      <c r="N394" s="1068">
        <v>355390</v>
      </c>
      <c r="O394" s="788">
        <v>315027</v>
      </c>
      <c r="P394" s="788">
        <v>362253</v>
      </c>
      <c r="Q394" s="855">
        <f>P394</f>
        <v>362253</v>
      </c>
      <c r="R394" s="785">
        <v>352941</v>
      </c>
      <c r="S394" s="788"/>
      <c r="T394" s="788">
        <v>388235.10000000003</v>
      </c>
      <c r="U394" s="788">
        <v>388235.10000000003</v>
      </c>
      <c r="V394" s="785">
        <v>427058</v>
      </c>
      <c r="W394" s="788">
        <v>355439</v>
      </c>
      <c r="X394" s="827">
        <v>390813</v>
      </c>
      <c r="Y394" s="827">
        <v>355439</v>
      </c>
      <c r="Z394" s="827">
        <v>369469</v>
      </c>
      <c r="AA394" s="827">
        <f>Z394</f>
        <v>369469</v>
      </c>
      <c r="AB394" s="827">
        <v>399665</v>
      </c>
      <c r="AC394" s="825">
        <f>AB394</f>
        <v>399665</v>
      </c>
      <c r="AD394" s="825"/>
      <c r="AE394" s="825">
        <v>422277</v>
      </c>
      <c r="AF394" s="810"/>
      <c r="AG394" s="810">
        <v>451836.39</v>
      </c>
      <c r="AH394" s="810">
        <v>456503</v>
      </c>
      <c r="AI394" s="825">
        <v>488458.21</v>
      </c>
      <c r="AJ394" s="825">
        <v>461844</v>
      </c>
      <c r="AK394" s="825">
        <v>494173.08</v>
      </c>
      <c r="AL394" s="825">
        <v>465499</v>
      </c>
      <c r="AM394" s="825">
        <f>AL394*$AH$5</f>
        <v>512048.9</v>
      </c>
      <c r="AN394" s="825">
        <v>473612</v>
      </c>
      <c r="AO394" s="825">
        <v>513869.01999999996</v>
      </c>
      <c r="AP394" s="825">
        <v>412500</v>
      </c>
      <c r="AQ394" s="825">
        <f>AP394*$AH$5</f>
        <v>453750.00000000006</v>
      </c>
      <c r="AR394" s="825">
        <v>397960</v>
      </c>
      <c r="AS394" s="1110">
        <f>AR394*$AH$5</f>
        <v>437756.00000000006</v>
      </c>
      <c r="AT394" s="1040">
        <f>'[1]BUDGET DETAIL'!$CX$968</f>
        <v>415869</v>
      </c>
      <c r="AU394" s="825">
        <f t="shared" si="236"/>
        <v>17909</v>
      </c>
      <c r="AV394" s="2274">
        <f t="shared" si="199"/>
        <v>4.5002010252286659E-2</v>
      </c>
      <c r="AW394" s="1093"/>
      <c r="AX394" s="2016"/>
      <c r="AY394" s="2016"/>
      <c r="AZ394" s="2016"/>
      <c r="BA394" s="2016"/>
      <c r="BB394" s="2016"/>
      <c r="BC394" s="2034"/>
    </row>
    <row r="395" spans="1:55" ht="14" hidden="1" customHeight="1" outlineLevel="1" x14ac:dyDescent="0.25">
      <c r="A395" s="779"/>
      <c r="B395" s="775"/>
      <c r="C395" s="773"/>
      <c r="D395" s="773"/>
      <c r="E395" s="773"/>
      <c r="F395" s="774"/>
      <c r="G395" s="774"/>
      <c r="H395" s="774"/>
      <c r="I395" s="773">
        <v>16187</v>
      </c>
      <c r="J395" s="806"/>
      <c r="K395" s="788"/>
      <c r="L395" s="812"/>
      <c r="M395" s="812">
        <v>66883</v>
      </c>
      <c r="N395" s="1068">
        <v>0</v>
      </c>
      <c r="O395" s="788"/>
      <c r="P395" s="788"/>
      <c r="Q395" s="788"/>
      <c r="R395" s="788"/>
      <c r="S395" s="788"/>
      <c r="T395" s="788"/>
      <c r="U395" s="788">
        <v>0</v>
      </c>
      <c r="V395" s="788"/>
      <c r="W395" s="788">
        <f>V395</f>
        <v>0</v>
      </c>
      <c r="X395" s="788"/>
      <c r="Y395" s="788"/>
      <c r="Z395" s="788"/>
      <c r="AA395" s="788"/>
      <c r="AB395" s="788"/>
      <c r="AC395" s="788"/>
      <c r="AD395" s="788"/>
      <c r="AE395" s="788"/>
      <c r="AF395" s="788"/>
      <c r="AG395" s="788"/>
      <c r="AH395" s="788"/>
      <c r="AI395" s="788"/>
      <c r="AJ395" s="788"/>
      <c r="AK395" s="788"/>
      <c r="AL395" s="788"/>
      <c r="AM395" s="788"/>
      <c r="AN395" s="788"/>
      <c r="AO395" s="788"/>
      <c r="AP395" s="788"/>
      <c r="AQ395" s="788"/>
      <c r="AR395" s="788"/>
      <c r="AS395" s="841"/>
      <c r="AT395" s="891"/>
      <c r="AU395" s="788" t="str">
        <f t="shared" si="236"/>
        <v/>
      </c>
      <c r="AV395" s="2272" t="str">
        <f t="shared" si="199"/>
        <v/>
      </c>
      <c r="AW395" s="1093"/>
      <c r="AX395" s="2016"/>
      <c r="AY395" s="2016"/>
      <c r="AZ395" s="2016"/>
      <c r="BA395" s="2016"/>
      <c r="BB395" s="2016"/>
      <c r="BC395" s="2034"/>
    </row>
    <row r="396" spans="1:55" ht="14" hidden="1" customHeight="1" outlineLevel="1" x14ac:dyDescent="0.25">
      <c r="A396" s="779" t="s">
        <v>95</v>
      </c>
      <c r="B396" s="775">
        <v>774439</v>
      </c>
      <c r="C396" s="773">
        <v>719295.58</v>
      </c>
      <c r="D396" s="773">
        <v>818831</v>
      </c>
      <c r="E396" s="773">
        <v>759434.44</v>
      </c>
      <c r="F396" s="774">
        <v>882003</v>
      </c>
      <c r="G396" s="774">
        <v>515449.62</v>
      </c>
      <c r="H396" s="774">
        <v>1040017</v>
      </c>
      <c r="I396" s="773">
        <v>1019170.85</v>
      </c>
      <c r="J396" s="806">
        <v>1171266</v>
      </c>
      <c r="K396" s="785" t="s">
        <v>197</v>
      </c>
      <c r="L396" s="812">
        <v>1234222.55</v>
      </c>
      <c r="M396" s="812">
        <v>1364677</v>
      </c>
      <c r="N396" s="1068">
        <v>1444653</v>
      </c>
      <c r="O396" s="788">
        <v>1444653</v>
      </c>
      <c r="P396" s="788">
        <v>1575476</v>
      </c>
      <c r="Q396" s="855">
        <f>P396</f>
        <v>1575476</v>
      </c>
      <c r="R396" s="785">
        <v>1726577</v>
      </c>
      <c r="S396" s="788"/>
      <c r="T396" s="788">
        <v>1802236</v>
      </c>
      <c r="U396" s="788">
        <v>1802236</v>
      </c>
      <c r="V396" s="785">
        <v>1982459</v>
      </c>
      <c r="W396" s="788">
        <v>1945203</v>
      </c>
      <c r="X396" s="827">
        <v>2128918</v>
      </c>
      <c r="Y396" s="827">
        <v>1945203</v>
      </c>
      <c r="Z396" s="827">
        <v>2016137</v>
      </c>
      <c r="AA396" s="827">
        <f>Z396</f>
        <v>2016137</v>
      </c>
      <c r="AB396" s="827">
        <f>2038793+6855+175266+7200+6000</f>
        <v>2234114</v>
      </c>
      <c r="AC396" s="827">
        <f>AB396</f>
        <v>2234114</v>
      </c>
      <c r="AD396" s="827"/>
      <c r="AE396" s="827">
        <v>2304084</v>
      </c>
      <c r="AF396" s="810"/>
      <c r="AG396" s="810">
        <v>2465369.8800000004</v>
      </c>
      <c r="AH396" s="810">
        <v>2312733</v>
      </c>
      <c r="AI396" s="825">
        <v>2474624.31</v>
      </c>
      <c r="AJ396" s="825">
        <v>2309587</v>
      </c>
      <c r="AK396" s="825">
        <v>2471258.0900000003</v>
      </c>
      <c r="AL396" s="825">
        <v>2318987</v>
      </c>
      <c r="AM396" s="825">
        <f>AL396*$AH$5*0+2483187</f>
        <v>2483187</v>
      </c>
      <c r="AN396" s="825">
        <v>2273187</v>
      </c>
      <c r="AO396" s="825">
        <v>2466407.895</v>
      </c>
      <c r="AP396" s="825">
        <v>2351187</v>
      </c>
      <c r="AQ396" s="825">
        <f>AP396*$AH$5</f>
        <v>2586305.7000000002</v>
      </c>
      <c r="AR396" s="825">
        <v>2454367</v>
      </c>
      <c r="AS396" s="1110">
        <f>AR396*$AH$5</f>
        <v>2699803.7</v>
      </c>
      <c r="AT396" s="1040">
        <f>'[1]BUDGET DETAIL'!$CX$957</f>
        <v>2576172</v>
      </c>
      <c r="AU396" s="825">
        <f t="shared" si="236"/>
        <v>121805</v>
      </c>
      <c r="AV396" s="2274">
        <f t="shared" si="199"/>
        <v>4.962786738902536E-2</v>
      </c>
      <c r="AW396" s="1526"/>
      <c r="AX396" s="2016"/>
      <c r="AY396" s="2016"/>
      <c r="AZ396" s="2016"/>
      <c r="BA396" s="2016"/>
      <c r="BB396" s="2016"/>
      <c r="BC396" s="2024"/>
    </row>
    <row r="397" spans="1:55" ht="14" hidden="1" customHeight="1" outlineLevel="1" x14ac:dyDescent="0.25">
      <c r="A397" s="779" t="s">
        <v>738</v>
      </c>
      <c r="B397" s="775">
        <v>20000</v>
      </c>
      <c r="C397" s="773">
        <v>649.01</v>
      </c>
      <c r="D397" s="773">
        <v>20000</v>
      </c>
      <c r="E397" s="773">
        <v>5083.8999999999996</v>
      </c>
      <c r="F397" s="774">
        <v>20000</v>
      </c>
      <c r="G397" s="774">
        <v>25850.71</v>
      </c>
      <c r="H397" s="774">
        <v>25000</v>
      </c>
      <c r="I397" s="773">
        <v>1335.19</v>
      </c>
      <c r="J397" s="806">
        <v>25000</v>
      </c>
      <c r="K397" s="1094" t="s">
        <v>197</v>
      </c>
      <c r="L397" s="898">
        <v>11604.15</v>
      </c>
      <c r="M397" s="898">
        <v>25000</v>
      </c>
      <c r="N397" s="1076">
        <v>50000</v>
      </c>
      <c r="O397" s="825">
        <v>50000</v>
      </c>
      <c r="P397" s="825">
        <v>50000</v>
      </c>
      <c r="Q397" s="825">
        <v>50000</v>
      </c>
      <c r="R397" s="825">
        <v>100000</v>
      </c>
      <c r="S397" s="825"/>
      <c r="T397" s="825">
        <v>75000</v>
      </c>
      <c r="U397" s="825">
        <v>75000</v>
      </c>
      <c r="V397" s="825">
        <v>100000</v>
      </c>
      <c r="W397" s="788">
        <f>V397</f>
        <v>100000</v>
      </c>
      <c r="X397" s="825">
        <v>75000</v>
      </c>
      <c r="Y397" s="825">
        <v>75000</v>
      </c>
      <c r="Z397" s="825">
        <v>75000</v>
      </c>
      <c r="AA397" s="825">
        <f>Z397</f>
        <v>75000</v>
      </c>
      <c r="AB397" s="825">
        <v>75000</v>
      </c>
      <c r="AC397" s="825">
        <v>60000</v>
      </c>
      <c r="AD397" s="825"/>
      <c r="AE397" s="825">
        <v>60000</v>
      </c>
      <c r="AF397" s="810"/>
      <c r="AG397" s="810">
        <v>60000</v>
      </c>
      <c r="AH397" s="810">
        <v>0</v>
      </c>
      <c r="AI397" s="825">
        <v>60000</v>
      </c>
      <c r="AJ397" s="825">
        <v>0</v>
      </c>
      <c r="AK397" s="825"/>
      <c r="AL397" s="825"/>
      <c r="AM397" s="825"/>
      <c r="AN397" s="825"/>
      <c r="AO397" s="825"/>
      <c r="AP397" s="825"/>
      <c r="AQ397" s="825"/>
      <c r="AR397" s="825"/>
      <c r="AS397" s="1110"/>
      <c r="AT397" s="1040"/>
      <c r="AU397" s="825" t="str">
        <f t="shared" si="236"/>
        <v/>
      </c>
      <c r="AV397" s="2274" t="str">
        <f t="shared" si="199"/>
        <v/>
      </c>
      <c r="AW397" s="1095"/>
      <c r="AX397" s="2016"/>
      <c r="AY397" s="2016"/>
      <c r="AZ397" s="2016"/>
      <c r="BA397" s="2016"/>
      <c r="BB397" s="2016"/>
      <c r="BC397" s="2035"/>
    </row>
    <row r="398" spans="1:55" ht="14" hidden="1" customHeight="1" outlineLevel="1" x14ac:dyDescent="0.25">
      <c r="A398" s="842" t="s">
        <v>736</v>
      </c>
      <c r="B398" s="781">
        <f>SUM(B394:B397)</f>
        <v>949107</v>
      </c>
      <c r="C398" s="781">
        <f>SUM(C394:C397)</f>
        <v>873966.59</v>
      </c>
      <c r="D398" s="781">
        <f t="shared" ref="D398:O398" si="237">SUM(D394:D397)</f>
        <v>1009382</v>
      </c>
      <c r="E398" s="781">
        <f t="shared" si="237"/>
        <v>920836.54999999993</v>
      </c>
      <c r="F398" s="781">
        <f t="shared" si="237"/>
        <v>1085754</v>
      </c>
      <c r="G398" s="781">
        <f t="shared" si="237"/>
        <v>723212.33</v>
      </c>
      <c r="H398" s="781">
        <f t="shared" si="237"/>
        <v>1263559</v>
      </c>
      <c r="I398" s="781">
        <f t="shared" si="237"/>
        <v>1200204.54</v>
      </c>
      <c r="J398" s="784">
        <f t="shared" si="237"/>
        <v>1423902</v>
      </c>
      <c r="K398" s="819"/>
      <c r="L398" s="843">
        <f t="shared" si="237"/>
        <v>1505730.97</v>
      </c>
      <c r="M398" s="843">
        <f t="shared" si="237"/>
        <v>1748798</v>
      </c>
      <c r="N398" s="1073">
        <f t="shared" si="237"/>
        <v>1850043</v>
      </c>
      <c r="O398" s="845">
        <f t="shared" si="237"/>
        <v>1809680</v>
      </c>
      <c r="P398" s="845">
        <f>SUM(P394:P397)</f>
        <v>1987729</v>
      </c>
      <c r="Q398" s="819">
        <f>IF(SUM(Q394:Q397)=0,P398,SUM(Q394:Q397))</f>
        <v>1987729</v>
      </c>
      <c r="R398" s="845">
        <f>SUM(R394:R397)</f>
        <v>2179518</v>
      </c>
      <c r="S398" s="819">
        <f>IF(SUM(S394:S397)=0,R398,SUM(S394:S397))</f>
        <v>2179518</v>
      </c>
      <c r="T398" s="819">
        <v>2265471.1</v>
      </c>
      <c r="U398" s="819">
        <v>2265471.1</v>
      </c>
      <c r="V398" s="845">
        <f>SUM(V394:V397)</f>
        <v>2509517</v>
      </c>
      <c r="W398" s="819">
        <f>IF(SUM(W394:W397)=0,V398,SUM(W394:W397))</f>
        <v>2400642</v>
      </c>
      <c r="X398" s="845">
        <f>SUM(X394:X397)</f>
        <v>2594731</v>
      </c>
      <c r="Y398" s="819">
        <f>IF(SUM(Y394:Y397)=0,X398,SUM(Y394:Y397))</f>
        <v>2375642</v>
      </c>
      <c r="Z398" s="845">
        <f>SUM(Z394:Z397)</f>
        <v>2460606</v>
      </c>
      <c r="AA398" s="819">
        <f>IF(SUM(AA394:AA397)=0,Z398,SUM(AA394:AA397))</f>
        <v>2460606</v>
      </c>
      <c r="AB398" s="845">
        <f>SUM(AB394:AB397)</f>
        <v>2708779</v>
      </c>
      <c r="AC398" s="819">
        <f>IF(SUM(AC394:AC397)=0,AB398,SUM(AC394:AC397))</f>
        <v>2693779</v>
      </c>
      <c r="AD398" s="819"/>
      <c r="AE398" s="819">
        <v>2786361</v>
      </c>
      <c r="AF398" s="819">
        <v>2786361</v>
      </c>
      <c r="AG398" s="819">
        <v>2977206.2700000005</v>
      </c>
      <c r="AH398" s="819">
        <v>2769236</v>
      </c>
      <c r="AI398" s="785">
        <v>3023082.52</v>
      </c>
      <c r="AJ398" s="785">
        <v>2771431</v>
      </c>
      <c r="AK398" s="827">
        <v>2965431.1700000004</v>
      </c>
      <c r="AL398" s="827">
        <v>2784486</v>
      </c>
      <c r="AM398" s="827">
        <f t="shared" ref="AM398:AR398" si="238">SUM(AM394:AM396)</f>
        <v>2995235.9</v>
      </c>
      <c r="AN398" s="827">
        <f t="shared" si="238"/>
        <v>2746799</v>
      </c>
      <c r="AO398" s="827">
        <f t="shared" si="238"/>
        <v>2980276.915</v>
      </c>
      <c r="AP398" s="827">
        <f t="shared" si="238"/>
        <v>2763687</v>
      </c>
      <c r="AQ398" s="827">
        <f t="shared" si="238"/>
        <v>3040055.7</v>
      </c>
      <c r="AR398" s="827">
        <f t="shared" si="238"/>
        <v>2852327</v>
      </c>
      <c r="AS398" s="1127">
        <f t="shared" ref="AS398:AT398" si="239">SUM(AS394:AS396)</f>
        <v>3137559.7</v>
      </c>
      <c r="AT398" s="828">
        <f t="shared" si="239"/>
        <v>2992041</v>
      </c>
      <c r="AU398" s="827">
        <f t="shared" si="236"/>
        <v>139714</v>
      </c>
      <c r="AV398" s="2277">
        <f t="shared" si="199"/>
        <v>4.8982462389480591E-2</v>
      </c>
      <c r="AW398" s="1093"/>
      <c r="AX398" s="2016"/>
      <c r="AY398" s="2016"/>
      <c r="AZ398" s="2016"/>
      <c r="BA398" s="2518">
        <f>POWER(AT398/AJ398,1/5)-1</f>
        <v>1.5436321968384847E-2</v>
      </c>
      <c r="BB398" s="2518">
        <f>POWER(AT398/AA398,1/9)-1</f>
        <v>2.1965329365587705E-2</v>
      </c>
      <c r="BC398" s="2332"/>
    </row>
    <row r="399" spans="1:55" ht="14" hidden="1" customHeight="1" outlineLevel="1" x14ac:dyDescent="0.25">
      <c r="A399" s="790"/>
      <c r="B399" s="872"/>
      <c r="C399" s="857"/>
      <c r="D399" s="872"/>
      <c r="E399" s="857"/>
      <c r="F399" s="873"/>
      <c r="G399" s="873"/>
      <c r="H399" s="873"/>
      <c r="I399" s="872"/>
      <c r="J399" s="871"/>
      <c r="K399" s="1096"/>
      <c r="L399" s="1097"/>
      <c r="M399" s="1098"/>
      <c r="N399" s="1097"/>
      <c r="O399" s="1099"/>
      <c r="P399" s="1099"/>
      <c r="Q399" s="1099"/>
      <c r="R399" s="1099"/>
      <c r="S399" s="1099"/>
      <c r="T399" s="1099"/>
      <c r="U399" s="1099"/>
      <c r="V399" s="1099"/>
      <c r="W399" s="1099"/>
      <c r="X399" s="1099"/>
      <c r="Y399" s="1099"/>
      <c r="Z399" s="1099"/>
      <c r="AA399" s="1099"/>
      <c r="AB399" s="1099"/>
      <c r="AC399" s="1099"/>
      <c r="AD399" s="1099"/>
      <c r="AE399" s="1099"/>
      <c r="AF399" s="1099"/>
      <c r="AG399" s="1099"/>
      <c r="AH399" s="1099"/>
      <c r="AI399" s="1099"/>
      <c r="AJ399" s="1099"/>
      <c r="AK399" s="1099"/>
      <c r="AL399" s="1099"/>
      <c r="AM399" s="1099"/>
      <c r="AN399" s="1099"/>
      <c r="AO399" s="1099"/>
      <c r="AP399" s="1099"/>
      <c r="AQ399" s="1099"/>
      <c r="AR399" s="1099"/>
      <c r="AS399" s="1645"/>
      <c r="AT399" s="1096"/>
      <c r="AU399" s="1099" t="str">
        <f t="shared" si="236"/>
        <v/>
      </c>
      <c r="AV399" s="2300" t="str">
        <f t="shared" ref="AV399:AV438" si="240">IF(AR399&gt;0,AU399/AR399,"")</f>
        <v/>
      </c>
      <c r="AW399" s="862"/>
      <c r="AX399" s="2016"/>
      <c r="AY399" s="2016"/>
      <c r="AZ399" s="2016"/>
      <c r="BA399" s="2016"/>
      <c r="BB399" s="2016"/>
      <c r="BC399" s="2026"/>
    </row>
    <row r="400" spans="1:55" ht="16.5" hidden="1" customHeight="1" outlineLevel="1" x14ac:dyDescent="0.25">
      <c r="A400" s="779" t="s">
        <v>912</v>
      </c>
      <c r="B400" s="814"/>
      <c r="C400" s="833"/>
      <c r="D400" s="814"/>
      <c r="E400" s="833"/>
      <c r="F400" s="875"/>
      <c r="G400" s="875"/>
      <c r="H400" s="875"/>
      <c r="I400" s="814"/>
      <c r="J400" s="832"/>
      <c r="K400" s="788"/>
      <c r="L400" s="855"/>
      <c r="M400" s="855"/>
      <c r="N400" s="855"/>
      <c r="O400" s="788"/>
      <c r="P400" s="788"/>
      <c r="Q400" s="788"/>
      <c r="R400" s="788"/>
      <c r="S400" s="788"/>
      <c r="T400" s="788"/>
      <c r="U400" s="788"/>
      <c r="V400" s="788"/>
      <c r="W400" s="788"/>
      <c r="X400" s="788"/>
      <c r="Y400" s="788"/>
      <c r="Z400" s="788"/>
      <c r="AA400" s="788"/>
      <c r="AB400" s="788"/>
      <c r="AC400" s="788"/>
      <c r="AD400" s="788"/>
      <c r="AE400" s="788"/>
      <c r="AF400" s="788"/>
      <c r="AG400" s="788"/>
      <c r="AH400" s="788"/>
      <c r="AI400" s="788"/>
      <c r="AJ400" s="788"/>
      <c r="AK400" s="788"/>
      <c r="AL400" s="788"/>
      <c r="AM400" s="788"/>
      <c r="AN400" s="788"/>
      <c r="AO400" s="788"/>
      <c r="AP400" s="788"/>
      <c r="AQ400" s="788"/>
      <c r="AR400" s="788"/>
      <c r="AS400" s="841"/>
      <c r="AT400" s="891"/>
      <c r="AU400" s="788" t="str">
        <f t="shared" si="236"/>
        <v/>
      </c>
      <c r="AV400" s="2272" t="str">
        <f t="shared" si="240"/>
        <v/>
      </c>
      <c r="AW400" s="865"/>
      <c r="AX400" s="2016"/>
      <c r="AY400" s="2016"/>
      <c r="AZ400" s="2016"/>
      <c r="BA400" s="2016"/>
      <c r="BB400" s="2016"/>
      <c r="BC400" s="2031" t="s">
        <v>1220</v>
      </c>
    </row>
    <row r="401" spans="1:55" ht="14.25" hidden="1" customHeight="1" outlineLevel="1" x14ac:dyDescent="0.25">
      <c r="A401" s="1100" t="s">
        <v>575</v>
      </c>
      <c r="B401" s="814"/>
      <c r="C401" s="833"/>
      <c r="D401" s="814"/>
      <c r="E401" s="833"/>
      <c r="F401" s="875"/>
      <c r="G401" s="875"/>
      <c r="H401" s="875"/>
      <c r="I401" s="814"/>
      <c r="J401" s="832"/>
      <c r="K401" s="788"/>
      <c r="L401" s="855"/>
      <c r="M401" s="855"/>
      <c r="N401" s="855"/>
      <c r="O401" s="788"/>
      <c r="P401" s="788"/>
      <c r="Q401" s="788"/>
      <c r="R401" s="788"/>
      <c r="S401" s="788"/>
      <c r="T401" s="788"/>
      <c r="U401" s="788"/>
      <c r="V401" s="788"/>
      <c r="W401" s="788"/>
      <c r="X401" s="788"/>
      <c r="Y401" s="788"/>
      <c r="Z401" s="788"/>
      <c r="AA401" s="788"/>
      <c r="AB401" s="788"/>
      <c r="AC401" s="788"/>
      <c r="AD401" s="788"/>
      <c r="AE401" s="785">
        <v>100000</v>
      </c>
      <c r="AF401" s="1101">
        <v>100000</v>
      </c>
      <c r="AG401" s="1101">
        <v>100000</v>
      </c>
      <c r="AH401" s="1412">
        <v>25000</v>
      </c>
      <c r="AI401" s="785">
        <v>0</v>
      </c>
      <c r="AJ401" s="785">
        <v>91000</v>
      </c>
      <c r="AK401" s="785">
        <v>91000</v>
      </c>
      <c r="AL401" s="785">
        <v>85000</v>
      </c>
      <c r="AM401" s="785">
        <v>50000</v>
      </c>
      <c r="AN401" s="785">
        <v>75000</v>
      </c>
      <c r="AO401" s="785">
        <v>75000</v>
      </c>
      <c r="AP401" s="785">
        <f>25000</f>
        <v>25000</v>
      </c>
      <c r="AQ401" s="785">
        <v>25000</v>
      </c>
      <c r="AR401" s="785">
        <v>80000</v>
      </c>
      <c r="AS401" s="820">
        <v>80000</v>
      </c>
      <c r="AT401" s="819">
        <f>80000+AX401*AY401</f>
        <v>90000</v>
      </c>
      <c r="AU401" s="785">
        <f t="shared" si="236"/>
        <v>10000</v>
      </c>
      <c r="AV401" s="2275">
        <f t="shared" si="240"/>
        <v>0.125</v>
      </c>
      <c r="AW401" s="1535"/>
      <c r="AX401" s="2016">
        <f>'Vote track budget'!F401</f>
        <v>10000</v>
      </c>
      <c r="AY401" s="2016">
        <v>1</v>
      </c>
      <c r="AZ401" s="2016">
        <f>AX401*AY401</f>
        <v>10000</v>
      </c>
      <c r="BA401" s="2016"/>
      <c r="BB401" s="2016"/>
      <c r="BC401" s="2011" t="s">
        <v>1220</v>
      </c>
    </row>
    <row r="402" spans="1:55" ht="14" hidden="1" customHeight="1" outlineLevel="1" x14ac:dyDescent="0.25">
      <c r="A402" s="790"/>
      <c r="B402" s="872"/>
      <c r="C402" s="857"/>
      <c r="D402" s="872"/>
      <c r="E402" s="857"/>
      <c r="F402" s="873"/>
      <c r="G402" s="873"/>
      <c r="H402" s="873"/>
      <c r="I402" s="872"/>
      <c r="J402" s="871"/>
      <c r="K402" s="1099"/>
      <c r="L402" s="1097"/>
      <c r="M402" s="1097"/>
      <c r="N402" s="1097"/>
      <c r="O402" s="1099"/>
      <c r="P402" s="1099"/>
      <c r="Q402" s="1099"/>
      <c r="R402" s="1099"/>
      <c r="S402" s="1099"/>
      <c r="T402" s="1099"/>
      <c r="U402" s="1099"/>
      <c r="V402" s="1099"/>
      <c r="W402" s="1099"/>
      <c r="X402" s="1099"/>
      <c r="Y402" s="1099"/>
      <c r="Z402" s="1099"/>
      <c r="AA402" s="1099"/>
      <c r="AB402" s="1099"/>
      <c r="AC402" s="1099"/>
      <c r="AD402" s="1099"/>
      <c r="AE402" s="1099"/>
      <c r="AF402" s="1099"/>
      <c r="AG402" s="1099"/>
      <c r="AH402" s="1099"/>
      <c r="AI402" s="1099"/>
      <c r="AJ402" s="1099"/>
      <c r="AK402" s="1099"/>
      <c r="AL402" s="1099"/>
      <c r="AM402" s="1099"/>
      <c r="AN402" s="1099"/>
      <c r="AO402" s="1099"/>
      <c r="AP402" s="1099"/>
      <c r="AQ402" s="1099"/>
      <c r="AR402" s="1099"/>
      <c r="AS402" s="1645"/>
      <c r="AT402" s="1096"/>
      <c r="AU402" s="1099" t="str">
        <f t="shared" si="236"/>
        <v/>
      </c>
      <c r="AV402" s="2300" t="str">
        <f t="shared" si="240"/>
        <v/>
      </c>
      <c r="AW402" s="862"/>
      <c r="AX402" s="2016"/>
      <c r="AY402" s="2016"/>
      <c r="AZ402" s="2016"/>
      <c r="BA402" s="2016"/>
      <c r="BB402" s="2016"/>
      <c r="BC402" s="2026"/>
    </row>
    <row r="403" spans="1:55" ht="14" hidden="1" customHeight="1" outlineLevel="1" x14ac:dyDescent="0.25">
      <c r="A403" s="1518" t="s">
        <v>969</v>
      </c>
      <c r="B403" s="814"/>
      <c r="C403" s="833"/>
      <c r="D403" s="814"/>
      <c r="E403" s="833"/>
      <c r="F403" s="875"/>
      <c r="G403" s="875"/>
      <c r="H403" s="875"/>
      <c r="I403" s="814"/>
      <c r="J403" s="832"/>
      <c r="K403" s="788"/>
      <c r="L403" s="855"/>
      <c r="M403" s="855"/>
      <c r="N403" s="855"/>
      <c r="O403" s="788"/>
      <c r="P403" s="788"/>
      <c r="Q403" s="788"/>
      <c r="R403" s="788"/>
      <c r="S403" s="788"/>
      <c r="T403" s="788"/>
      <c r="U403" s="788"/>
      <c r="V403" s="788"/>
      <c r="W403" s="788"/>
      <c r="X403" s="788"/>
      <c r="Y403" s="788"/>
      <c r="Z403" s="788"/>
      <c r="AA403" s="788"/>
      <c r="AB403" s="788"/>
      <c r="AC403" s="788"/>
      <c r="AD403" s="788"/>
      <c r="AE403" s="788"/>
      <c r="AF403" s="788"/>
      <c r="AG403" s="788"/>
      <c r="AH403" s="788"/>
      <c r="AI403" s="788"/>
      <c r="AJ403" s="788"/>
      <c r="AK403" s="788"/>
      <c r="AL403" s="788"/>
      <c r="AM403" s="788"/>
      <c r="AN403" s="788"/>
      <c r="AO403" s="788"/>
      <c r="AP403" s="788"/>
      <c r="AQ403" s="788"/>
      <c r="AR403" s="788"/>
      <c r="AS403" s="841"/>
      <c r="AT403" s="891"/>
      <c r="AU403" s="788" t="str">
        <f t="shared" si="236"/>
        <v/>
      </c>
      <c r="AV403" s="2272" t="str">
        <f t="shared" si="240"/>
        <v/>
      </c>
      <c r="AW403" s="865"/>
      <c r="AX403" s="2016"/>
      <c r="AY403" s="2016"/>
      <c r="AZ403" s="2016"/>
      <c r="BA403" s="2016"/>
      <c r="BB403" s="2016"/>
      <c r="BC403" s="2011"/>
    </row>
    <row r="404" spans="1:55" ht="14" hidden="1" customHeight="1" outlineLevel="1" x14ac:dyDescent="0.25">
      <c r="A404" s="1436" t="s">
        <v>738</v>
      </c>
      <c r="B404" s="814"/>
      <c r="C404" s="833"/>
      <c r="D404" s="814"/>
      <c r="E404" s="833"/>
      <c r="F404" s="875"/>
      <c r="G404" s="875"/>
      <c r="H404" s="875"/>
      <c r="I404" s="814"/>
      <c r="J404" s="832"/>
      <c r="K404" s="788"/>
      <c r="L404" s="855"/>
      <c r="M404" s="855"/>
      <c r="N404" s="855"/>
      <c r="O404" s="788"/>
      <c r="P404" s="788"/>
      <c r="Q404" s="788"/>
      <c r="R404" s="788"/>
      <c r="S404" s="788"/>
      <c r="T404" s="788"/>
      <c r="U404" s="788"/>
      <c r="V404" s="788"/>
      <c r="W404" s="788"/>
      <c r="X404" s="788"/>
      <c r="Y404" s="788"/>
      <c r="Z404" s="788"/>
      <c r="AA404" s="788"/>
      <c r="AB404" s="788"/>
      <c r="AC404" s="788"/>
      <c r="AD404" s="788"/>
      <c r="AE404" s="788"/>
      <c r="AF404" s="788"/>
      <c r="AG404" s="788"/>
      <c r="AH404" s="788"/>
      <c r="AI404" s="788"/>
      <c r="AJ404" s="788">
        <v>15000</v>
      </c>
      <c r="AK404" s="788">
        <v>15000</v>
      </c>
      <c r="AL404" s="788">
        <v>15000</v>
      </c>
      <c r="AM404" s="788">
        <f>AL404</f>
        <v>15000</v>
      </c>
      <c r="AN404" s="788">
        <v>0</v>
      </c>
      <c r="AO404" s="788">
        <f>AN404</f>
        <v>0</v>
      </c>
      <c r="AP404" s="788"/>
      <c r="AQ404" s="788">
        <f>AP404</f>
        <v>0</v>
      </c>
      <c r="AR404" s="788"/>
      <c r="AS404" s="841"/>
      <c r="AT404" s="891"/>
      <c r="AU404" s="788" t="str">
        <f t="shared" si="236"/>
        <v/>
      </c>
      <c r="AV404" s="2272" t="str">
        <f t="shared" si="240"/>
        <v/>
      </c>
      <c r="AW404" s="865"/>
      <c r="AX404" s="2016"/>
      <c r="AY404" s="2016"/>
      <c r="AZ404" s="2016"/>
      <c r="BA404" s="2016"/>
      <c r="BB404" s="2016"/>
      <c r="BC404" s="2011"/>
    </row>
    <row r="405" spans="1:55" ht="14" hidden="1" customHeight="1" outlineLevel="1" x14ac:dyDescent="0.25">
      <c r="A405" s="1436" t="s">
        <v>970</v>
      </c>
      <c r="B405" s="814"/>
      <c r="C405" s="833"/>
      <c r="D405" s="814"/>
      <c r="E405" s="833"/>
      <c r="F405" s="875"/>
      <c r="G405" s="875"/>
      <c r="H405" s="875"/>
      <c r="I405" s="814"/>
      <c r="J405" s="832"/>
      <c r="K405" s="788"/>
      <c r="L405" s="855"/>
      <c r="M405" s="855"/>
      <c r="N405" s="855"/>
      <c r="O405" s="788"/>
      <c r="P405" s="788"/>
      <c r="Q405" s="788"/>
      <c r="R405" s="788"/>
      <c r="S405" s="788"/>
      <c r="T405" s="788"/>
      <c r="U405" s="788"/>
      <c r="V405" s="788"/>
      <c r="W405" s="788"/>
      <c r="X405" s="788"/>
      <c r="Y405" s="788"/>
      <c r="Z405" s="788"/>
      <c r="AA405" s="788"/>
      <c r="AB405" s="788"/>
      <c r="AC405" s="788"/>
      <c r="AD405" s="788"/>
      <c r="AE405" s="788"/>
      <c r="AF405" s="788"/>
      <c r="AG405" s="788"/>
      <c r="AH405" s="788"/>
      <c r="AI405" s="788"/>
      <c r="AJ405" s="788">
        <v>40000</v>
      </c>
      <c r="AK405" s="788">
        <v>40000</v>
      </c>
      <c r="AL405" s="788">
        <v>0</v>
      </c>
      <c r="AM405" s="788">
        <f t="shared" ref="AM405:AQ406" si="241">AL405</f>
        <v>0</v>
      </c>
      <c r="AN405" s="788"/>
      <c r="AO405" s="788">
        <f t="shared" si="241"/>
        <v>0</v>
      </c>
      <c r="AP405" s="788"/>
      <c r="AQ405" s="788">
        <f t="shared" si="241"/>
        <v>0</v>
      </c>
      <c r="AR405" s="788"/>
      <c r="AS405" s="841"/>
      <c r="AT405" s="891"/>
      <c r="AU405" s="788" t="str">
        <f t="shared" si="236"/>
        <v/>
      </c>
      <c r="AV405" s="2272" t="str">
        <f t="shared" si="240"/>
        <v/>
      </c>
      <c r="AW405" s="1569"/>
      <c r="AX405" s="2016"/>
      <c r="AY405" s="2016"/>
      <c r="AZ405" s="2016"/>
      <c r="BA405" s="2016"/>
      <c r="BB405" s="2016"/>
      <c r="BC405" s="2011"/>
    </row>
    <row r="406" spans="1:55" ht="14" hidden="1" customHeight="1" outlineLevel="1" x14ac:dyDescent="0.25">
      <c r="A406" s="1436" t="s">
        <v>971</v>
      </c>
      <c r="B406" s="814"/>
      <c r="C406" s="833"/>
      <c r="D406" s="814"/>
      <c r="E406" s="833"/>
      <c r="F406" s="875"/>
      <c r="G406" s="875"/>
      <c r="H406" s="875"/>
      <c r="I406" s="814"/>
      <c r="J406" s="832"/>
      <c r="K406" s="788"/>
      <c r="L406" s="855"/>
      <c r="M406" s="855"/>
      <c r="N406" s="855"/>
      <c r="O406" s="788"/>
      <c r="P406" s="788"/>
      <c r="Q406" s="788"/>
      <c r="R406" s="788"/>
      <c r="S406" s="788"/>
      <c r="T406" s="788"/>
      <c r="U406" s="788"/>
      <c r="V406" s="788"/>
      <c r="W406" s="788"/>
      <c r="X406" s="788"/>
      <c r="Y406" s="788"/>
      <c r="Z406" s="788"/>
      <c r="AA406" s="788"/>
      <c r="AB406" s="788"/>
      <c r="AC406" s="788"/>
      <c r="AD406" s="788"/>
      <c r="AE406" s="788"/>
      <c r="AF406" s="788"/>
      <c r="AG406" s="788"/>
      <c r="AH406" s="788"/>
      <c r="AI406" s="788"/>
      <c r="AJ406" s="788">
        <v>15000</v>
      </c>
      <c r="AK406" s="788">
        <v>15000</v>
      </c>
      <c r="AL406" s="788">
        <v>0</v>
      </c>
      <c r="AM406" s="788">
        <f t="shared" si="241"/>
        <v>0</v>
      </c>
      <c r="AN406" s="788">
        <v>20000</v>
      </c>
      <c r="AO406" s="788">
        <v>20000</v>
      </c>
      <c r="AP406" s="788">
        <v>0</v>
      </c>
      <c r="AQ406" s="788">
        <f t="shared" si="241"/>
        <v>0</v>
      </c>
      <c r="AR406" s="788"/>
      <c r="AS406" s="841"/>
      <c r="AT406" s="891"/>
      <c r="AU406" s="788" t="str">
        <f t="shared" si="236"/>
        <v/>
      </c>
      <c r="AV406" s="2272" t="str">
        <f t="shared" si="240"/>
        <v/>
      </c>
      <c r="AW406" s="865"/>
      <c r="AX406" s="2016"/>
      <c r="AY406" s="2016"/>
      <c r="AZ406" s="2016"/>
      <c r="BA406" s="2016"/>
      <c r="BB406" s="2016"/>
      <c r="BC406" s="2011"/>
    </row>
    <row r="407" spans="1:55" ht="14" hidden="1" customHeight="1" outlineLevel="1" x14ac:dyDescent="0.25">
      <c r="A407" s="1100" t="s">
        <v>575</v>
      </c>
      <c r="B407" s="814"/>
      <c r="C407" s="833"/>
      <c r="D407" s="814"/>
      <c r="E407" s="833"/>
      <c r="F407" s="875"/>
      <c r="G407" s="875"/>
      <c r="H407" s="875"/>
      <c r="I407" s="814"/>
      <c r="J407" s="832"/>
      <c r="K407" s="788"/>
      <c r="L407" s="855"/>
      <c r="M407" s="855"/>
      <c r="N407" s="855"/>
      <c r="O407" s="788"/>
      <c r="P407" s="788"/>
      <c r="Q407" s="788"/>
      <c r="R407" s="788"/>
      <c r="S407" s="788"/>
      <c r="T407" s="788"/>
      <c r="U407" s="788"/>
      <c r="V407" s="788"/>
      <c r="W407" s="788"/>
      <c r="X407" s="788"/>
      <c r="Y407" s="788"/>
      <c r="Z407" s="788"/>
      <c r="AA407" s="788"/>
      <c r="AB407" s="788"/>
      <c r="AC407" s="788"/>
      <c r="AD407" s="788"/>
      <c r="AE407" s="788"/>
      <c r="AF407" s="788"/>
      <c r="AG407" s="788"/>
      <c r="AH407" s="788"/>
      <c r="AI407" s="788"/>
      <c r="AJ407" s="785">
        <v>70000</v>
      </c>
      <c r="AK407" s="785">
        <v>70000</v>
      </c>
      <c r="AL407" s="785">
        <v>15000</v>
      </c>
      <c r="AM407" s="785">
        <f>SUM(AM404:AM406)</f>
        <v>15000</v>
      </c>
      <c r="AN407" s="785">
        <f>SUM(AN404:AN406)</f>
        <v>20000</v>
      </c>
      <c r="AO407" s="785">
        <f>SUM(AO404:AO406)</f>
        <v>20000</v>
      </c>
      <c r="AP407" s="785">
        <f>SUM(AP404:AP406)</f>
        <v>0</v>
      </c>
      <c r="AQ407" s="785">
        <f>SUM(AQ404:AQ406)</f>
        <v>0</v>
      </c>
      <c r="AR407" s="785"/>
      <c r="AS407" s="820"/>
      <c r="AT407" s="819"/>
      <c r="AU407" s="785" t="str">
        <f t="shared" si="236"/>
        <v/>
      </c>
      <c r="AV407" s="2275" t="str">
        <f t="shared" si="240"/>
        <v/>
      </c>
      <c r="AW407" s="865"/>
      <c r="AX407" s="2016"/>
      <c r="AY407" s="2016"/>
      <c r="AZ407" s="2016"/>
      <c r="BA407" s="2016"/>
      <c r="BB407" s="2016"/>
      <c r="BC407" s="2011"/>
    </row>
    <row r="408" spans="1:55" ht="14" hidden="1" customHeight="1" outlineLevel="1" x14ac:dyDescent="0.25">
      <c r="A408" s="790"/>
      <c r="B408" s="872"/>
      <c r="C408" s="857"/>
      <c r="D408" s="872"/>
      <c r="E408" s="857"/>
      <c r="F408" s="873"/>
      <c r="G408" s="873"/>
      <c r="H408" s="873"/>
      <c r="I408" s="872"/>
      <c r="J408" s="871"/>
      <c r="K408" s="1099"/>
      <c r="L408" s="1097"/>
      <c r="M408" s="1097"/>
      <c r="N408" s="1097"/>
      <c r="O408" s="1099"/>
      <c r="P408" s="1099"/>
      <c r="Q408" s="1099"/>
      <c r="R408" s="1099"/>
      <c r="S408" s="1099"/>
      <c r="T408" s="1099"/>
      <c r="U408" s="1099"/>
      <c r="V408" s="1099"/>
      <c r="W408" s="1099"/>
      <c r="X408" s="1099"/>
      <c r="Y408" s="1099"/>
      <c r="Z408" s="1099"/>
      <c r="AA408" s="1099"/>
      <c r="AB408" s="1099"/>
      <c r="AC408" s="1099"/>
      <c r="AD408" s="1099"/>
      <c r="AE408" s="1099"/>
      <c r="AF408" s="1099"/>
      <c r="AG408" s="1099"/>
      <c r="AH408" s="1099"/>
      <c r="AI408" s="1099"/>
      <c r="AJ408" s="1099"/>
      <c r="AK408" s="1099"/>
      <c r="AL408" s="1099"/>
      <c r="AM408" s="1099"/>
      <c r="AN408" s="1099"/>
      <c r="AO408" s="1099"/>
      <c r="AP408" s="1099"/>
      <c r="AQ408" s="1099"/>
      <c r="AR408" s="1099"/>
      <c r="AS408" s="1645"/>
      <c r="AT408" s="1096"/>
      <c r="AU408" s="1099" t="str">
        <f t="shared" si="236"/>
        <v/>
      </c>
      <c r="AV408" s="2300" t="str">
        <f t="shared" si="240"/>
        <v/>
      </c>
      <c r="AW408" s="862"/>
      <c r="AX408" s="2016"/>
      <c r="AY408" s="2016"/>
      <c r="AZ408" s="2016"/>
      <c r="BA408" s="2016"/>
      <c r="BB408" s="2016"/>
      <c r="BC408" s="2011"/>
    </row>
    <row r="409" spans="1:55" ht="14" hidden="1" customHeight="1" outlineLevel="1" x14ac:dyDescent="0.25">
      <c r="A409" s="1518" t="s">
        <v>542</v>
      </c>
      <c r="B409" s="814">
        <v>4000</v>
      </c>
      <c r="C409" s="833">
        <v>4000</v>
      </c>
      <c r="D409" s="814">
        <v>4000</v>
      </c>
      <c r="E409" s="833">
        <v>0</v>
      </c>
      <c r="F409" s="875">
        <v>0</v>
      </c>
      <c r="G409" s="875">
        <v>0</v>
      </c>
      <c r="H409" s="875">
        <v>0</v>
      </c>
      <c r="I409" s="814">
        <v>0</v>
      </c>
      <c r="J409" s="832">
        <v>0</v>
      </c>
      <c r="K409" s="788">
        <v>0</v>
      </c>
      <c r="L409" s="855"/>
      <c r="M409" s="855"/>
      <c r="N409" s="855"/>
      <c r="O409" s="788"/>
      <c r="P409" s="788"/>
      <c r="Q409" s="788"/>
      <c r="R409" s="788"/>
      <c r="S409" s="788"/>
      <c r="T409" s="788"/>
      <c r="U409" s="788"/>
      <c r="V409" s="788"/>
      <c r="W409" s="788"/>
      <c r="X409" s="788"/>
      <c r="Y409" s="788"/>
      <c r="Z409" s="788"/>
      <c r="AA409" s="788"/>
      <c r="AB409" s="788"/>
      <c r="AC409" s="788"/>
      <c r="AD409" s="788"/>
      <c r="AE409" s="788"/>
      <c r="AF409" s="788"/>
      <c r="AG409" s="788"/>
      <c r="AH409" s="788"/>
      <c r="AI409" s="788"/>
      <c r="AJ409" s="788"/>
      <c r="AK409" s="788"/>
      <c r="AL409" s="788"/>
      <c r="AM409" s="788"/>
      <c r="AN409" s="788"/>
      <c r="AO409" s="788"/>
      <c r="AP409" s="788"/>
      <c r="AQ409" s="788"/>
      <c r="AR409" s="788"/>
      <c r="AS409" s="841"/>
      <c r="AT409" s="891"/>
      <c r="AU409" s="788" t="str">
        <f t="shared" si="236"/>
        <v/>
      </c>
      <c r="AV409" s="2272" t="str">
        <f t="shared" si="240"/>
        <v/>
      </c>
      <c r="AW409" s="865"/>
      <c r="AX409" s="2016"/>
      <c r="AY409" s="2016"/>
      <c r="AZ409" s="2016"/>
      <c r="BA409" s="2016"/>
      <c r="BB409" s="2016"/>
      <c r="BC409" s="2026"/>
    </row>
    <row r="410" spans="1:55" ht="14" hidden="1" customHeight="1" outlineLevel="1" x14ac:dyDescent="0.25">
      <c r="A410" s="771" t="s">
        <v>674</v>
      </c>
      <c r="B410" s="814">
        <f t="shared" ref="B410:J410" si="242">SUM(B409)</f>
        <v>4000</v>
      </c>
      <c r="C410" s="814">
        <f t="shared" si="242"/>
        <v>4000</v>
      </c>
      <c r="D410" s="814">
        <f t="shared" si="242"/>
        <v>4000</v>
      </c>
      <c r="E410" s="814">
        <f t="shared" si="242"/>
        <v>0</v>
      </c>
      <c r="F410" s="875">
        <f t="shared" si="242"/>
        <v>0</v>
      </c>
      <c r="G410" s="875">
        <f t="shared" si="242"/>
        <v>0</v>
      </c>
      <c r="H410" s="875">
        <f t="shared" si="242"/>
        <v>0</v>
      </c>
      <c r="I410" s="814">
        <f t="shared" si="242"/>
        <v>0</v>
      </c>
      <c r="J410" s="814">
        <f t="shared" si="242"/>
        <v>0</v>
      </c>
      <c r="K410" s="827">
        <v>0</v>
      </c>
      <c r="L410" s="863">
        <f>L409</f>
        <v>0</v>
      </c>
      <c r="M410" s="863"/>
      <c r="N410" s="863">
        <v>0</v>
      </c>
      <c r="O410" s="827">
        <v>0</v>
      </c>
      <c r="P410" s="827">
        <v>0</v>
      </c>
      <c r="Q410" s="827">
        <v>0</v>
      </c>
      <c r="R410" s="827">
        <v>0</v>
      </c>
      <c r="S410" s="827">
        <v>0</v>
      </c>
      <c r="T410" s="827">
        <v>0</v>
      </c>
      <c r="U410" s="827">
        <v>0</v>
      </c>
      <c r="V410" s="827">
        <v>0</v>
      </c>
      <c r="W410" s="827">
        <v>0</v>
      </c>
      <c r="X410" s="827">
        <v>0</v>
      </c>
      <c r="Y410" s="827">
        <v>0</v>
      </c>
      <c r="Z410" s="827">
        <v>0</v>
      </c>
      <c r="AA410" s="827">
        <v>0</v>
      </c>
      <c r="AB410" s="827">
        <v>0</v>
      </c>
      <c r="AC410" s="827">
        <v>0</v>
      </c>
      <c r="AD410" s="827"/>
      <c r="AE410" s="827"/>
      <c r="AF410" s="827"/>
      <c r="AG410" s="827"/>
      <c r="AH410" s="827"/>
      <c r="AI410" s="827"/>
      <c r="AJ410" s="827"/>
      <c r="AK410" s="827"/>
      <c r="AL410" s="827"/>
      <c r="AM410" s="827"/>
      <c r="AN410" s="827"/>
      <c r="AO410" s="827"/>
      <c r="AP410" s="827"/>
      <c r="AQ410" s="827"/>
      <c r="AR410" s="827"/>
      <c r="AS410" s="1127"/>
      <c r="AT410" s="828"/>
      <c r="AU410" s="827" t="str">
        <f t="shared" si="236"/>
        <v/>
      </c>
      <c r="AV410" s="2277" t="str">
        <f t="shared" si="240"/>
        <v/>
      </c>
      <c r="AW410" s="991"/>
      <c r="AX410" s="2016"/>
      <c r="AY410" s="2016"/>
      <c r="AZ410" s="2016"/>
      <c r="BA410" s="2016"/>
      <c r="BB410" s="2016"/>
      <c r="BC410" s="979"/>
    </row>
    <row r="411" spans="1:55" ht="14" hidden="1" customHeight="1" outlineLevel="1" x14ac:dyDescent="0.25">
      <c r="A411" s="779"/>
      <c r="B411" s="772"/>
      <c r="C411" s="833"/>
      <c r="D411" s="773"/>
      <c r="E411" s="833"/>
      <c r="F411" s="774"/>
      <c r="G411" s="774"/>
      <c r="I411" s="833"/>
      <c r="J411" s="832"/>
      <c r="K411" s="828"/>
      <c r="L411" s="863"/>
      <c r="M411" s="863"/>
      <c r="N411" s="863"/>
      <c r="O411" s="827"/>
      <c r="P411" s="827"/>
      <c r="Q411" s="827"/>
      <c r="R411" s="827"/>
      <c r="S411" s="827"/>
      <c r="T411" s="827"/>
      <c r="U411" s="827"/>
      <c r="V411" s="827"/>
      <c r="W411" s="827"/>
      <c r="X411" s="827"/>
      <c r="Y411" s="827"/>
      <c r="Z411" s="827"/>
      <c r="AA411" s="827"/>
      <c r="AB411" s="827"/>
      <c r="AC411" s="827"/>
      <c r="AD411" s="827"/>
      <c r="AE411" s="827"/>
      <c r="AF411" s="827"/>
      <c r="AG411" s="827"/>
      <c r="AH411" s="827"/>
      <c r="AI411" s="827"/>
      <c r="AJ411" s="827"/>
      <c r="AK411" s="827"/>
      <c r="AL411" s="827"/>
      <c r="AM411" s="827"/>
      <c r="AN411" s="827"/>
      <c r="AO411" s="827"/>
      <c r="AP411" s="827"/>
      <c r="AQ411" s="827"/>
      <c r="AR411" s="827"/>
      <c r="AS411" s="1127"/>
      <c r="AT411" s="828"/>
      <c r="AU411" s="827" t="str">
        <f t="shared" si="236"/>
        <v/>
      </c>
      <c r="AV411" s="2277" t="str">
        <f t="shared" si="240"/>
        <v/>
      </c>
      <c r="AW411" s="778"/>
      <c r="AX411" s="2016"/>
      <c r="AY411" s="2016"/>
      <c r="AZ411" s="2016"/>
      <c r="BA411" s="2016"/>
      <c r="BB411" s="2016"/>
    </row>
    <row r="412" spans="1:55" ht="14" customHeight="1" thickTop="1" thickBot="1" x14ac:dyDescent="0.3">
      <c r="A412" s="902" t="s">
        <v>675</v>
      </c>
      <c r="B412" s="1102">
        <f>SUM($B$391+$B$398+$B$410)</f>
        <v>1352448</v>
      </c>
      <c r="C412" s="1103">
        <f>SUM($C$391+$C$398+$C$410)</f>
        <v>1276807.5899999999</v>
      </c>
      <c r="D412" s="1103">
        <f>SUM($D$391+$D$398+$D$410)</f>
        <v>1443857</v>
      </c>
      <c r="E412" s="1103">
        <f>SUM($E$391+$E$398+$E$410)</f>
        <v>1348311.5499999998</v>
      </c>
      <c r="F412" s="1104">
        <f>SUM($F$391+$F$398+$F$410)</f>
        <v>1506681</v>
      </c>
      <c r="G412" s="1104">
        <f>SUM($G$391+$G$398+$G$410)</f>
        <v>1144139.33</v>
      </c>
      <c r="H412" s="1086">
        <f>SUM($H$391+$H$398+$H$410)</f>
        <v>1736641</v>
      </c>
      <c r="I412" s="905">
        <f>SUM($I$391+$I$398+$I$410)</f>
        <v>1673286.54</v>
      </c>
      <c r="J412" s="906">
        <f>SUM(J$391+J$398+J$410)</f>
        <v>1942423</v>
      </c>
      <c r="K412" s="906">
        <f>SUM(K$391+K$398+K$410)</f>
        <v>38789</v>
      </c>
      <c r="L412" s="907">
        <f>SUM(L$391+L$398+L$410)</f>
        <v>2124530.9699999997</v>
      </c>
      <c r="M412" s="907">
        <f>SUM(M390+M398+M410)</f>
        <v>2337018</v>
      </c>
      <c r="N412" s="1105">
        <f>SUM(N391+N398+N410)</f>
        <v>2493922</v>
      </c>
      <c r="O412" s="1066">
        <f t="shared" ref="O412:W412" si="243">O391+O398</f>
        <v>2453559</v>
      </c>
      <c r="P412" s="1066">
        <f t="shared" si="243"/>
        <v>2654823</v>
      </c>
      <c r="Q412" s="1066">
        <f t="shared" si="243"/>
        <v>2654823</v>
      </c>
      <c r="R412" s="1066">
        <f t="shared" si="243"/>
        <v>2913098</v>
      </c>
      <c r="S412" s="1066">
        <f t="shared" si="243"/>
        <v>2913098</v>
      </c>
      <c r="T412" s="1066">
        <v>3021535.1</v>
      </c>
      <c r="U412" s="1066">
        <v>3021535.1</v>
      </c>
      <c r="V412" s="1066">
        <f t="shared" si="243"/>
        <v>3305542</v>
      </c>
      <c r="W412" s="1066">
        <f t="shared" si="243"/>
        <v>3196667</v>
      </c>
      <c r="X412" s="1066">
        <f t="shared" ref="X412:AC412" si="244">X391+X398</f>
        <v>3479272</v>
      </c>
      <c r="Y412" s="1066">
        <f t="shared" si="244"/>
        <v>3260183</v>
      </c>
      <c r="Z412" s="1066">
        <f t="shared" si="244"/>
        <v>3425062</v>
      </c>
      <c r="AA412" s="1066">
        <f t="shared" si="244"/>
        <v>3425062</v>
      </c>
      <c r="AB412" s="1066">
        <f t="shared" si="244"/>
        <v>3765934</v>
      </c>
      <c r="AC412" s="1066">
        <f t="shared" si="244"/>
        <v>3750934</v>
      </c>
      <c r="AD412" s="1066"/>
      <c r="AE412" s="1066">
        <v>3962622</v>
      </c>
      <c r="AF412" s="1066">
        <v>3962622</v>
      </c>
      <c r="AG412" s="1066">
        <v>4285447.6189142857</v>
      </c>
      <c r="AH412" s="1066">
        <v>3934577</v>
      </c>
      <c r="AI412" s="1066">
        <v>4303261.9077714281</v>
      </c>
      <c r="AJ412" s="1066">
        <v>4156770</v>
      </c>
      <c r="AK412" s="1066">
        <v>4500909.1125142863</v>
      </c>
      <c r="AL412" s="1066">
        <v>4249683</v>
      </c>
      <c r="AM412" s="1066">
        <f t="shared" ref="AM412:AR412" si="245">AM391+AM398+AM401+AM407</f>
        <v>4492268.9000000004</v>
      </c>
      <c r="AN412" s="1066">
        <f t="shared" si="245"/>
        <v>4273832</v>
      </c>
      <c r="AO412" s="1066">
        <f t="shared" si="245"/>
        <v>4622422.8852818999</v>
      </c>
      <c r="AP412" s="1066">
        <f t="shared" si="245"/>
        <v>4335833</v>
      </c>
      <c r="AQ412" s="1066">
        <f t="shared" si="245"/>
        <v>4782387.727012909</v>
      </c>
      <c r="AR412" s="1066">
        <f t="shared" si="245"/>
        <v>4655917</v>
      </c>
      <c r="AS412" s="1646">
        <f t="shared" ref="AS412:AT412" si="246">AS391+AS398+AS401+AS407</f>
        <v>5130744.6000000006</v>
      </c>
      <c r="AT412" s="1066">
        <f t="shared" si="246"/>
        <v>4832026</v>
      </c>
      <c r="AU412" s="1155">
        <f t="shared" si="236"/>
        <v>176109</v>
      </c>
      <c r="AV412" s="2280">
        <f t="shared" si="240"/>
        <v>3.7824772219951515E-2</v>
      </c>
      <c r="AW412" s="837" t="s">
        <v>725</v>
      </c>
      <c r="AX412" s="2016"/>
      <c r="AY412" s="2016"/>
      <c r="AZ412" s="2016"/>
      <c r="BA412" s="2518">
        <f t="shared" ref="BA412:BA413" si="247">POWER(AT412/AJ412,1/5)-1</f>
        <v>3.0563254916051941E-2</v>
      </c>
      <c r="BB412" s="2518">
        <f>POWER(AT412/AA412,1/9)-1</f>
        <v>3.8978973002209205E-2</v>
      </c>
    </row>
    <row r="413" spans="1:55" ht="14" customHeight="1" collapsed="1" thickTop="1" thickBot="1" x14ac:dyDescent="0.3">
      <c r="A413" s="902" t="s">
        <v>533</v>
      </c>
      <c r="B413" s="903">
        <f>SUM($B$120+$B$170+$B$183+$B$247+$B$296+$B$350+$B$386+$B$412)</f>
        <v>11599138</v>
      </c>
      <c r="C413" s="904">
        <f>SUM($C$120+$C$170+$C$183+$C$247+$C$296+$C$350+$C$386+$C$412)</f>
        <v>11528669.6</v>
      </c>
      <c r="D413" s="904">
        <f>SUM($D$120+$D$170+$D$183+$D$247+$D$296+$D$350+$D$386+$D$412)</f>
        <v>11708815</v>
      </c>
      <c r="E413" s="904">
        <f>SUM($E$120+$E$170+$E$183+$E$247+$E$296+$E$350+$E$386+$E$412)</f>
        <v>11656431.34</v>
      </c>
      <c r="F413" s="1086">
        <f>SUM($F$120+$F$170+$F$183+$F$247+$F$296+$F$350+$F$386+$F$412)</f>
        <v>12073719</v>
      </c>
      <c r="G413" s="1086">
        <f>SUM($G$120+$G$170+$G$183+$G$247+$G$296+$G$350+$G$386+$G$412)</f>
        <v>11786586.909999998</v>
      </c>
      <c r="H413" s="1086">
        <f>SUM($H$120+$H$170+$H$183+$H$247+$H$296+$H$350+$H$386+$H$412)</f>
        <v>12748778</v>
      </c>
      <c r="I413" s="905">
        <f>SUM($I$120+$I$170+$I$183+$I$247+$I$296+$I$350+$I$386+$I$412)</f>
        <v>12432747.07</v>
      </c>
      <c r="J413" s="1106">
        <f t="shared" ref="J413:S413" si="248">SUM(J$120+J$170+J$183+J$247+J$296+J$350+J$386+J$412)</f>
        <v>13638500.800000001</v>
      </c>
      <c r="K413" s="1106" t="e">
        <f t="shared" si="248"/>
        <v>#VALUE!</v>
      </c>
      <c r="L413" s="1107">
        <f t="shared" si="248"/>
        <v>14210670.539999999</v>
      </c>
      <c r="M413" s="1107">
        <f t="shared" si="248"/>
        <v>14937613.489</v>
      </c>
      <c r="N413" s="1108">
        <f t="shared" si="248"/>
        <v>14928703.66</v>
      </c>
      <c r="O413" s="1108">
        <f t="shared" si="248"/>
        <v>14370306</v>
      </c>
      <c r="P413" s="1108">
        <f t="shared" si="248"/>
        <v>14657572</v>
      </c>
      <c r="Q413" s="1108">
        <f t="shared" si="248"/>
        <v>14657572</v>
      </c>
      <c r="R413" s="1108">
        <f t="shared" si="248"/>
        <v>15158375.5</v>
      </c>
      <c r="S413" s="1108">
        <f t="shared" si="248"/>
        <v>15158375.5</v>
      </c>
      <c r="T413" s="1108">
        <v>14984649.040000001</v>
      </c>
      <c r="U413" s="1108">
        <v>14987745.040000001</v>
      </c>
      <c r="V413" s="1108" t="e">
        <f>SUM(V$120+V$170+V$183+S$65+V$296+V$350+V$386+V$412)</f>
        <v>#REF!</v>
      </c>
      <c r="W413" s="1108">
        <f t="shared" ref="W413:AC413" si="249">SUM(W$120+W$170+W$183+W$247+W$296+W$350+W$386+W$412)</f>
        <v>15452593.782400001</v>
      </c>
      <c r="X413" s="1108" t="e">
        <f t="shared" si="249"/>
        <v>#REF!</v>
      </c>
      <c r="Y413" s="1108">
        <f t="shared" si="249"/>
        <v>16293521.92</v>
      </c>
      <c r="Z413" s="1108">
        <f t="shared" si="249"/>
        <v>17140384.050000001</v>
      </c>
      <c r="AA413" s="1108">
        <f t="shared" si="249"/>
        <v>17168561.75</v>
      </c>
      <c r="AB413" s="1108">
        <f t="shared" si="249"/>
        <v>17978572.190000001</v>
      </c>
      <c r="AC413" s="1108">
        <f t="shared" si="249"/>
        <v>18152478.75</v>
      </c>
      <c r="AD413" s="1108"/>
      <c r="AE413" s="1108">
        <v>18858985.509999998</v>
      </c>
      <c r="AF413" s="1108">
        <v>15854265.219999999</v>
      </c>
      <c r="AG413" s="1108">
        <v>20074498.268914286</v>
      </c>
      <c r="AH413" s="1108">
        <v>19835040.259999998</v>
      </c>
      <c r="AI413" s="1108">
        <v>21304994.547771428</v>
      </c>
      <c r="AJ413" s="1108">
        <v>21409558.199999999</v>
      </c>
      <c r="AK413" s="1108">
        <v>22117354.296314288</v>
      </c>
      <c r="AL413" s="1108">
        <v>21942108.760000002</v>
      </c>
      <c r="AM413" s="1108">
        <f t="shared" ref="AM413:AT413" si="250">SUM(AM$120+AM$170+AM$183+AM$247+AM$296+AM$350+AM$386+AM$412)</f>
        <v>22458388.745000005</v>
      </c>
      <c r="AN413" s="1108">
        <f t="shared" si="250"/>
        <v>22227921.305</v>
      </c>
      <c r="AO413" s="1108">
        <f t="shared" si="250"/>
        <v>22763140.064431906</v>
      </c>
      <c r="AP413" s="1108">
        <f t="shared" si="250"/>
        <v>22730418.394150004</v>
      </c>
      <c r="AQ413" s="1108">
        <f t="shared" si="250"/>
        <v>23469861.220431287</v>
      </c>
      <c r="AR413" s="1108">
        <f t="shared" si="250"/>
        <v>24693426.760000002</v>
      </c>
      <c r="AS413" s="1647">
        <f t="shared" si="250"/>
        <v>25494059.090000004</v>
      </c>
      <c r="AT413" s="1108">
        <f t="shared" si="250"/>
        <v>25488895</v>
      </c>
      <c r="AU413" s="2341">
        <f t="shared" si="236"/>
        <v>795468.23999999836</v>
      </c>
      <c r="AV413" s="2301">
        <f t="shared" si="240"/>
        <v>3.2213764729022903E-2</v>
      </c>
      <c r="AW413" s="910" t="s">
        <v>534</v>
      </c>
      <c r="AX413" s="2016"/>
      <c r="AY413" s="2016"/>
      <c r="AZ413" s="2016"/>
      <c r="BA413" s="2518">
        <f t="shared" si="247"/>
        <v>3.5496560214693051E-2</v>
      </c>
      <c r="BB413" s="2518">
        <f>POWER(AT413/AA413,1/9)-1</f>
        <v>4.4885171520759437E-2</v>
      </c>
      <c r="BC413" s="2332"/>
    </row>
    <row r="414" spans="1:55" ht="14" customHeight="1" thickTop="1" x14ac:dyDescent="0.25">
      <c r="A414" s="711" t="s">
        <v>160</v>
      </c>
      <c r="J414" s="1109" t="s">
        <v>535</v>
      </c>
      <c r="K414" s="1110"/>
      <c r="L414" s="1023"/>
      <c r="M414" s="1023"/>
      <c r="N414" s="1023"/>
      <c r="O414" s="1110" t="s">
        <v>27</v>
      </c>
      <c r="P414" s="1110"/>
      <c r="Q414" s="1110"/>
      <c r="R414" s="1110"/>
      <c r="S414" s="1110"/>
      <c r="T414" s="1110"/>
      <c r="U414" s="1110"/>
      <c r="V414" s="1110"/>
      <c r="W414" s="1110"/>
      <c r="X414" s="1110"/>
      <c r="Y414" s="1110"/>
      <c r="Z414" s="1110"/>
      <c r="AA414" s="1110"/>
      <c r="AB414" s="1110"/>
      <c r="AC414" s="1110"/>
      <c r="AD414" s="1110"/>
      <c r="AE414" s="1110"/>
      <c r="AF414" s="1110"/>
      <c r="AG414" s="1110"/>
      <c r="AH414" s="1110"/>
      <c r="AI414" s="1110"/>
      <c r="AJ414" s="1110"/>
      <c r="AK414" s="1110"/>
      <c r="AL414" s="1110"/>
      <c r="AM414" s="1110"/>
      <c r="AN414" s="1110"/>
      <c r="AO414" s="1110"/>
      <c r="AP414" s="1110"/>
      <c r="AQ414" s="1110"/>
      <c r="AR414" s="1110"/>
      <c r="AS414" s="1110"/>
      <c r="AT414" s="1040"/>
      <c r="AU414" s="1110" t="str">
        <f t="shared" si="236"/>
        <v/>
      </c>
      <c r="AV414" s="2302" t="str">
        <f t="shared" si="240"/>
        <v/>
      </c>
      <c r="AX414" s="2016"/>
      <c r="AY414" s="2016"/>
      <c r="AZ414" s="2016"/>
      <c r="BA414" s="2016"/>
      <c r="BB414" s="2016"/>
    </row>
    <row r="415" spans="1:55" ht="14" customHeight="1" x14ac:dyDescent="0.25">
      <c r="B415" s="795"/>
      <c r="C415" s="795"/>
      <c r="D415" s="795"/>
      <c r="E415" s="795"/>
      <c r="F415" s="795"/>
      <c r="J415" s="1109"/>
      <c r="K415" s="979"/>
      <c r="L415" s="1023"/>
      <c r="M415" s="1023"/>
      <c r="N415" s="1023"/>
      <c r="O415" s="979">
        <f>O413-130059</f>
        <v>14240247</v>
      </c>
      <c r="P415" s="979"/>
      <c r="Q415" s="979"/>
      <c r="R415" s="979"/>
      <c r="S415" s="979"/>
      <c r="T415" s="979"/>
      <c r="U415" s="979"/>
      <c r="V415" s="979"/>
      <c r="W415" s="979"/>
      <c r="X415" s="979"/>
      <c r="Y415" s="979"/>
      <c r="Z415" s="979"/>
      <c r="AA415" s="979"/>
      <c r="AB415" s="979"/>
      <c r="AC415" s="979"/>
      <c r="AD415" s="979"/>
      <c r="AE415" s="979"/>
      <c r="AF415" s="979"/>
      <c r="AG415" s="979"/>
      <c r="AH415" s="979"/>
      <c r="AI415" s="979"/>
      <c r="AJ415" s="979"/>
      <c r="AK415" s="979"/>
      <c r="AL415" s="979"/>
      <c r="AM415" s="979"/>
      <c r="AN415" s="979"/>
      <c r="AO415" s="979"/>
      <c r="AP415" s="979"/>
      <c r="AQ415" s="979"/>
      <c r="AR415" s="979"/>
      <c r="AS415" s="979"/>
      <c r="AT415" s="2346"/>
      <c r="AU415" s="979" t="str">
        <f t="shared" si="236"/>
        <v/>
      </c>
      <c r="AV415" s="2303" t="str">
        <f t="shared" si="240"/>
        <v/>
      </c>
      <c r="AX415" s="2016"/>
      <c r="AY415" s="2016"/>
      <c r="AZ415" s="2016"/>
      <c r="BA415" s="2016"/>
      <c r="BB415" s="2016"/>
    </row>
    <row r="416" spans="1:55" ht="14" customHeight="1" collapsed="1" x14ac:dyDescent="0.25">
      <c r="A416" s="1111" t="s">
        <v>167</v>
      </c>
      <c r="B416" s="792"/>
      <c r="C416" s="792"/>
      <c r="D416" s="792"/>
      <c r="E416" s="794"/>
      <c r="F416" s="794"/>
      <c r="G416" s="1112"/>
      <c r="H416" s="1112"/>
      <c r="I416" s="1112"/>
      <c r="J416" s="1113"/>
      <c r="K416" s="1114"/>
      <c r="L416" s="1115"/>
      <c r="M416" s="1115"/>
      <c r="N416" s="1115"/>
      <c r="O416" s="1114"/>
      <c r="P416" s="1114"/>
      <c r="Q416" s="1114"/>
      <c r="R416" s="1114"/>
      <c r="S416" s="1114"/>
      <c r="T416" s="1114"/>
      <c r="U416" s="1114"/>
      <c r="V416" s="1114"/>
      <c r="W416" s="1114"/>
      <c r="X416" s="1114"/>
      <c r="Y416" s="1114"/>
      <c r="Z416" s="1114"/>
      <c r="AA416" s="1114"/>
      <c r="AB416" s="1114"/>
      <c r="AC416" s="1114"/>
      <c r="AD416" s="1114"/>
      <c r="AE416" s="1114"/>
      <c r="AF416" s="1114"/>
      <c r="AG416" s="1114"/>
      <c r="AH416" s="1114"/>
      <c r="AI416" s="1114"/>
      <c r="AJ416" s="1114"/>
      <c r="AK416" s="1114"/>
      <c r="AL416" s="1114"/>
      <c r="AM416" s="1114"/>
      <c r="AN416" s="1114"/>
      <c r="AO416" s="1114"/>
      <c r="AP416" s="1114"/>
      <c r="AQ416" s="1114"/>
      <c r="AR416" s="1114"/>
      <c r="AS416" s="1648"/>
      <c r="AT416" s="1114"/>
      <c r="AU416" s="2342" t="str">
        <f t="shared" si="236"/>
        <v/>
      </c>
      <c r="AV416" s="2304" t="str">
        <f t="shared" si="240"/>
        <v/>
      </c>
      <c r="AW416" s="1116"/>
      <c r="AX416" s="2016"/>
      <c r="AY416" s="2016"/>
      <c r="AZ416" s="2016"/>
      <c r="BA416" s="2016"/>
      <c r="BB416" s="2016"/>
    </row>
    <row r="417" spans="1:55" ht="14" hidden="1" customHeight="1" outlineLevel="1" x14ac:dyDescent="0.25">
      <c r="A417" s="987" t="s">
        <v>560</v>
      </c>
      <c r="B417" s="775">
        <v>54553</v>
      </c>
      <c r="C417" s="773">
        <v>54553</v>
      </c>
      <c r="D417" s="773">
        <v>56190</v>
      </c>
      <c r="E417" s="773">
        <v>55396.37</v>
      </c>
      <c r="F417" s="774">
        <v>56190</v>
      </c>
      <c r="G417" s="774">
        <v>56190</v>
      </c>
      <c r="H417" s="774">
        <v>57460</v>
      </c>
      <c r="I417" s="774"/>
      <c r="J417" s="806">
        <v>60336</v>
      </c>
      <c r="K417" s="788"/>
      <c r="L417" s="840">
        <v>61687</v>
      </c>
      <c r="M417" s="840">
        <v>63333</v>
      </c>
      <c r="N417" s="1117">
        <v>67371</v>
      </c>
      <c r="O417" s="788">
        <f>N417</f>
        <v>67371</v>
      </c>
      <c r="P417" s="788">
        <v>67371</v>
      </c>
      <c r="Q417" s="788">
        <v>67371</v>
      </c>
      <c r="R417" s="788">
        <v>67371</v>
      </c>
      <c r="S417" s="788">
        <v>67371</v>
      </c>
      <c r="T417" s="788">
        <v>73092</v>
      </c>
      <c r="U417" s="788">
        <v>73092</v>
      </c>
      <c r="V417" s="788">
        <v>77240</v>
      </c>
      <c r="W417" s="788">
        <f>V417</f>
        <v>77240</v>
      </c>
      <c r="X417" s="788">
        <v>81073</v>
      </c>
      <c r="Y417" s="788">
        <v>81073</v>
      </c>
      <c r="Z417" s="788">
        <v>85299</v>
      </c>
      <c r="AA417" s="788">
        <f>Z417</f>
        <v>85299</v>
      </c>
      <c r="AB417" s="788">
        <v>91410</v>
      </c>
      <c r="AC417" s="788">
        <f>AB417</f>
        <v>91410</v>
      </c>
      <c r="AD417" s="788"/>
      <c r="AE417" s="788">
        <v>95391.2</v>
      </c>
      <c r="AF417" s="810"/>
      <c r="AG417" s="810">
        <v>100159</v>
      </c>
      <c r="AH417" s="788">
        <v>100159</v>
      </c>
      <c r="AI417" s="788">
        <v>105670</v>
      </c>
      <c r="AJ417" s="788">
        <v>105670</v>
      </c>
      <c r="AK417" s="788">
        <v>105670</v>
      </c>
      <c r="AL417" s="788">
        <v>108113</v>
      </c>
      <c r="AM417" s="788">
        <f>AL417</f>
        <v>108113</v>
      </c>
      <c r="AN417" s="788">
        <v>109493</v>
      </c>
      <c r="AO417" s="788">
        <v>109493</v>
      </c>
      <c r="AP417" s="788">
        <v>111664</v>
      </c>
      <c r="AQ417" s="788"/>
      <c r="AR417" s="788">
        <v>116544</v>
      </c>
      <c r="AS417" s="1410"/>
      <c r="AT417" s="891">
        <f>'[2]WATER 061'!$CF$8</f>
        <v>119309</v>
      </c>
      <c r="AU417" s="788">
        <f t="shared" si="236"/>
        <v>2765</v>
      </c>
      <c r="AV417" s="2272">
        <f t="shared" si="240"/>
        <v>2.3724945085118066E-2</v>
      </c>
      <c r="AW417" s="890"/>
      <c r="AX417" s="2016"/>
      <c r="AY417" s="2016"/>
      <c r="AZ417" s="2016"/>
      <c r="BA417" s="2016"/>
      <c r="BB417" s="2016"/>
      <c r="BC417" s="2027"/>
    </row>
    <row r="418" spans="1:55" ht="14" hidden="1" customHeight="1" outlineLevel="1" x14ac:dyDescent="0.25">
      <c r="A418" s="779" t="s">
        <v>551</v>
      </c>
      <c r="B418" s="775">
        <v>129645</v>
      </c>
      <c r="C418" s="773">
        <v>124049.68</v>
      </c>
      <c r="D418" s="773">
        <v>135073</v>
      </c>
      <c r="E418" s="773">
        <v>114571.18</v>
      </c>
      <c r="F418" s="774">
        <v>135073</v>
      </c>
      <c r="G418" s="774">
        <v>124316.24</v>
      </c>
      <c r="H418" s="774">
        <v>136960</v>
      </c>
      <c r="I418" s="774"/>
      <c r="J418" s="806">
        <v>147282</v>
      </c>
      <c r="K418" s="788"/>
      <c r="L418" s="840">
        <v>140355.51</v>
      </c>
      <c r="M418" s="807">
        <v>155121</v>
      </c>
      <c r="N418" s="1117">
        <v>159639</v>
      </c>
      <c r="O418" s="788">
        <f>N418</f>
        <v>159639</v>
      </c>
      <c r="P418" s="788">
        <v>156766</v>
      </c>
      <c r="Q418" s="788">
        <v>156766</v>
      </c>
      <c r="R418" s="788">
        <v>146234</v>
      </c>
      <c r="S418" s="788">
        <v>146234</v>
      </c>
      <c r="T418" s="788">
        <v>148082</v>
      </c>
      <c r="U418" s="788">
        <v>148082</v>
      </c>
      <c r="V418" s="788">
        <v>155791</v>
      </c>
      <c r="W418" s="788">
        <f>V418</f>
        <v>155791</v>
      </c>
      <c r="X418" s="788">
        <v>177577</v>
      </c>
      <c r="Y418" s="788">
        <v>177577</v>
      </c>
      <c r="Z418" s="788">
        <v>192667</v>
      </c>
      <c r="AA418" s="788">
        <f>Z418</f>
        <v>192667</v>
      </c>
      <c r="AB418" s="788">
        <v>199275</v>
      </c>
      <c r="AC418" s="788">
        <f>AB418</f>
        <v>199275</v>
      </c>
      <c r="AD418" s="788"/>
      <c r="AE418" s="788">
        <v>200729.88</v>
      </c>
      <c r="AF418" s="810"/>
      <c r="AG418" s="810">
        <v>202380</v>
      </c>
      <c r="AH418" s="788">
        <v>202380</v>
      </c>
      <c r="AI418" s="788">
        <v>272717</v>
      </c>
      <c r="AJ418" s="788">
        <v>272717</v>
      </c>
      <c r="AK418" s="788">
        <v>272717</v>
      </c>
      <c r="AL418" s="788">
        <v>253442</v>
      </c>
      <c r="AM418" s="788">
        <f>AL418</f>
        <v>253442</v>
      </c>
      <c r="AN418" s="788">
        <v>256682</v>
      </c>
      <c r="AO418" s="788">
        <v>256682</v>
      </c>
      <c r="AP418" s="788">
        <v>285549.25</v>
      </c>
      <c r="AQ418" s="788"/>
      <c r="AR418" s="788">
        <v>280340</v>
      </c>
      <c r="AS418" s="1410"/>
      <c r="AT418" s="891">
        <f>'[2]WATER 061'!$CF$19</f>
        <v>294476</v>
      </c>
      <c r="AU418" s="788">
        <f t="shared" si="236"/>
        <v>14136</v>
      </c>
      <c r="AV418" s="2272">
        <f t="shared" si="240"/>
        <v>5.0424484554469573E-2</v>
      </c>
      <c r="AW418" s="890"/>
      <c r="AX418" s="2016"/>
      <c r="AY418" s="2016"/>
      <c r="AZ418" s="2016"/>
      <c r="BA418" s="2016"/>
      <c r="BB418" s="2016"/>
      <c r="BC418" s="2027"/>
    </row>
    <row r="419" spans="1:55" ht="14" hidden="1" customHeight="1" outlineLevel="1" x14ac:dyDescent="0.25">
      <c r="A419" s="779" t="s">
        <v>812</v>
      </c>
      <c r="B419" s="775">
        <v>203553</v>
      </c>
      <c r="C419" s="773">
        <f>SUM(161118.9+1659.5)</f>
        <v>162778.4</v>
      </c>
      <c r="D419" s="773">
        <v>194203</v>
      </c>
      <c r="E419" s="773">
        <v>184167.07</v>
      </c>
      <c r="F419" s="774">
        <v>193398</v>
      </c>
      <c r="G419" s="774">
        <f>180793.14+8691.37</f>
        <v>189484.51</v>
      </c>
      <c r="H419" s="774">
        <v>198238</v>
      </c>
      <c r="I419" s="774"/>
      <c r="J419" s="806">
        <v>214452</v>
      </c>
      <c r="K419" s="788"/>
      <c r="L419" s="812">
        <v>263938.78000000003</v>
      </c>
      <c r="M419" s="812">
        <v>224143</v>
      </c>
      <c r="N419" s="1068">
        <v>221284</v>
      </c>
      <c r="O419" s="788">
        <f>N419</f>
        <v>221284</v>
      </c>
      <c r="P419" s="788">
        <v>232940</v>
      </c>
      <c r="Q419" s="788">
        <v>232940</v>
      </c>
      <c r="R419" s="788">
        <v>232130</v>
      </c>
      <c r="S419" s="788">
        <v>232130</v>
      </c>
      <c r="T419" s="788">
        <v>265330</v>
      </c>
      <c r="U419" s="788">
        <v>265330</v>
      </c>
      <c r="V419" s="788">
        <v>273054</v>
      </c>
      <c r="W419" s="788">
        <f>V419</f>
        <v>273054</v>
      </c>
      <c r="X419" s="788">
        <v>296980</v>
      </c>
      <c r="Y419" s="788">
        <v>296980</v>
      </c>
      <c r="Z419" s="788">
        <v>305780</v>
      </c>
      <c r="AA419" s="788">
        <f>Z419</f>
        <v>305780</v>
      </c>
      <c r="AB419" s="788">
        <v>323630</v>
      </c>
      <c r="AC419" s="788">
        <f>AB419</f>
        <v>323630</v>
      </c>
      <c r="AD419" s="788"/>
      <c r="AE419" s="788">
        <v>349180</v>
      </c>
      <c r="AF419" s="810"/>
      <c r="AG419" s="810">
        <v>349180</v>
      </c>
      <c r="AH419" s="788">
        <v>349180</v>
      </c>
      <c r="AI419" s="788">
        <v>415824</v>
      </c>
      <c r="AJ419" s="788">
        <v>415824</v>
      </c>
      <c r="AK419" s="788"/>
      <c r="AL419" s="788">
        <v>410455</v>
      </c>
      <c r="AM419" s="788">
        <f>AL419</f>
        <v>410455</v>
      </c>
      <c r="AN419" s="788">
        <v>434930</v>
      </c>
      <c r="AO419" s="788">
        <v>434930</v>
      </c>
      <c r="AP419" s="788">
        <v>419550</v>
      </c>
      <c r="AQ419" s="788"/>
      <c r="AR419" s="788">
        <v>441350</v>
      </c>
      <c r="AS419" s="1410"/>
      <c r="AT419" s="891">
        <f>'[2]WATER 061'!$CF$71</f>
        <v>441050</v>
      </c>
      <c r="AU419" s="788">
        <f t="shared" si="236"/>
        <v>-300</v>
      </c>
      <c r="AV419" s="2272">
        <f t="shared" si="240"/>
        <v>-6.7973263849552506E-4</v>
      </c>
      <c r="AW419" s="789"/>
      <c r="AX419" s="2016"/>
      <c r="AY419" s="2016"/>
      <c r="AZ419" s="2016"/>
      <c r="BA419" s="2016"/>
      <c r="BB419" s="2016"/>
      <c r="BC419" s="2023"/>
    </row>
    <row r="420" spans="1:55" ht="14" hidden="1" customHeight="1" outlineLevel="1" x14ac:dyDescent="0.25">
      <c r="A420" s="779" t="s">
        <v>536</v>
      </c>
      <c r="B420" s="775">
        <v>0</v>
      </c>
      <c r="C420" s="773">
        <v>0</v>
      </c>
      <c r="D420" s="773">
        <v>0</v>
      </c>
      <c r="E420" s="773">
        <v>0</v>
      </c>
      <c r="F420" s="774"/>
      <c r="G420" s="774"/>
      <c r="H420" s="774"/>
      <c r="I420" s="774"/>
      <c r="J420" s="806">
        <v>0</v>
      </c>
      <c r="K420" s="788"/>
      <c r="L420" s="855"/>
      <c r="M420" s="855"/>
      <c r="N420" s="1068"/>
      <c r="O420" s="788"/>
      <c r="P420" s="788"/>
      <c r="Q420" s="788"/>
      <c r="R420" s="788"/>
      <c r="S420" s="788"/>
      <c r="T420" s="788"/>
      <c r="U420" s="788"/>
      <c r="V420" s="788"/>
      <c r="W420" s="788"/>
      <c r="X420" s="788"/>
      <c r="Y420" s="788"/>
      <c r="Z420" s="788"/>
      <c r="AA420" s="788"/>
      <c r="AB420" s="788"/>
      <c r="AC420" s="788"/>
      <c r="AD420" s="788"/>
      <c r="AE420" s="788"/>
      <c r="AF420" s="810"/>
      <c r="AG420" s="810"/>
      <c r="AH420" s="788"/>
      <c r="AI420" s="788"/>
      <c r="AJ420" s="788"/>
      <c r="AK420" s="788"/>
      <c r="AL420" s="788"/>
      <c r="AM420" s="788"/>
      <c r="AN420" s="788"/>
      <c r="AO420" s="788"/>
      <c r="AP420" s="788"/>
      <c r="AQ420" s="788"/>
      <c r="AR420" s="788"/>
      <c r="AS420" s="841"/>
      <c r="AT420" s="891"/>
      <c r="AU420" s="788" t="str">
        <f t="shared" si="236"/>
        <v/>
      </c>
      <c r="AV420" s="2272" t="str">
        <f t="shared" si="240"/>
        <v/>
      </c>
      <c r="AW420" s="789"/>
      <c r="AX420" s="2016"/>
      <c r="AY420" s="2016"/>
      <c r="AZ420" s="2016"/>
      <c r="BA420" s="2016"/>
      <c r="BB420" s="2016"/>
      <c r="BC420" s="2023"/>
    </row>
    <row r="421" spans="1:55" ht="14" hidden="1" customHeight="1" outlineLevel="1" x14ac:dyDescent="0.25">
      <c r="A421" s="779" t="s">
        <v>742</v>
      </c>
      <c r="B421" s="775">
        <v>0</v>
      </c>
      <c r="C421" s="773">
        <v>0</v>
      </c>
      <c r="D421" s="773">
        <v>0</v>
      </c>
      <c r="E421" s="773">
        <v>0</v>
      </c>
      <c r="F421" s="774"/>
      <c r="G421" s="774"/>
      <c r="H421" s="774"/>
      <c r="I421" s="774"/>
      <c r="J421" s="806"/>
      <c r="K421" s="788"/>
      <c r="L421" s="855"/>
      <c r="M421" s="855"/>
      <c r="N421" s="1068"/>
      <c r="O421" s="788"/>
      <c r="P421" s="788"/>
      <c r="Q421" s="788"/>
      <c r="R421" s="788"/>
      <c r="S421" s="788"/>
      <c r="T421" s="788"/>
      <c r="U421" s="788"/>
      <c r="V421" s="788"/>
      <c r="W421" s="788"/>
      <c r="X421" s="788"/>
      <c r="Y421" s="788"/>
      <c r="Z421" s="788"/>
      <c r="AA421" s="788"/>
      <c r="AB421" s="788"/>
      <c r="AC421" s="788"/>
      <c r="AD421" s="788"/>
      <c r="AE421" s="788"/>
      <c r="AF421" s="810"/>
      <c r="AG421" s="810"/>
      <c r="AH421" s="788"/>
      <c r="AI421" s="788"/>
      <c r="AJ421" s="788"/>
      <c r="AK421" s="788"/>
      <c r="AL421" s="788"/>
      <c r="AM421" s="788"/>
      <c r="AN421" s="788"/>
      <c r="AO421" s="788"/>
      <c r="AP421" s="788"/>
      <c r="AQ421" s="788"/>
      <c r="AR421" s="788"/>
      <c r="AS421" s="841"/>
      <c r="AT421" s="891"/>
      <c r="AU421" s="788" t="str">
        <f t="shared" si="236"/>
        <v/>
      </c>
      <c r="AV421" s="2272" t="str">
        <f t="shared" si="240"/>
        <v/>
      </c>
      <c r="AW421" s="789"/>
      <c r="AX421" s="2016"/>
      <c r="AY421" s="2016"/>
      <c r="AZ421" s="2016"/>
      <c r="BA421" s="2016"/>
      <c r="BB421" s="2016"/>
      <c r="BC421" s="2023"/>
    </row>
    <row r="422" spans="1:55" ht="14" hidden="1" customHeight="1" outlineLevel="1" x14ac:dyDescent="0.25">
      <c r="A422" s="779" t="s">
        <v>743</v>
      </c>
      <c r="B422" s="775">
        <v>80000</v>
      </c>
      <c r="C422" s="773">
        <v>80000</v>
      </c>
      <c r="D422" s="773">
        <v>5000</v>
      </c>
      <c r="E422" s="773">
        <v>5000</v>
      </c>
      <c r="F422" s="774">
        <v>5500</v>
      </c>
      <c r="G422" s="774">
        <v>5500</v>
      </c>
      <c r="H422" s="774">
        <v>5500</v>
      </c>
      <c r="I422" s="774"/>
      <c r="J422" s="806">
        <v>6000</v>
      </c>
      <c r="K422" s="788"/>
      <c r="L422" s="1118">
        <f>J422</f>
        <v>6000</v>
      </c>
      <c r="M422" s="1118">
        <v>6500</v>
      </c>
      <c r="N422" s="1068">
        <v>7000</v>
      </c>
      <c r="O422" s="788">
        <f t="shared" ref="O422:Q423" si="251">N422</f>
        <v>7000</v>
      </c>
      <c r="P422" s="788">
        <f t="shared" si="251"/>
        <v>7000</v>
      </c>
      <c r="Q422" s="788">
        <f t="shared" si="251"/>
        <v>7000</v>
      </c>
      <c r="R422" s="1119">
        <v>82500</v>
      </c>
      <c r="S422" s="1119">
        <v>83300</v>
      </c>
      <c r="T422" s="1119">
        <v>83500</v>
      </c>
      <c r="U422" s="1119">
        <v>83500</v>
      </c>
      <c r="V422" s="1119">
        <v>84000</v>
      </c>
      <c r="W422" s="788">
        <f>V422</f>
        <v>84000</v>
      </c>
      <c r="X422" s="1119">
        <v>83500</v>
      </c>
      <c r="Y422" s="1119">
        <v>83500</v>
      </c>
      <c r="Z422" s="1119">
        <v>84000</v>
      </c>
      <c r="AA422" s="788">
        <f>Z422</f>
        <v>84000</v>
      </c>
      <c r="AB422" s="1119">
        <v>79500</v>
      </c>
      <c r="AC422" s="788">
        <f>AB422</f>
        <v>79500</v>
      </c>
      <c r="AD422" s="788"/>
      <c r="AE422" s="788">
        <v>79500</v>
      </c>
      <c r="AF422" s="810"/>
      <c r="AG422" s="810">
        <v>152500</v>
      </c>
      <c r="AH422" s="788">
        <v>152500</v>
      </c>
      <c r="AI422" s="788">
        <v>529000</v>
      </c>
      <c r="AJ422" s="788">
        <v>529000</v>
      </c>
      <c r="AK422" s="788">
        <v>529000</v>
      </c>
      <c r="AL422" s="788">
        <v>655000</v>
      </c>
      <c r="AM422" s="788">
        <f>AL422</f>
        <v>655000</v>
      </c>
      <c r="AN422" s="788">
        <v>659300</v>
      </c>
      <c r="AO422" s="788">
        <v>659300</v>
      </c>
      <c r="AP422" s="788">
        <v>652300</v>
      </c>
      <c r="AQ422" s="788"/>
      <c r="AR422" s="788">
        <v>650500</v>
      </c>
      <c r="AS422" s="841"/>
      <c r="AT422" s="891">
        <f>'[2]WATER 061'!$CF$73</f>
        <v>643600</v>
      </c>
      <c r="AU422" s="788">
        <f t="shared" si="236"/>
        <v>-6900</v>
      </c>
      <c r="AV422" s="2272">
        <f t="shared" si="240"/>
        <v>-1.0607225211375864E-2</v>
      </c>
      <c r="AW422" s="789"/>
      <c r="AX422" s="2016"/>
      <c r="AY422" s="2016"/>
      <c r="AZ422" s="2016"/>
      <c r="BA422" s="2016"/>
      <c r="BB422" s="2016"/>
      <c r="BC422" s="2036"/>
    </row>
    <row r="423" spans="1:55" ht="14" hidden="1" customHeight="1" outlineLevel="1" x14ac:dyDescent="0.25">
      <c r="A423" s="779" t="s">
        <v>136</v>
      </c>
      <c r="B423" s="775"/>
      <c r="C423" s="773"/>
      <c r="D423" s="773"/>
      <c r="E423" s="773"/>
      <c r="F423" s="774"/>
      <c r="G423" s="774"/>
      <c r="H423" s="774"/>
      <c r="I423" s="774"/>
      <c r="J423" s="806"/>
      <c r="K423" s="788"/>
      <c r="L423" s="1118">
        <v>0</v>
      </c>
      <c r="M423" s="1118">
        <f>15000</f>
        <v>15000</v>
      </c>
      <c r="N423" s="1068">
        <v>15000</v>
      </c>
      <c r="O423" s="788">
        <f t="shared" si="251"/>
        <v>15000</v>
      </c>
      <c r="P423" s="788">
        <f t="shared" si="251"/>
        <v>15000</v>
      </c>
      <c r="Q423" s="788">
        <f t="shared" si="251"/>
        <v>15000</v>
      </c>
      <c r="R423" s="1119">
        <v>0</v>
      </c>
      <c r="S423" s="1119">
        <f>R423</f>
        <v>0</v>
      </c>
      <c r="T423" s="1119">
        <v>0</v>
      </c>
      <c r="U423" s="1119">
        <v>0</v>
      </c>
      <c r="V423" s="1119">
        <v>0</v>
      </c>
      <c r="W423" s="1119">
        <f>V423</f>
        <v>0</v>
      </c>
      <c r="X423" s="1119">
        <v>0</v>
      </c>
      <c r="Y423" s="1119">
        <v>0</v>
      </c>
      <c r="Z423" s="1119">
        <v>0</v>
      </c>
      <c r="AA423" s="1119">
        <v>0</v>
      </c>
      <c r="AB423" s="1119">
        <v>55000</v>
      </c>
      <c r="AC423" s="788">
        <f>AB423</f>
        <v>55000</v>
      </c>
      <c r="AD423" s="788"/>
      <c r="AE423" s="788">
        <v>207000</v>
      </c>
      <c r="AF423" s="810"/>
      <c r="AG423" s="810"/>
      <c r="AH423" s="788"/>
      <c r="AI423" s="788"/>
      <c r="AJ423" s="788"/>
      <c r="AK423" s="788"/>
      <c r="AL423" s="788"/>
      <c r="AM423" s="788"/>
      <c r="AN423" s="788"/>
      <c r="AO423" s="788"/>
      <c r="AP423" s="788"/>
      <c r="AQ423" s="788"/>
      <c r="AR423" s="788"/>
      <c r="AS423" s="841"/>
      <c r="AT423" s="891"/>
      <c r="AU423" s="788" t="str">
        <f t="shared" si="236"/>
        <v/>
      </c>
      <c r="AV423" s="2272" t="str">
        <f t="shared" si="240"/>
        <v/>
      </c>
      <c r="AW423" s="789"/>
      <c r="AX423" s="2016"/>
      <c r="AY423" s="2016"/>
      <c r="AZ423" s="2016"/>
      <c r="BA423" s="2016"/>
      <c r="BB423" s="2016"/>
      <c r="BC423" s="2036"/>
    </row>
    <row r="424" spans="1:55" ht="14" hidden="1" customHeight="1" outlineLevel="1" x14ac:dyDescent="0.25">
      <c r="A424" s="779" t="s">
        <v>744</v>
      </c>
      <c r="B424" s="775">
        <v>8946</v>
      </c>
      <c r="C424" s="773">
        <v>8945.6299999999992</v>
      </c>
      <c r="D424" s="773">
        <v>6015</v>
      </c>
      <c r="E424" s="773">
        <v>6014.38</v>
      </c>
      <c r="F424" s="774">
        <v>5802</v>
      </c>
      <c r="G424" s="774">
        <v>5801.88</v>
      </c>
      <c r="H424" s="774">
        <v>5582</v>
      </c>
      <c r="I424" s="774"/>
      <c r="J424" s="806">
        <v>5361.88</v>
      </c>
      <c r="K424" s="788"/>
      <c r="L424" s="1118">
        <v>5122</v>
      </c>
      <c r="M424" s="1118">
        <v>4882</v>
      </c>
      <c r="N424" s="1068">
        <v>4622</v>
      </c>
      <c r="O424" s="788">
        <f t="shared" ref="O424:O429" si="252">N424</f>
        <v>4622</v>
      </c>
      <c r="P424" s="788">
        <v>4565</v>
      </c>
      <c r="Q424" s="788">
        <v>4565</v>
      </c>
      <c r="R424" s="1119">
        <v>23947</v>
      </c>
      <c r="S424" s="1119">
        <v>36576</v>
      </c>
      <c r="T424" s="1119">
        <v>34077</v>
      </c>
      <c r="U424" s="1119">
        <v>34077</v>
      </c>
      <c r="V424" s="1119">
        <v>31572</v>
      </c>
      <c r="W424" s="788">
        <f>V424</f>
        <v>31572</v>
      </c>
      <c r="X424" s="1119">
        <v>28211</v>
      </c>
      <c r="Y424" s="1119">
        <v>28212</v>
      </c>
      <c r="Z424" s="1119">
        <v>24872</v>
      </c>
      <c r="AA424" s="788">
        <f t="shared" ref="AA424:AC429" si="253">Z424</f>
        <v>24872</v>
      </c>
      <c r="AB424" s="1119">
        <v>23191</v>
      </c>
      <c r="AC424" s="788">
        <f t="shared" si="253"/>
        <v>23191</v>
      </c>
      <c r="AD424" s="788"/>
      <c r="AE424" s="788">
        <v>21192</v>
      </c>
      <c r="AF424" s="810"/>
      <c r="AG424" s="810">
        <v>68578</v>
      </c>
      <c r="AH424" s="788">
        <v>68578</v>
      </c>
      <c r="AI424" s="788">
        <v>342695</v>
      </c>
      <c r="AJ424" s="788">
        <v>342695</v>
      </c>
      <c r="AK424" s="788">
        <v>342695</v>
      </c>
      <c r="AL424" s="788">
        <v>404125</v>
      </c>
      <c r="AM424" s="788">
        <f>AL424</f>
        <v>404125</v>
      </c>
      <c r="AN424" s="788">
        <v>366886</v>
      </c>
      <c r="AO424" s="788">
        <v>366886</v>
      </c>
      <c r="AP424" s="788">
        <v>337856</v>
      </c>
      <c r="AQ424" s="788"/>
      <c r="AR424" s="788">
        <v>310221</v>
      </c>
      <c r="AS424" s="841"/>
      <c r="AT424" s="891">
        <f>'[2]WATER 061'!$CF$74</f>
        <v>284462</v>
      </c>
      <c r="AU424" s="788">
        <f t="shared" si="236"/>
        <v>-25759</v>
      </c>
      <c r="AV424" s="2272">
        <f t="shared" si="240"/>
        <v>-8.3034352929040905E-2</v>
      </c>
      <c r="AW424" s="789"/>
      <c r="AX424" s="2016"/>
      <c r="AY424" s="2016"/>
      <c r="AZ424" s="2016"/>
      <c r="BA424" s="2016"/>
      <c r="BB424" s="2016"/>
      <c r="BC424" s="2036"/>
    </row>
    <row r="425" spans="1:55" ht="14" hidden="1" customHeight="1" outlineLevel="1" x14ac:dyDescent="0.25">
      <c r="A425" s="779" t="s">
        <v>135</v>
      </c>
      <c r="B425" s="775"/>
      <c r="C425" s="773"/>
      <c r="D425" s="773"/>
      <c r="E425" s="773"/>
      <c r="F425" s="774"/>
      <c r="G425" s="774"/>
      <c r="H425" s="774"/>
      <c r="I425" s="774"/>
      <c r="J425" s="806">
        <v>2000</v>
      </c>
      <c r="K425" s="1120"/>
      <c r="L425" s="1118">
        <v>35</v>
      </c>
      <c r="M425" s="1118">
        <v>2000</v>
      </c>
      <c r="N425" s="1068">
        <v>2000</v>
      </c>
      <c r="O425" s="788">
        <f t="shared" si="252"/>
        <v>2000</v>
      </c>
      <c r="P425" s="788">
        <f>O425</f>
        <v>2000</v>
      </c>
      <c r="Q425" s="788">
        <f>P425</f>
        <v>2000</v>
      </c>
      <c r="R425" s="788">
        <v>0</v>
      </c>
      <c r="S425" s="788">
        <f>R425</f>
        <v>0</v>
      </c>
      <c r="T425" s="788">
        <v>0</v>
      </c>
      <c r="U425" s="788">
        <v>0</v>
      </c>
      <c r="V425" s="788">
        <v>5000</v>
      </c>
      <c r="W425" s="788">
        <f>V425</f>
        <v>5000</v>
      </c>
      <c r="X425" s="788">
        <v>5000</v>
      </c>
      <c r="Y425" s="788">
        <v>5000</v>
      </c>
      <c r="Z425" s="788">
        <v>5000</v>
      </c>
      <c r="AA425" s="788">
        <f t="shared" si="253"/>
        <v>5000</v>
      </c>
      <c r="AB425" s="788">
        <v>5000</v>
      </c>
      <c r="AC425" s="788">
        <f t="shared" si="253"/>
        <v>5000</v>
      </c>
      <c r="AD425" s="788"/>
      <c r="AE425" s="788">
        <v>5000</v>
      </c>
      <c r="AF425" s="810">
        <v>0</v>
      </c>
      <c r="AG425" s="810">
        <v>5000</v>
      </c>
      <c r="AH425" s="788">
        <v>5000</v>
      </c>
      <c r="AI425" s="788">
        <v>5000</v>
      </c>
      <c r="AJ425" s="788">
        <v>5000</v>
      </c>
      <c r="AK425" s="788">
        <v>5000</v>
      </c>
      <c r="AL425" s="788"/>
      <c r="AM425" s="788">
        <f>AL425</f>
        <v>0</v>
      </c>
      <c r="AN425" s="788"/>
      <c r="AO425" s="788">
        <f>AN425</f>
        <v>0</v>
      </c>
      <c r="AP425" s="788"/>
      <c r="AQ425" s="788"/>
      <c r="AR425" s="788"/>
      <c r="AS425" s="841"/>
      <c r="AT425" s="891"/>
      <c r="AU425" s="788" t="str">
        <f t="shared" si="236"/>
        <v/>
      </c>
      <c r="AV425" s="2272" t="str">
        <f t="shared" si="240"/>
        <v/>
      </c>
      <c r="AW425" s="789"/>
      <c r="AX425" s="2016"/>
      <c r="AY425" s="2016"/>
      <c r="AZ425" s="2016"/>
      <c r="BA425" s="2016"/>
      <c r="BB425" s="2016"/>
      <c r="BC425" s="2023"/>
    </row>
    <row r="426" spans="1:55" ht="14" hidden="1" customHeight="1" outlineLevel="1" x14ac:dyDescent="0.25">
      <c r="A426" s="779" t="s">
        <v>745</v>
      </c>
      <c r="B426" s="775">
        <v>0</v>
      </c>
      <c r="C426" s="773">
        <v>0</v>
      </c>
      <c r="D426" s="773">
        <v>0</v>
      </c>
      <c r="E426" s="773"/>
      <c r="F426" s="774"/>
      <c r="G426" s="774"/>
      <c r="H426" s="774"/>
      <c r="I426" s="774"/>
      <c r="J426" s="806">
        <v>25000</v>
      </c>
      <c r="K426" s="788"/>
      <c r="L426" s="1118">
        <v>20512.86</v>
      </c>
      <c r="M426" s="1118">
        <v>19000</v>
      </c>
      <c r="N426" s="1068">
        <v>40000</v>
      </c>
      <c r="O426" s="788">
        <f t="shared" si="252"/>
        <v>40000</v>
      </c>
      <c r="P426" s="788">
        <f>O426</f>
        <v>40000</v>
      </c>
      <c r="Q426" s="788">
        <f>P426</f>
        <v>40000</v>
      </c>
      <c r="R426" s="1119">
        <v>0</v>
      </c>
      <c r="S426" s="1119">
        <f>R426</f>
        <v>0</v>
      </c>
      <c r="T426" s="1119">
        <v>0</v>
      </c>
      <c r="U426" s="1119">
        <v>0</v>
      </c>
      <c r="V426" s="1119">
        <v>20000</v>
      </c>
      <c r="W426" s="1119">
        <f>V426</f>
        <v>20000</v>
      </c>
      <c r="X426" s="1119">
        <v>38000</v>
      </c>
      <c r="Y426" s="1119">
        <v>38000</v>
      </c>
      <c r="Z426" s="1119">
        <v>11508</v>
      </c>
      <c r="AA426" s="788">
        <f t="shared" si="253"/>
        <v>11508</v>
      </c>
      <c r="AB426" s="1119">
        <v>11598</v>
      </c>
      <c r="AC426" s="788">
        <f t="shared" si="253"/>
        <v>11598</v>
      </c>
      <c r="AD426" s="788"/>
      <c r="AE426" s="788">
        <v>29450</v>
      </c>
      <c r="AF426" s="788"/>
      <c r="AG426" s="788">
        <v>377634</v>
      </c>
      <c r="AH426" s="788">
        <v>377634</v>
      </c>
      <c r="AI426" s="788">
        <v>115375</v>
      </c>
      <c r="AJ426" s="788">
        <v>115375</v>
      </c>
      <c r="AK426" s="788">
        <v>115375</v>
      </c>
      <c r="AL426" s="788"/>
      <c r="AM426" s="788">
        <f>AL426</f>
        <v>0</v>
      </c>
      <c r="AN426" s="788"/>
      <c r="AO426" s="788">
        <f>AN426</f>
        <v>0</v>
      </c>
      <c r="AP426" s="788"/>
      <c r="AQ426" s="788"/>
      <c r="AR426" s="788">
        <v>45000</v>
      </c>
      <c r="AS426" s="841"/>
      <c r="AT426" s="891">
        <f>SUM('[2]WATER 061'!$CF$76:$CF$77)</f>
        <v>125000</v>
      </c>
      <c r="AU426" s="788">
        <f t="shared" si="236"/>
        <v>80000</v>
      </c>
      <c r="AV426" s="2272">
        <f t="shared" si="240"/>
        <v>1.7777777777777777</v>
      </c>
      <c r="AW426" s="778"/>
      <c r="AX426" s="2016"/>
      <c r="AY426" s="2016"/>
      <c r="AZ426" s="2016"/>
      <c r="BA426" s="2016"/>
      <c r="BB426" s="2016"/>
    </row>
    <row r="427" spans="1:55" ht="14" hidden="1" customHeight="1" outlineLevel="1" x14ac:dyDescent="0.25">
      <c r="A427" s="779" t="s">
        <v>327</v>
      </c>
      <c r="B427" s="775"/>
      <c r="C427" s="773"/>
      <c r="D427" s="773"/>
      <c r="E427" s="773"/>
      <c r="F427" s="774"/>
      <c r="G427" s="774"/>
      <c r="H427" s="774"/>
      <c r="I427" s="774"/>
      <c r="J427" s="806"/>
      <c r="K427" s="788"/>
      <c r="L427" s="786">
        <f>SUM(L422:L426)</f>
        <v>31669.86</v>
      </c>
      <c r="M427" s="1121">
        <f>SUM(M422:M426)</f>
        <v>47382</v>
      </c>
      <c r="N427" s="1084">
        <f>SUM(N422:N426)</f>
        <v>68622</v>
      </c>
      <c r="O427" s="788">
        <f t="shared" si="252"/>
        <v>68622</v>
      </c>
      <c r="P427" s="788">
        <v>68565</v>
      </c>
      <c r="Q427" s="788">
        <v>68565</v>
      </c>
      <c r="R427" s="1122">
        <f>SUM(R422:R426)</f>
        <v>106447</v>
      </c>
      <c r="S427" s="1123">
        <f>SUM(S422:S426)</f>
        <v>119876</v>
      </c>
      <c r="T427" s="1123">
        <v>117577</v>
      </c>
      <c r="U427" s="1123">
        <v>117577</v>
      </c>
      <c r="V427" s="1123">
        <f>SUM(V422:V426)</f>
        <v>140572</v>
      </c>
      <c r="W427" s="1123">
        <f>SUM(W422:W426)</f>
        <v>140572</v>
      </c>
      <c r="X427" s="1123">
        <f>SUM(X422:X426)</f>
        <v>154711</v>
      </c>
      <c r="Y427" s="1123">
        <f>SUM(Y422:Y426)</f>
        <v>154712</v>
      </c>
      <c r="Z427" s="1123">
        <f>SUM(Z422:Z426)</f>
        <v>125380</v>
      </c>
      <c r="AA427" s="1123">
        <f t="shared" si="253"/>
        <v>125380</v>
      </c>
      <c r="AB427" s="1123">
        <f>SUM(AB422:AB426)</f>
        <v>174289</v>
      </c>
      <c r="AC427" s="1123">
        <f>SUM(AC422:AC426)</f>
        <v>174289</v>
      </c>
      <c r="AD427" s="1123"/>
      <c r="AE427" s="1123">
        <v>342142</v>
      </c>
      <c r="AF427" s="1123">
        <v>0</v>
      </c>
      <c r="AG427" s="1123">
        <v>603712</v>
      </c>
      <c r="AH427" s="1123">
        <v>603712</v>
      </c>
      <c r="AI427" s="1123">
        <v>992070</v>
      </c>
      <c r="AJ427" s="1123">
        <v>992070</v>
      </c>
      <c r="AK427" s="1123">
        <v>992070</v>
      </c>
      <c r="AL427" s="1123">
        <v>1059125</v>
      </c>
      <c r="AM427" s="1123">
        <f t="shared" ref="AM427:AN427" si="254">SUM(AM422:AM426)</f>
        <v>1059125</v>
      </c>
      <c r="AN427" s="1123">
        <f t="shared" si="254"/>
        <v>1026186</v>
      </c>
      <c r="AO427" s="1123">
        <f t="shared" ref="AO427:AT427" si="255">SUM(AO422:AO426)</f>
        <v>1026186</v>
      </c>
      <c r="AP427" s="1123">
        <f t="shared" si="255"/>
        <v>990156</v>
      </c>
      <c r="AQ427" s="1123"/>
      <c r="AR427" s="1123">
        <f t="shared" si="255"/>
        <v>1005721</v>
      </c>
      <c r="AS427" s="1649"/>
      <c r="AT427" s="1122">
        <f t="shared" si="255"/>
        <v>1053062</v>
      </c>
      <c r="AU427" s="1123">
        <f t="shared" si="236"/>
        <v>47341</v>
      </c>
      <c r="AV427" s="2305">
        <f t="shared" si="240"/>
        <v>4.7071702788347859E-2</v>
      </c>
      <c r="AW427" s="778"/>
      <c r="AX427" s="2016"/>
      <c r="AY427" s="2016"/>
      <c r="AZ427" s="2016"/>
      <c r="BA427" s="2016"/>
      <c r="BB427" s="2016"/>
    </row>
    <row r="428" spans="1:55" ht="14" hidden="1" customHeight="1" outlineLevel="1" x14ac:dyDescent="0.25">
      <c r="A428" s="779" t="s">
        <v>746</v>
      </c>
      <c r="B428" s="775">
        <v>50000</v>
      </c>
      <c r="C428" s="773">
        <v>0</v>
      </c>
      <c r="D428" s="773">
        <v>125000</v>
      </c>
      <c r="E428" s="773">
        <v>0</v>
      </c>
      <c r="F428" s="774">
        <v>121882</v>
      </c>
      <c r="G428" s="774">
        <v>0</v>
      </c>
      <c r="H428" s="774">
        <v>125000</v>
      </c>
      <c r="I428" s="774"/>
      <c r="J428" s="806">
        <v>125000</v>
      </c>
      <c r="K428" s="788"/>
      <c r="L428" s="812">
        <v>0</v>
      </c>
      <c r="M428" s="812">
        <v>100000</v>
      </c>
      <c r="N428" s="1068">
        <v>100000</v>
      </c>
      <c r="O428" s="788">
        <f t="shared" si="252"/>
        <v>100000</v>
      </c>
      <c r="P428" s="788">
        <f>O428</f>
        <v>100000</v>
      </c>
      <c r="Q428" s="788">
        <f>P428</f>
        <v>100000</v>
      </c>
      <c r="R428" s="788">
        <v>102515</v>
      </c>
      <c r="S428" s="788">
        <v>88000</v>
      </c>
      <c r="T428" s="788">
        <v>94000</v>
      </c>
      <c r="U428" s="788">
        <v>94000</v>
      </c>
      <c r="V428" s="788">
        <v>130000</v>
      </c>
      <c r="W428" s="788">
        <f>V428</f>
        <v>130000</v>
      </c>
      <c r="X428" s="788">
        <v>130000</v>
      </c>
      <c r="Y428" s="788">
        <v>130000</v>
      </c>
      <c r="Z428" s="788">
        <v>295000</v>
      </c>
      <c r="AA428" s="788">
        <f t="shared" si="253"/>
        <v>295000</v>
      </c>
      <c r="AB428" s="788">
        <v>356000</v>
      </c>
      <c r="AC428" s="788">
        <f t="shared" si="253"/>
        <v>356000</v>
      </c>
      <c r="AD428" s="788"/>
      <c r="AE428" s="788">
        <v>145000</v>
      </c>
      <c r="AF428" s="810"/>
      <c r="AG428" s="810">
        <v>0</v>
      </c>
      <c r="AH428" s="810"/>
      <c r="AI428" s="788">
        <v>50000</v>
      </c>
      <c r="AJ428" s="788">
        <v>50000</v>
      </c>
      <c r="AK428" s="788">
        <v>50000</v>
      </c>
      <c r="AL428" s="788">
        <v>50000</v>
      </c>
      <c r="AM428" s="788">
        <f>AL428</f>
        <v>50000</v>
      </c>
      <c r="AN428" s="788">
        <v>125000</v>
      </c>
      <c r="AO428" s="788">
        <v>125000</v>
      </c>
      <c r="AP428" s="788">
        <v>125000</v>
      </c>
      <c r="AQ428" s="788"/>
      <c r="AR428" s="788">
        <v>150000</v>
      </c>
      <c r="AS428" s="841"/>
      <c r="AT428" s="891">
        <f>'[2]WATER 061'!$CF$82</f>
        <v>150000</v>
      </c>
      <c r="AU428" s="788">
        <f t="shared" si="236"/>
        <v>0</v>
      </c>
      <c r="AV428" s="2272">
        <f t="shared" si="240"/>
        <v>0</v>
      </c>
      <c r="AW428" s="778"/>
      <c r="AX428" s="2016"/>
      <c r="AY428" s="2016"/>
      <c r="AZ428" s="2016"/>
      <c r="BA428" s="2016"/>
      <c r="BB428" s="2016"/>
    </row>
    <row r="429" spans="1:55" ht="14" hidden="1" customHeight="1" outlineLevel="1" x14ac:dyDescent="0.25">
      <c r="A429" s="779" t="s">
        <v>655</v>
      </c>
      <c r="B429" s="775">
        <v>85000</v>
      </c>
      <c r="C429" s="773">
        <v>0</v>
      </c>
      <c r="D429" s="773">
        <v>85000</v>
      </c>
      <c r="E429" s="773">
        <v>0</v>
      </c>
      <c r="F429" s="774">
        <v>75000</v>
      </c>
      <c r="G429" s="774">
        <v>0</v>
      </c>
      <c r="H429" s="774">
        <v>75000</v>
      </c>
      <c r="I429" s="774"/>
      <c r="J429" s="806">
        <v>75000</v>
      </c>
      <c r="K429" s="788"/>
      <c r="L429" s="812">
        <v>0</v>
      </c>
      <c r="M429" s="812">
        <v>75000</v>
      </c>
      <c r="N429" s="1068">
        <v>75000</v>
      </c>
      <c r="O429" s="788">
        <f t="shared" si="252"/>
        <v>75000</v>
      </c>
      <c r="P429" s="788">
        <f>O429</f>
        <v>75000</v>
      </c>
      <c r="Q429" s="788">
        <f>P429</f>
        <v>75000</v>
      </c>
      <c r="R429" s="788">
        <f>Q429</f>
        <v>75000</v>
      </c>
      <c r="S429" s="788">
        <v>75000</v>
      </c>
      <c r="T429" s="788">
        <v>75000</v>
      </c>
      <c r="U429" s="788">
        <v>75000</v>
      </c>
      <c r="V429" s="788">
        <v>76500</v>
      </c>
      <c r="W429" s="788">
        <f>V429</f>
        <v>76500</v>
      </c>
      <c r="X429" s="788">
        <v>51500</v>
      </c>
      <c r="Y429" s="788">
        <v>51500</v>
      </c>
      <c r="Z429" s="788">
        <v>51500</v>
      </c>
      <c r="AA429" s="788">
        <f t="shared" si="253"/>
        <v>51500</v>
      </c>
      <c r="AB429" s="788">
        <v>52000</v>
      </c>
      <c r="AC429" s="788">
        <f t="shared" si="253"/>
        <v>52000</v>
      </c>
      <c r="AD429" s="788"/>
      <c r="AE429" s="788">
        <v>190000</v>
      </c>
      <c r="AF429" s="788"/>
      <c r="AG429" s="788">
        <v>300000</v>
      </c>
      <c r="AH429" s="788">
        <v>300000</v>
      </c>
      <c r="AI429" s="788">
        <v>100000</v>
      </c>
      <c r="AJ429" s="788">
        <v>100000</v>
      </c>
      <c r="AK429" s="788">
        <v>100000</v>
      </c>
      <c r="AL429" s="788">
        <v>230000</v>
      </c>
      <c r="AM429" s="788">
        <f>AL429</f>
        <v>230000</v>
      </c>
      <c r="AN429" s="788">
        <v>155000</v>
      </c>
      <c r="AO429" s="788">
        <v>155000</v>
      </c>
      <c r="AP429" s="788">
        <v>125000</v>
      </c>
      <c r="AQ429" s="788"/>
      <c r="AR429" s="788">
        <v>130000</v>
      </c>
      <c r="AS429" s="841"/>
      <c r="AT429" s="891">
        <f>'[2]WATER 061'!$CF$81</f>
        <v>140000</v>
      </c>
      <c r="AU429" s="788">
        <f t="shared" si="236"/>
        <v>10000</v>
      </c>
      <c r="AV429" s="2272">
        <f t="shared" si="240"/>
        <v>7.6923076923076927E-2</v>
      </c>
      <c r="AW429" s="778"/>
      <c r="AX429" s="2016"/>
      <c r="AY429" s="2016"/>
      <c r="AZ429" s="2016"/>
      <c r="BA429" s="2016"/>
      <c r="BB429" s="2016"/>
    </row>
    <row r="430" spans="1:55" ht="14" hidden="1" customHeight="1" outlineLevel="1" x14ac:dyDescent="0.25">
      <c r="A430" s="779" t="s">
        <v>722</v>
      </c>
      <c r="B430" s="772"/>
      <c r="C430" s="775"/>
      <c r="D430" s="773"/>
      <c r="E430" s="775"/>
      <c r="F430" s="774"/>
      <c r="G430" s="774"/>
      <c r="H430" s="792"/>
      <c r="I430" s="792"/>
      <c r="J430" s="847"/>
      <c r="K430" s="825"/>
      <c r="L430" s="831">
        <v>0</v>
      </c>
      <c r="M430" s="831"/>
      <c r="N430" s="1076"/>
      <c r="O430" s="825"/>
      <c r="P430" s="825"/>
      <c r="Q430" s="825"/>
      <c r="R430" s="825"/>
      <c r="S430" s="825"/>
      <c r="T430" s="825"/>
      <c r="U430" s="825"/>
      <c r="V430" s="825"/>
      <c r="W430" s="825"/>
      <c r="X430" s="825"/>
      <c r="Y430" s="825"/>
      <c r="Z430" s="825"/>
      <c r="AA430" s="825"/>
      <c r="AB430" s="825"/>
      <c r="AC430" s="825"/>
      <c r="AD430" s="825"/>
      <c r="AE430" s="825"/>
      <c r="AF430" s="825"/>
      <c r="AG430" s="825">
        <v>56710</v>
      </c>
      <c r="AH430" s="825">
        <v>56710</v>
      </c>
      <c r="AI430" s="825"/>
      <c r="AJ430" s="825"/>
      <c r="AK430" s="825"/>
      <c r="AL430" s="825"/>
      <c r="AM430" s="825"/>
      <c r="AN430" s="825"/>
      <c r="AO430" s="825"/>
      <c r="AP430" s="825"/>
      <c r="AQ430" s="825"/>
      <c r="AR430" s="825"/>
      <c r="AS430" s="1110"/>
      <c r="AT430" s="1040"/>
      <c r="AU430" s="825" t="str">
        <f t="shared" si="236"/>
        <v/>
      </c>
      <c r="AV430" s="2274" t="str">
        <f t="shared" si="240"/>
        <v/>
      </c>
      <c r="AW430" s="778"/>
      <c r="AX430" s="2016"/>
      <c r="AY430" s="2016"/>
      <c r="AZ430" s="2016"/>
      <c r="BA430" s="2016"/>
      <c r="BB430" s="2016"/>
    </row>
    <row r="431" spans="1:55" ht="14" customHeight="1" thickBot="1" x14ac:dyDescent="0.3">
      <c r="A431" s="902" t="s">
        <v>413</v>
      </c>
      <c r="B431" s="903">
        <f t="shared" ref="B431:I431" si="256">SUM(B417:B430)</f>
        <v>611697</v>
      </c>
      <c r="C431" s="904">
        <f t="shared" si="256"/>
        <v>430326.70999999996</v>
      </c>
      <c r="D431" s="904">
        <f t="shared" si="256"/>
        <v>606481</v>
      </c>
      <c r="E431" s="904">
        <f t="shared" si="256"/>
        <v>365149</v>
      </c>
      <c r="F431" s="1047">
        <f t="shared" si="256"/>
        <v>592845</v>
      </c>
      <c r="G431" s="1047">
        <f t="shared" si="256"/>
        <v>381292.63</v>
      </c>
      <c r="H431" s="904">
        <f t="shared" si="256"/>
        <v>603740</v>
      </c>
      <c r="I431" s="905">
        <f t="shared" si="256"/>
        <v>0</v>
      </c>
      <c r="J431" s="906">
        <f>SUM(J417:J429)</f>
        <v>660431.88</v>
      </c>
      <c r="K431" s="906">
        <f>SUM(K417:K429)</f>
        <v>0</v>
      </c>
      <c r="L431" s="907">
        <f>SUM(L417:L419)+SUM(L427:L430)</f>
        <v>497651.15</v>
      </c>
      <c r="M431" s="907">
        <f>SUM(M417:M419)+SUM(M427:M430)</f>
        <v>664979</v>
      </c>
      <c r="N431" s="1105">
        <f>SUM(N417:N419)+SUM(N427:N430)</f>
        <v>691916</v>
      </c>
      <c r="O431" s="1105">
        <f>SUM(O417:O419)+SUM(O427:O430)</f>
        <v>691916</v>
      </c>
      <c r="P431" s="1105">
        <f>SUM(P417:P419)+SUM(P427:P430)</f>
        <v>700642</v>
      </c>
      <c r="Q431" s="1105">
        <f>IF(SUM(Q417:Q419)+SUM(Q427:Q430)=0,P431,SUM(Q417:Q419)+SUM(Q427:Q430))</f>
        <v>700642</v>
      </c>
      <c r="R431" s="1105">
        <f>SUM(R417:R419)+SUM(R427:R430)</f>
        <v>729697</v>
      </c>
      <c r="S431" s="1105">
        <f>IF(SUM(S417:S419)+SUM(S427:S430)=0,R431,SUM(S417:S419)+SUM(S427:S430))</f>
        <v>728611</v>
      </c>
      <c r="T431" s="1105">
        <v>773081</v>
      </c>
      <c r="U431" s="1105">
        <v>773081</v>
      </c>
      <c r="V431" s="1105">
        <f>SUM(V417:V419)+SUM(V427:V430)</f>
        <v>853157</v>
      </c>
      <c r="W431" s="1105">
        <f>IF(SUM(W417:W419)+SUM(W427:W430)=0,V431,SUM(W417:W419)+SUM(W427:W430))</f>
        <v>853157</v>
      </c>
      <c r="X431" s="1105">
        <f>SUM(X417:X419)+SUM(X427:X430)</f>
        <v>891841</v>
      </c>
      <c r="Y431" s="1105">
        <f>IF(SUM(Y417:Y419)+SUM(Y427:Y430)=0,X431,SUM(Y417:Y419)+SUM(Y427:Y430))</f>
        <v>891842</v>
      </c>
      <c r="Z431" s="1105">
        <f>SUM(Z417:Z419)+SUM(Z427:Z430)</f>
        <v>1055626</v>
      </c>
      <c r="AA431" s="1105">
        <f>IF(SUM(AA417:AA419)+SUM(AA427:AA430)=0,Z431,SUM(AA417:AA419)+SUM(AA427:AA430))</f>
        <v>1055626</v>
      </c>
      <c r="AB431" s="1105">
        <f>SUM(AB417:AB419)+SUM(AB427:AB430)</f>
        <v>1196604</v>
      </c>
      <c r="AC431" s="1105">
        <f>IF(SUM(AC417:AC419)+SUM(AC427:AC430)=0,AB431,SUM(AC417:AC419)+SUM(AC427:AC430))</f>
        <v>1196604</v>
      </c>
      <c r="AD431" s="1105"/>
      <c r="AE431" s="1105">
        <v>1322443.08</v>
      </c>
      <c r="AF431" s="1105">
        <v>1322443.08</v>
      </c>
      <c r="AG431" s="1105">
        <v>1612141</v>
      </c>
      <c r="AH431" s="1105">
        <v>1612141</v>
      </c>
      <c r="AI431" s="1105">
        <v>1936281</v>
      </c>
      <c r="AJ431" s="1105">
        <v>1936281</v>
      </c>
      <c r="AK431" s="1105">
        <v>1520457</v>
      </c>
      <c r="AL431" s="1105">
        <v>2111135</v>
      </c>
      <c r="AM431" s="1105">
        <f>IF(SUM(AM417:AM419)+SUM(AM427:AM430)=0,AL431,SUM(AM417:AM419)+SUM(AM427:AM430))</f>
        <v>2111135</v>
      </c>
      <c r="AN431" s="1105">
        <f>IF(SUM(AN417:AN419)+SUM(AN427:AN430)=0,AM431,SUM(AN417:AN419)+SUM(AN427:AN430))</f>
        <v>2107291</v>
      </c>
      <c r="AO431" s="1105">
        <f>IF(SUM(AO417:AO419)+SUM(AO427:AO430)=0,AN431,SUM(AO417:AO419)+SUM(AO427:AO430))</f>
        <v>2107291</v>
      </c>
      <c r="AP431" s="1105">
        <f>IF(SUM(AP417:AP419)+SUM(AP427:AP430)=0,AO431,SUM(AP417:AP419)+SUM(AP427:AP430))</f>
        <v>2056919.25</v>
      </c>
      <c r="AQ431" s="1105"/>
      <c r="AR431" s="1105">
        <f>IF(SUM(AR417:AR419)+SUM(AR427:AR430)=0,AQ431,SUM(AR417:AR419)+SUM(AR427:AR430))</f>
        <v>2123955</v>
      </c>
      <c r="AS431" s="1650"/>
      <c r="AT431" s="1105">
        <f>IF(SUM(AT417:AT419)+SUM(AT427:AT430)=0,AS431,SUM(AT417:AT419)+SUM(AT427:AT430))</f>
        <v>2197897</v>
      </c>
      <c r="AU431" s="1087">
        <f t="shared" si="236"/>
        <v>73942</v>
      </c>
      <c r="AV431" s="2306">
        <f>IF(AR431&gt;0,AU431/AR431,"")</f>
        <v>3.4813355273534512E-2</v>
      </c>
      <c r="AW431" s="1124" t="s">
        <v>138</v>
      </c>
      <c r="AX431" s="2016"/>
      <c r="AY431" s="2016"/>
      <c r="AZ431" s="2016"/>
      <c r="BA431" s="2518">
        <f>POWER(AT431/AJ431,1/5)-1</f>
        <v>2.5670324773235498E-2</v>
      </c>
      <c r="BB431" s="2518">
        <f>POWER(AT431/AA431,1/9)-1</f>
        <v>8.4897189702657361E-2</v>
      </c>
      <c r="BC431" s="2332"/>
    </row>
    <row r="432" spans="1:55" ht="14" customHeight="1" thickTop="1" x14ac:dyDescent="0.25">
      <c r="A432" s="1125"/>
      <c r="C432" s="1126"/>
      <c r="E432" s="1126"/>
      <c r="G432" s="1126"/>
      <c r="I432" s="1126"/>
      <c r="J432" s="876"/>
      <c r="K432" s="1127"/>
      <c r="L432" s="1128"/>
      <c r="M432" s="1128"/>
      <c r="N432" s="1128"/>
      <c r="O432" s="1127"/>
      <c r="P432" s="1127"/>
      <c r="Q432" s="1127"/>
      <c r="R432" s="1127"/>
      <c r="S432" s="1127"/>
      <c r="T432" s="1127"/>
      <c r="U432" s="1127"/>
      <c r="V432" s="1127"/>
      <c r="W432" s="1127"/>
      <c r="X432" s="1127" t="s">
        <v>160</v>
      </c>
      <c r="Y432" s="1127"/>
      <c r="Z432" s="1127"/>
      <c r="AA432" s="1127"/>
      <c r="AB432" s="1127"/>
      <c r="AC432" s="1127"/>
      <c r="AD432" s="1127"/>
      <c r="AE432" s="1127"/>
      <c r="AF432" s="1127"/>
      <c r="AG432" s="1127"/>
      <c r="AH432" s="1127"/>
      <c r="AI432" s="1127"/>
      <c r="AJ432" s="1127"/>
      <c r="AK432" s="1127"/>
      <c r="AL432" s="1127"/>
      <c r="AM432" s="1127"/>
      <c r="AN432" s="1127"/>
      <c r="AO432" s="1127"/>
      <c r="AP432" s="1127"/>
      <c r="AQ432" s="1127"/>
      <c r="AR432" s="1127"/>
      <c r="AS432" s="1127"/>
      <c r="AT432" s="828"/>
      <c r="AU432" s="1127" t="str">
        <f t="shared" si="236"/>
        <v/>
      </c>
      <c r="AV432" s="2307" t="str">
        <f t="shared" si="240"/>
        <v/>
      </c>
      <c r="AW432" s="1129"/>
      <c r="AX432" s="2016"/>
      <c r="AY432" s="2016"/>
      <c r="AZ432" s="2016"/>
      <c r="BA432" s="2016"/>
      <c r="BB432" s="2016"/>
    </row>
    <row r="433" spans="1:57" ht="14" customHeight="1" collapsed="1" thickBot="1" x14ac:dyDescent="0.3">
      <c r="A433" s="967" t="s">
        <v>414</v>
      </c>
      <c r="B433" s="968">
        <v>59516</v>
      </c>
      <c r="C433" s="968">
        <v>59099</v>
      </c>
      <c r="D433" s="968">
        <v>82051</v>
      </c>
      <c r="E433" s="968">
        <v>66443.429999999993</v>
      </c>
      <c r="F433" s="1011">
        <v>56565</v>
      </c>
      <c r="G433" s="1011">
        <v>54388</v>
      </c>
      <c r="H433" s="1011">
        <v>46517</v>
      </c>
      <c r="I433" s="1012">
        <v>45166</v>
      </c>
      <c r="J433" s="1130">
        <v>23751</v>
      </c>
      <c r="K433" s="976"/>
      <c r="L433" s="974">
        <v>36289.19</v>
      </c>
      <c r="M433" s="1131">
        <v>44922</v>
      </c>
      <c r="N433" s="1132">
        <v>47579</v>
      </c>
      <c r="O433" s="976">
        <f>N433</f>
        <v>47579</v>
      </c>
      <c r="P433" s="976">
        <v>88184</v>
      </c>
      <c r="Q433" s="976">
        <f>P433</f>
        <v>88184</v>
      </c>
      <c r="R433" s="1133">
        <f>76238</f>
        <v>76238</v>
      </c>
      <c r="S433" s="976">
        <f>75400+838</f>
        <v>76238</v>
      </c>
      <c r="T433" s="1134">
        <v>65469</v>
      </c>
      <c r="U433" s="1134">
        <v>65469</v>
      </c>
      <c r="V433" s="1133">
        <v>65469</v>
      </c>
      <c r="W433" s="976">
        <v>50948</v>
      </c>
      <c r="X433" s="976">
        <v>232000</v>
      </c>
      <c r="Y433" s="976">
        <f>151373+37391</f>
        <v>188764</v>
      </c>
      <c r="Z433" s="976">
        <f>123904+25247+22912+3338</f>
        <v>175401</v>
      </c>
      <c r="AA433" s="976">
        <f>Z433</f>
        <v>175401</v>
      </c>
      <c r="AB433" s="976">
        <v>191263</v>
      </c>
      <c r="AC433" s="976">
        <f>AB433</f>
        <v>191263</v>
      </c>
      <c r="AD433" s="976"/>
      <c r="AE433" s="976">
        <v>230942</v>
      </c>
      <c r="AF433" s="976">
        <v>191263</v>
      </c>
      <c r="AG433" s="976">
        <v>260101</v>
      </c>
      <c r="AH433" s="976">
        <v>260101</v>
      </c>
      <c r="AI433" s="976">
        <v>302815</v>
      </c>
      <c r="AJ433" s="976">
        <v>302815</v>
      </c>
      <c r="AK433" s="976">
        <v>311899.45</v>
      </c>
      <c r="AL433" s="976">
        <v>311899.45</v>
      </c>
      <c r="AM433" s="976">
        <f>AL433*$AK$4</f>
        <v>321256.43350000004</v>
      </c>
      <c r="AN433" s="976">
        <v>419370</v>
      </c>
      <c r="AO433" s="976">
        <v>431951.10000000003</v>
      </c>
      <c r="AP433" s="976">
        <v>442571</v>
      </c>
      <c r="AQ433" s="976"/>
      <c r="AR433" s="976">
        <v>498292</v>
      </c>
      <c r="AS433" s="1651"/>
      <c r="AT433" s="973">
        <v>446717</v>
      </c>
      <c r="AU433" s="976">
        <f t="shared" si="236"/>
        <v>-51575</v>
      </c>
      <c r="AV433" s="2308">
        <f t="shared" si="240"/>
        <v>-0.1035035681889334</v>
      </c>
      <c r="AW433" s="1124"/>
      <c r="AX433" s="2016"/>
      <c r="AY433" s="2016"/>
      <c r="AZ433" s="2016"/>
      <c r="BA433" s="2518">
        <f>POWER(AT433/AJ433,1/5)-1</f>
        <v>8.0863917849353317E-2</v>
      </c>
      <c r="BB433" s="2518">
        <f>POWER(AT433/AA433,1/9)-1</f>
        <v>0.1094587437389285</v>
      </c>
    </row>
    <row r="434" spans="1:57" ht="14" customHeight="1" thickTop="1" thickBot="1" x14ac:dyDescent="0.3">
      <c r="A434" s="1135"/>
      <c r="B434" s="751"/>
      <c r="C434" s="1136"/>
      <c r="D434" s="751"/>
      <c r="E434" s="1136"/>
      <c r="F434" s="1136"/>
      <c r="G434" s="1136"/>
      <c r="H434" s="751"/>
      <c r="I434" s="1136"/>
      <c r="J434" s="1137"/>
      <c r="K434" s="1138"/>
      <c r="L434" s="1139"/>
      <c r="M434" s="1140"/>
      <c r="N434" s="1139"/>
      <c r="O434" s="1138"/>
      <c r="P434" s="1138"/>
      <c r="Q434" s="1138"/>
      <c r="R434" s="1138"/>
      <c r="S434" s="1138"/>
      <c r="T434" s="1138"/>
      <c r="U434" s="1138"/>
      <c r="V434" s="1138"/>
      <c r="W434" s="1138"/>
      <c r="X434" s="1138"/>
      <c r="Y434" s="1138"/>
      <c r="Z434" s="1138"/>
      <c r="AA434" s="1138"/>
      <c r="AB434" s="1138"/>
      <c r="AC434" s="1138"/>
      <c r="AD434" s="1138"/>
      <c r="AE434" s="1138"/>
      <c r="AF434" s="1138"/>
      <c r="AG434" s="1138"/>
      <c r="AH434" s="1138"/>
      <c r="AI434" s="1138"/>
      <c r="AJ434" s="1138"/>
      <c r="AK434" s="1138"/>
      <c r="AL434" s="1138"/>
      <c r="AM434" s="1138"/>
      <c r="AN434" s="1138"/>
      <c r="AO434" s="1138"/>
      <c r="AP434" s="1138"/>
      <c r="AQ434" s="1138"/>
      <c r="AR434" s="1138"/>
      <c r="AS434" s="1138"/>
      <c r="AT434" s="2360"/>
      <c r="AU434" s="1138" t="str">
        <f t="shared" si="236"/>
        <v/>
      </c>
      <c r="AV434" s="2309" t="str">
        <f t="shared" si="240"/>
        <v/>
      </c>
      <c r="AW434" s="1141"/>
      <c r="AX434" s="2016"/>
      <c r="AY434" s="2016"/>
      <c r="AZ434" s="2016"/>
      <c r="BA434" s="2016"/>
      <c r="BB434" s="2016"/>
    </row>
    <row r="435" spans="1:57" ht="14" customHeight="1" collapsed="1" x14ac:dyDescent="0.25">
      <c r="A435" s="1142" t="s">
        <v>415</v>
      </c>
      <c r="B435" s="773"/>
      <c r="C435" s="833"/>
      <c r="D435" s="773"/>
      <c r="E435" s="833"/>
      <c r="F435" s="1143"/>
      <c r="G435" s="1143"/>
      <c r="H435" s="773"/>
      <c r="I435" s="1143"/>
      <c r="J435" s="814"/>
      <c r="K435" s="827"/>
      <c r="L435" s="863"/>
      <c r="M435" s="1144"/>
      <c r="N435" s="863"/>
      <c r="O435" s="827"/>
      <c r="P435" s="827"/>
      <c r="Q435" s="827"/>
      <c r="R435" s="827"/>
      <c r="S435" s="827"/>
      <c r="T435" s="827"/>
      <c r="U435" s="827"/>
      <c r="V435" s="827"/>
      <c r="W435" s="827"/>
      <c r="X435" s="827"/>
      <c r="Y435" s="827"/>
      <c r="Z435" s="827"/>
      <c r="AA435" s="827"/>
      <c r="AB435" s="827"/>
      <c r="AC435" s="827"/>
      <c r="AD435" s="827"/>
      <c r="AE435" s="827"/>
      <c r="AF435" s="827"/>
      <c r="AG435" s="827"/>
      <c r="AH435" s="827"/>
      <c r="AI435" s="827"/>
      <c r="AJ435" s="827"/>
      <c r="AK435" s="827"/>
      <c r="AL435" s="827"/>
      <c r="AM435" s="827"/>
      <c r="AN435" s="827"/>
      <c r="AO435" s="827"/>
      <c r="AP435" s="827"/>
      <c r="AQ435" s="827"/>
      <c r="AR435" s="827"/>
      <c r="AS435" s="1127"/>
      <c r="AT435" s="828"/>
      <c r="AU435" s="827" t="str">
        <f t="shared" si="236"/>
        <v/>
      </c>
      <c r="AV435" s="2277" t="str">
        <f t="shared" si="240"/>
        <v/>
      </c>
      <c r="AW435" s="1129"/>
      <c r="AX435" s="2016"/>
      <c r="AY435" s="2016"/>
      <c r="AZ435" s="2016"/>
      <c r="BA435" s="2016"/>
      <c r="BB435" s="2016"/>
      <c r="BC435" s="2011"/>
    </row>
    <row r="436" spans="1:57" ht="14" customHeight="1" x14ac:dyDescent="0.25">
      <c r="A436" s="1142" t="s">
        <v>416</v>
      </c>
      <c r="B436" s="773">
        <v>3427360</v>
      </c>
      <c r="C436" s="1145">
        <v>3427360</v>
      </c>
      <c r="D436" s="773">
        <v>3684035</v>
      </c>
      <c r="E436" s="1145">
        <v>3684035</v>
      </c>
      <c r="F436" s="1146">
        <v>4046631</v>
      </c>
      <c r="G436" s="1146">
        <v>4046631</v>
      </c>
      <c r="H436" s="773">
        <v>4332816</v>
      </c>
      <c r="I436" s="1146">
        <v>4271964</v>
      </c>
      <c r="J436" s="1147">
        <v>4603105</v>
      </c>
      <c r="K436" s="827" t="s">
        <v>455</v>
      </c>
      <c r="L436" s="1043">
        <f>5065314</f>
        <v>5065314</v>
      </c>
      <c r="M436" s="1043">
        <v>5400305</v>
      </c>
      <c r="N436" s="1076">
        <v>5542369</v>
      </c>
      <c r="O436" s="827">
        <f>N436</f>
        <v>5542369</v>
      </c>
      <c r="P436" s="827">
        <v>5697246</v>
      </c>
      <c r="Q436" s="827">
        <f>P436</f>
        <v>5697246</v>
      </c>
      <c r="R436" s="1148">
        <f>6197599-314828</f>
        <v>5882771</v>
      </c>
      <c r="S436" s="827">
        <f>6121408-S437</f>
        <v>5806580</v>
      </c>
      <c r="T436" s="827">
        <v>5951744.4999999991</v>
      </c>
      <c r="U436" s="827">
        <v>5871969</v>
      </c>
      <c r="V436" s="1148">
        <v>5939690</v>
      </c>
      <c r="W436" s="827">
        <f>V436</f>
        <v>5939690</v>
      </c>
      <c r="X436" s="1148">
        <v>6133337</v>
      </c>
      <c r="Y436" s="1148">
        <f>X436</f>
        <v>6133337</v>
      </c>
      <c r="Z436" s="1148">
        <f>Y436*(1+5/100)</f>
        <v>6440003.8500000006</v>
      </c>
      <c r="AA436" s="1148">
        <v>6632904</v>
      </c>
      <c r="AB436" s="1148">
        <v>6739123</v>
      </c>
      <c r="AC436" s="1148">
        <f>AB436</f>
        <v>6739123</v>
      </c>
      <c r="AD436" s="1148"/>
      <c r="AE436" s="1149">
        <v>6910111</v>
      </c>
      <c r="AF436" s="1148"/>
      <c r="AG436" s="1148">
        <v>7286699</v>
      </c>
      <c r="AH436" s="1148">
        <v>7286699</v>
      </c>
      <c r="AI436" s="1149">
        <v>7408262</v>
      </c>
      <c r="AJ436" s="1149">
        <v>7408262</v>
      </c>
      <c r="AK436" s="1563">
        <v>7745304.9999999721</v>
      </c>
      <c r="AL436" s="1149">
        <v>7745304.9999999721</v>
      </c>
      <c r="AM436" s="1149">
        <f>$AK$3*AL436</f>
        <v>8093843.7249999698</v>
      </c>
      <c r="AN436" s="1149">
        <v>8394366</v>
      </c>
      <c r="AO436" s="1149">
        <v>8625211.0650000013</v>
      </c>
      <c r="AP436" s="1149">
        <f>8776843+1</f>
        <v>8776844</v>
      </c>
      <c r="AQ436" s="1149">
        <f>$AK$3*AP436</f>
        <v>9171801.9799999986</v>
      </c>
      <c r="AR436" s="1563">
        <v>9123180</v>
      </c>
      <c r="AS436" s="1652">
        <f>$AK$3*AR436</f>
        <v>9533723.0999999996</v>
      </c>
      <c r="AT436" s="2361">
        <v>9760623</v>
      </c>
      <c r="AU436" s="1563">
        <f t="shared" si="236"/>
        <v>637443</v>
      </c>
      <c r="AV436" s="2310">
        <f>IF(AR436&gt;0,AU436/AR436,"")</f>
        <v>6.9870702978566679E-2</v>
      </c>
      <c r="AW436" s="2090"/>
      <c r="AX436" s="2016"/>
      <c r="AY436" s="2122"/>
      <c r="AZ436" s="2122"/>
      <c r="BA436" s="2518">
        <f>POWER(AT436/AJ436,1/5)-1</f>
        <v>5.6701298503704534E-2</v>
      </c>
      <c r="BB436" s="2518">
        <f>POWER(AT436/AA436,1/9)-1</f>
        <v>4.3858270133178001E-2</v>
      </c>
      <c r="BC436" s="2239"/>
      <c r="BD436" s="2525">
        <f>(1+BB436)/'Masco Calculation'!O6-1</f>
        <v>5.9179799800160859E-2</v>
      </c>
      <c r="BE436" s="1" t="s">
        <v>1286</v>
      </c>
    </row>
    <row r="437" spans="1:57" ht="14" customHeight="1" x14ac:dyDescent="0.25">
      <c r="A437" s="1150" t="s">
        <v>417</v>
      </c>
      <c r="B437" s="791">
        <v>591425</v>
      </c>
      <c r="C437" s="796">
        <v>591425</v>
      </c>
      <c r="D437" s="792">
        <v>565080</v>
      </c>
      <c r="E437" s="796">
        <v>565080</v>
      </c>
      <c r="F437" s="801">
        <v>768639</v>
      </c>
      <c r="G437" s="801">
        <v>443898.25</v>
      </c>
      <c r="H437" s="792">
        <v>476216</v>
      </c>
      <c r="I437" s="801">
        <v>476215</v>
      </c>
      <c r="J437" s="1151">
        <v>485609.5</v>
      </c>
      <c r="K437" s="1094">
        <v>38797</v>
      </c>
      <c r="L437" s="1043">
        <v>327268</v>
      </c>
      <c r="M437" s="1043">
        <v>334829</v>
      </c>
      <c r="N437" s="1076">
        <v>328085</v>
      </c>
      <c r="O437" s="827">
        <f>N437</f>
        <v>328085</v>
      </c>
      <c r="P437" s="827">
        <v>315815</v>
      </c>
      <c r="Q437" s="827">
        <f>P437</f>
        <v>315815</v>
      </c>
      <c r="R437" s="827">
        <v>314827.90000000002</v>
      </c>
      <c r="S437" s="827">
        <v>314828</v>
      </c>
      <c r="T437" s="827">
        <v>314827.90000000002</v>
      </c>
      <c r="U437" s="827">
        <v>301102</v>
      </c>
      <c r="V437" s="827">
        <v>298002</v>
      </c>
      <c r="W437" s="827">
        <f>V437</f>
        <v>298002</v>
      </c>
      <c r="X437" s="827">
        <v>288183</v>
      </c>
      <c r="Y437" s="827">
        <f>X437</f>
        <v>288183</v>
      </c>
      <c r="Z437" s="827">
        <v>290597</v>
      </c>
      <c r="AA437" s="827">
        <v>290597</v>
      </c>
      <c r="AB437" s="827">
        <v>286226</v>
      </c>
      <c r="AC437" s="827">
        <f>AB437</f>
        <v>286226</v>
      </c>
      <c r="AD437" s="827"/>
      <c r="AE437" s="827">
        <v>297356</v>
      </c>
      <c r="AF437" s="827"/>
      <c r="AG437" s="827">
        <v>292713.78999999998</v>
      </c>
      <c r="AH437" s="827">
        <v>292713.78999999998</v>
      </c>
      <c r="AI437" s="827">
        <v>285306</v>
      </c>
      <c r="AJ437" s="827">
        <v>285306</v>
      </c>
      <c r="AK437" s="827">
        <v>80537.2696</v>
      </c>
      <c r="AL437" s="827">
        <v>80537.2696</v>
      </c>
      <c r="AM437" s="827">
        <f>'LONG-TERM DEBT'!AE172</f>
        <v>83809.82699999999</v>
      </c>
      <c r="AN437" s="827">
        <v>82467</v>
      </c>
      <c r="AO437" s="827">
        <f>'LONG-TERM DEBT'!AF172</f>
        <v>228708.37499999997</v>
      </c>
      <c r="AP437" s="827"/>
      <c r="AQ437" s="827"/>
      <c r="AR437" s="827"/>
      <c r="AS437" s="1127"/>
      <c r="AT437" s="828"/>
      <c r="AU437" s="827" t="str">
        <f t="shared" si="236"/>
        <v/>
      </c>
      <c r="AV437" s="2277" t="str">
        <f t="shared" si="240"/>
        <v/>
      </c>
      <c r="AW437" s="1152"/>
      <c r="AX437" s="2016"/>
      <c r="AY437" s="2016"/>
      <c r="AZ437" s="2016"/>
      <c r="BA437" s="2016"/>
      <c r="BB437" s="2016"/>
      <c r="BC437" s="2011"/>
      <c r="BD437" s="2525">
        <f>(1+BA436)/0.9954-1</f>
        <v>6.1584587606695385E-2</v>
      </c>
      <c r="BE437" s="1" t="s">
        <v>1287</v>
      </c>
    </row>
    <row r="438" spans="1:57" ht="14" customHeight="1" thickBot="1" x14ac:dyDescent="0.3">
      <c r="A438" s="1153" t="s">
        <v>284</v>
      </c>
      <c r="B438" s="904">
        <f>SUM(B436:B437)</f>
        <v>4018785</v>
      </c>
      <c r="C438" s="904">
        <f>SUM(C436:C437)</f>
        <v>4018785</v>
      </c>
      <c r="D438" s="904">
        <f t="shared" ref="D438:I438" si="257">SUM(D436:D437)</f>
        <v>4249115</v>
      </c>
      <c r="E438" s="904">
        <f t="shared" si="257"/>
        <v>4249115</v>
      </c>
      <c r="F438" s="904">
        <f t="shared" si="257"/>
        <v>4815270</v>
      </c>
      <c r="G438" s="904">
        <v>4490529.25</v>
      </c>
      <c r="H438" s="904">
        <f t="shared" si="257"/>
        <v>4809032</v>
      </c>
      <c r="I438" s="905">
        <f t="shared" si="257"/>
        <v>4748179</v>
      </c>
      <c r="J438" s="1154">
        <f t="shared" ref="J438:P438" si="258">SUM(J436:J437)</f>
        <v>5088714.5</v>
      </c>
      <c r="K438" s="1154">
        <f t="shared" si="258"/>
        <v>38797</v>
      </c>
      <c r="L438" s="1067">
        <f t="shared" si="258"/>
        <v>5392582</v>
      </c>
      <c r="M438" s="1067">
        <f t="shared" si="258"/>
        <v>5735134</v>
      </c>
      <c r="N438" s="1105">
        <f t="shared" si="258"/>
        <v>5870454</v>
      </c>
      <c r="O438" s="1105">
        <f t="shared" si="258"/>
        <v>5870454</v>
      </c>
      <c r="P438" s="1105">
        <f t="shared" si="258"/>
        <v>6013061</v>
      </c>
      <c r="Q438" s="1155">
        <f>SUM(Q436,Q437)</f>
        <v>6013061</v>
      </c>
      <c r="R438" s="1105">
        <f>SUM(R436:R437)</f>
        <v>6197598.9000000004</v>
      </c>
      <c r="S438" s="1105">
        <f>SUM(S436:S437)</f>
        <v>6121408</v>
      </c>
      <c r="T438" s="1105">
        <v>6266572.3999999994</v>
      </c>
      <c r="U438" s="1105">
        <v>6173071</v>
      </c>
      <c r="V438" s="1105">
        <f t="shared" ref="V438:AA438" si="259">SUM(V436:V437)</f>
        <v>6237692</v>
      </c>
      <c r="W438" s="1105">
        <f t="shared" si="259"/>
        <v>6237692</v>
      </c>
      <c r="X438" s="1105">
        <f t="shared" si="259"/>
        <v>6421520</v>
      </c>
      <c r="Y438" s="1105">
        <f t="shared" si="259"/>
        <v>6421520</v>
      </c>
      <c r="Z438" s="1105">
        <f t="shared" si="259"/>
        <v>6730600.8500000006</v>
      </c>
      <c r="AA438" s="1105">
        <f t="shared" si="259"/>
        <v>6923501</v>
      </c>
      <c r="AB438" s="1105">
        <f t="shared" ref="AB438:AC438" si="260">SUM(AB436:AB437)</f>
        <v>7025349</v>
      </c>
      <c r="AC438" s="1105">
        <f t="shared" si="260"/>
        <v>7025349</v>
      </c>
      <c r="AD438" s="1105"/>
      <c r="AE438" s="1105">
        <v>7207467</v>
      </c>
      <c r="AF438" s="1105">
        <v>0</v>
      </c>
      <c r="AG438" s="1105">
        <v>7579412.79</v>
      </c>
      <c r="AH438" s="1105">
        <v>7579412.79</v>
      </c>
      <c r="AI438" s="1105">
        <v>7693568</v>
      </c>
      <c r="AJ438" s="1105">
        <v>7693568</v>
      </c>
      <c r="AK438" s="1105">
        <v>7825842.2695999723</v>
      </c>
      <c r="AL438" s="1105">
        <v>7825842.2695999723</v>
      </c>
      <c r="AM438" s="1105">
        <f>SUM(AM436:AM437)</f>
        <v>8177653.5519999694</v>
      </c>
      <c r="AN438" s="1105">
        <f>SUM(AN436:AN437)</f>
        <v>8476833</v>
      </c>
      <c r="AO438" s="1105">
        <f>SUM(AO436:AO437)</f>
        <v>8853919.4400000013</v>
      </c>
      <c r="AP438" s="1105">
        <f>SUM(AP436:AP437)</f>
        <v>8776844</v>
      </c>
      <c r="AQ438" s="1105">
        <f t="shared" ref="AQ438:AR438" si="261">SUM(AQ436:AQ437)</f>
        <v>9171801.9799999986</v>
      </c>
      <c r="AR438" s="1105">
        <f t="shared" si="261"/>
        <v>9123180</v>
      </c>
      <c r="AS438" s="1650">
        <f t="shared" ref="AS438" si="262">SUM(AS436:AS437)</f>
        <v>9533723.0999999996</v>
      </c>
      <c r="AT438" s="1105">
        <f>AT436</f>
        <v>9760623</v>
      </c>
      <c r="AU438" s="1087">
        <f t="shared" si="236"/>
        <v>637443</v>
      </c>
      <c r="AV438" s="2306">
        <f t="shared" si="240"/>
        <v>6.9870702978566679E-2</v>
      </c>
      <c r="AW438" s="1124"/>
      <c r="AX438" s="2016"/>
      <c r="AY438" s="2016"/>
      <c r="AZ438" s="2016"/>
      <c r="BA438" s="2518">
        <f>POWER(AT438/AJ438,1/5)-1</f>
        <v>4.8745108904096002E-2</v>
      </c>
      <c r="BB438" s="2518">
        <f>POWER(AT438/AA438,1/9)-1</f>
        <v>3.889682719935772E-2</v>
      </c>
      <c r="BC438" s="2011"/>
    </row>
    <row r="439" spans="1:57" ht="14" customHeight="1" collapsed="1" thickTop="1" x14ac:dyDescent="0.25">
      <c r="A439" s="1156"/>
      <c r="G439" s="1157"/>
      <c r="H439" s="1157"/>
      <c r="K439" s="1110"/>
      <c r="L439" s="1023"/>
      <c r="M439" s="1023"/>
      <c r="N439" s="1023"/>
      <c r="O439" s="1110"/>
      <c r="P439" s="1110"/>
      <c r="Q439" s="1110"/>
      <c r="R439" s="1110"/>
      <c r="S439" s="1110"/>
      <c r="T439" s="1110"/>
      <c r="U439" s="1110"/>
      <c r="V439" s="1110"/>
      <c r="W439" s="1110"/>
      <c r="X439" s="1110"/>
      <c r="Y439" s="1110"/>
      <c r="Z439" s="1110"/>
      <c r="AA439" s="1110"/>
      <c r="AB439" s="1110"/>
      <c r="AC439" s="1110"/>
      <c r="AD439" s="1110"/>
      <c r="AE439" s="1110"/>
      <c r="AF439" s="1110"/>
      <c r="AG439" s="1110"/>
      <c r="AH439" s="1110"/>
      <c r="AI439" s="1110"/>
      <c r="AJ439" s="1110"/>
      <c r="AK439" s="1110"/>
      <c r="AL439" s="1609"/>
      <c r="AM439" s="1110"/>
      <c r="AN439" s="1110"/>
      <c r="AO439" s="1110"/>
      <c r="AP439" s="1110"/>
      <c r="AQ439" s="1110"/>
      <c r="AR439" s="1110"/>
      <c r="AS439" s="1110"/>
      <c r="AT439" s="1110"/>
      <c r="AU439" s="1110"/>
      <c r="AV439" s="2302"/>
      <c r="AX439" s="2016" t="str">
        <f>IF('Vote track budget'!F439+'Vote track budget'!I439=0,"",'Vote track budget'!F439+'Vote track budget'!I439)</f>
        <v/>
      </c>
      <c r="AY439" s="2016"/>
      <c r="AZ439" s="2016"/>
      <c r="BA439" s="2016"/>
      <c r="BB439" s="2016"/>
    </row>
    <row r="440" spans="1:57" ht="14" customHeight="1" x14ac:dyDescent="0.25">
      <c r="A440" s="1125"/>
      <c r="K440" s="1110"/>
      <c r="L440" s="1023"/>
      <c r="M440" s="1023"/>
      <c r="N440" s="1023"/>
      <c r="O440" s="1110"/>
      <c r="P440" s="1110"/>
      <c r="Q440" s="1110"/>
      <c r="R440" s="1110"/>
      <c r="S440" s="1110"/>
      <c r="T440" s="1110"/>
      <c r="U440" s="1110"/>
      <c r="V440" s="1110"/>
      <c r="W440" s="1110"/>
      <c r="X440" s="1110"/>
      <c r="Y440" s="1110"/>
      <c r="Z440" s="1110"/>
      <c r="AA440" s="1110"/>
      <c r="AB440" s="1110"/>
      <c r="AC440" s="1110"/>
      <c r="AD440" s="1110"/>
      <c r="AE440" s="1110"/>
      <c r="AF440" s="1110"/>
      <c r="AG440" s="1110"/>
      <c r="AH440" s="1110"/>
      <c r="AI440" s="1110"/>
      <c r="AJ440" s="1110"/>
      <c r="AK440" s="1110"/>
      <c r="AL440" s="1610"/>
      <c r="AM440" s="1110"/>
      <c r="AN440" s="1110"/>
      <c r="AO440" s="1110"/>
      <c r="AP440" s="1110"/>
      <c r="AQ440" s="1110"/>
      <c r="AR440" s="1110"/>
      <c r="AS440" s="1110"/>
      <c r="AT440" s="1110"/>
      <c r="AU440" s="1110"/>
      <c r="AV440" s="1110"/>
      <c r="AW440" s="1110"/>
      <c r="AX440" s="2016"/>
      <c r="AY440" s="2016"/>
      <c r="AZ440" s="2016"/>
      <c r="BA440" s="2016"/>
      <c r="BB440" s="2016"/>
      <c r="BC440" s="2037"/>
    </row>
    <row r="441" spans="1:57" ht="14.25" customHeight="1" x14ac:dyDescent="0.25">
      <c r="A441" s="1158"/>
      <c r="B441" s="802"/>
      <c r="C441" s="802"/>
      <c r="D441" s="795"/>
      <c r="E441" s="802"/>
      <c r="F441" s="802"/>
      <c r="G441" s="802"/>
      <c r="H441" s="802"/>
      <c r="I441" s="802"/>
      <c r="J441" s="1159"/>
      <c r="K441" s="1160"/>
      <c r="L441" s="988"/>
      <c r="M441" s="1023"/>
      <c r="N441" s="1023"/>
      <c r="O441" s="1160"/>
      <c r="P441" s="1160"/>
      <c r="Q441" s="1160"/>
      <c r="R441" s="1160"/>
      <c r="S441" s="1160"/>
      <c r="T441" s="1160"/>
      <c r="U441" s="1160"/>
      <c r="V441" s="1160"/>
      <c r="W441" s="1160"/>
      <c r="X441" s="1160"/>
      <c r="Y441" s="1160"/>
      <c r="Z441" s="1160"/>
      <c r="AA441" s="1160"/>
      <c r="AB441" s="1160"/>
      <c r="AC441" s="1160"/>
      <c r="AD441" s="1160"/>
      <c r="AE441" s="1160"/>
      <c r="AF441" s="1160"/>
      <c r="AG441" s="1160"/>
      <c r="AH441" s="1160"/>
      <c r="AI441" s="1160"/>
      <c r="AJ441" s="1160"/>
      <c r="AK441" s="1160"/>
      <c r="AL441" s="1160"/>
      <c r="AM441" s="1160"/>
      <c r="AN441" s="1160"/>
      <c r="AO441" s="1160"/>
      <c r="AP441" s="1160"/>
      <c r="AQ441" s="1110"/>
      <c r="AR441" s="1110"/>
      <c r="AS441" s="1110"/>
      <c r="AT441" s="2334"/>
      <c r="AU441" s="1110"/>
      <c r="AV441" s="1110"/>
      <c r="AW441" s="1110"/>
      <c r="AX441" s="2016"/>
      <c r="AY441" s="2016"/>
      <c r="AZ441" s="2016"/>
      <c r="BA441" s="2016"/>
      <c r="BB441" s="2016"/>
    </row>
    <row r="442" spans="1:57" ht="14.25" customHeight="1" x14ac:dyDescent="0.25">
      <c r="A442" s="1161" t="s">
        <v>285</v>
      </c>
      <c r="B442" s="1162"/>
      <c r="C442" s="1163"/>
      <c r="D442" s="1162"/>
      <c r="E442" s="1164"/>
      <c r="F442" s="1164"/>
      <c r="G442" s="1164" t="s">
        <v>58</v>
      </c>
      <c r="H442" s="1164" t="s">
        <v>58</v>
      </c>
      <c r="I442" s="1164"/>
      <c r="J442" s="1164" t="s">
        <v>319</v>
      </c>
      <c r="K442" s="1165" t="s">
        <v>319</v>
      </c>
      <c r="L442" s="1166" t="s">
        <v>266</v>
      </c>
      <c r="M442" s="1167" t="s">
        <v>382</v>
      </c>
      <c r="N442" s="1168" t="s">
        <v>177</v>
      </c>
      <c r="O442" s="1165" t="s">
        <v>177</v>
      </c>
      <c r="P442" s="1168" t="s">
        <v>186</v>
      </c>
      <c r="Q442" s="1165" t="s">
        <v>186</v>
      </c>
      <c r="R442" s="1168" t="s">
        <v>200</v>
      </c>
      <c r="S442" s="1165" t="s">
        <v>200</v>
      </c>
      <c r="T442" s="1165" t="s">
        <v>755</v>
      </c>
      <c r="U442" s="1165" t="s">
        <v>755</v>
      </c>
      <c r="V442" s="1168" t="s">
        <v>264</v>
      </c>
      <c r="W442" s="1165" t="s">
        <v>265</v>
      </c>
      <c r="X442" s="1168" t="s">
        <v>729</v>
      </c>
      <c r="Y442" s="1165" t="s">
        <v>729</v>
      </c>
      <c r="Z442" s="1168" t="s">
        <v>730</v>
      </c>
      <c r="AA442" s="1165" t="s">
        <v>730</v>
      </c>
      <c r="AB442" s="1168" t="s">
        <v>48</v>
      </c>
      <c r="AC442" s="1165" t="s">
        <v>48</v>
      </c>
      <c r="AD442" s="1168" t="s">
        <v>867</v>
      </c>
      <c r="AE442" s="1165" t="s">
        <v>867</v>
      </c>
      <c r="AF442" s="1169" t="s">
        <v>929</v>
      </c>
      <c r="AG442" s="1166"/>
      <c r="AH442" s="1166" t="s">
        <v>930</v>
      </c>
      <c r="AI442" s="1165" t="s">
        <v>972</v>
      </c>
      <c r="AJ442" s="1165" t="s">
        <v>972</v>
      </c>
      <c r="AK442" s="1165"/>
      <c r="AL442" s="1165"/>
      <c r="AM442" s="1165"/>
      <c r="AN442" s="1165"/>
      <c r="AO442" s="1165"/>
      <c r="AP442" s="1165"/>
      <c r="AQ442" s="1110"/>
      <c r="AR442" s="1110"/>
      <c r="AS442" s="1110"/>
      <c r="AT442" s="1110"/>
      <c r="AU442" s="1110"/>
      <c r="AV442" s="1110"/>
      <c r="AW442" s="1110"/>
      <c r="AX442" s="2016"/>
      <c r="AY442" s="2016"/>
      <c r="AZ442" s="2016"/>
      <c r="BA442" s="2016"/>
      <c r="BB442" s="2016"/>
      <c r="BC442" s="2038"/>
    </row>
    <row r="443" spans="1:57" ht="14.25" customHeight="1" x14ac:dyDescent="0.25">
      <c r="A443" s="1170" t="s">
        <v>151</v>
      </c>
      <c r="B443" s="1171"/>
      <c r="C443" s="1172"/>
      <c r="D443" s="1171"/>
      <c r="E443" s="1173"/>
      <c r="F443" s="1173"/>
      <c r="G443" s="1173" t="s">
        <v>59</v>
      </c>
      <c r="H443" s="1173" t="s">
        <v>312</v>
      </c>
      <c r="I443" s="1173"/>
      <c r="J443" s="1174" t="s">
        <v>59</v>
      </c>
      <c r="K443" s="1175" t="s">
        <v>59</v>
      </c>
      <c r="L443" s="1176" t="s">
        <v>59</v>
      </c>
      <c r="M443" s="1177" t="s">
        <v>59</v>
      </c>
      <c r="N443" s="1178" t="s">
        <v>59</v>
      </c>
      <c r="O443" s="1175" t="s">
        <v>312</v>
      </c>
      <c r="P443" s="1178" t="s">
        <v>59</v>
      </c>
      <c r="Q443" s="1175" t="s">
        <v>312</v>
      </c>
      <c r="R443" s="1178" t="s">
        <v>59</v>
      </c>
      <c r="S443" s="1175" t="s">
        <v>312</v>
      </c>
      <c r="T443" s="1175" t="s">
        <v>59</v>
      </c>
      <c r="U443" s="1175" t="s">
        <v>312</v>
      </c>
      <c r="V443" s="1178" t="s">
        <v>59</v>
      </c>
      <c r="W443" s="1175" t="s">
        <v>312</v>
      </c>
      <c r="X443" s="1178" t="s">
        <v>59</v>
      </c>
      <c r="Y443" s="1175" t="s">
        <v>312</v>
      </c>
      <c r="Z443" s="1178" t="s">
        <v>59</v>
      </c>
      <c r="AA443" s="1175" t="s">
        <v>312</v>
      </c>
      <c r="AB443" s="1178" t="s">
        <v>59</v>
      </c>
      <c r="AC443" s="1175" t="s">
        <v>312</v>
      </c>
      <c r="AD443" s="1178" t="s">
        <v>59</v>
      </c>
      <c r="AE443" s="1175" t="s">
        <v>312</v>
      </c>
      <c r="AF443" s="1176" t="s">
        <v>59</v>
      </c>
      <c r="AG443" s="1176"/>
      <c r="AH443" s="1176" t="s">
        <v>312</v>
      </c>
      <c r="AI443" s="1175" t="s">
        <v>59</v>
      </c>
      <c r="AJ443" s="1175" t="s">
        <v>312</v>
      </c>
      <c r="AK443" s="1175"/>
      <c r="AL443" s="1175"/>
      <c r="AM443" s="1175"/>
      <c r="AN443" s="1175"/>
      <c r="AO443" s="1175"/>
      <c r="AP443" s="1175"/>
      <c r="AQ443" s="1110"/>
      <c r="AR443" s="1110"/>
      <c r="AS443" s="1110"/>
      <c r="AT443" s="1110"/>
      <c r="AU443" s="1110"/>
      <c r="AV443" s="1110"/>
      <c r="AW443" s="1110"/>
      <c r="AX443" s="2016"/>
      <c r="AY443" s="2016"/>
      <c r="AZ443" s="2016"/>
      <c r="BA443" s="2016"/>
      <c r="BB443" s="2016"/>
      <c r="BC443" s="1173"/>
    </row>
    <row r="444" spans="1:57" ht="14.25" customHeight="1" x14ac:dyDescent="0.25">
      <c r="A444" s="1125"/>
      <c r="B444" s="1179"/>
      <c r="C444" s="1180"/>
      <c r="D444" s="773"/>
      <c r="E444" s="1181"/>
      <c r="F444" s="836"/>
      <c r="G444" s="836"/>
      <c r="H444" s="836"/>
      <c r="I444" s="1181"/>
      <c r="J444" s="1182"/>
      <c r="K444" s="1183"/>
      <c r="L444" s="1184"/>
      <c r="M444" s="831"/>
      <c r="N444" s="831"/>
      <c r="O444" s="1183"/>
      <c r="P444" s="1183"/>
      <c r="Q444" s="1183"/>
      <c r="R444" s="1183"/>
      <c r="S444" s="1183"/>
      <c r="T444" s="1183"/>
      <c r="U444" s="1183"/>
      <c r="V444" s="1183"/>
      <c r="W444" s="1183"/>
      <c r="X444" s="1183"/>
      <c r="Y444" s="1183"/>
      <c r="Z444" s="1183"/>
      <c r="AA444" s="1183"/>
      <c r="AB444" s="1183"/>
      <c r="AC444" s="1183"/>
      <c r="AD444" s="1183"/>
      <c r="AE444" s="1183"/>
      <c r="AF444" s="834"/>
      <c r="AG444" s="834"/>
      <c r="AH444" s="834"/>
      <c r="AI444" s="1183"/>
      <c r="AJ444" s="825"/>
      <c r="AK444" s="825"/>
      <c r="AL444" s="825"/>
      <c r="AM444" s="825"/>
      <c r="AN444" s="825"/>
      <c r="AO444" s="825"/>
      <c r="AP444" s="825"/>
      <c r="AQ444" s="1110"/>
      <c r="AR444" s="1110"/>
      <c r="AS444" s="1110"/>
      <c r="AT444" s="1110"/>
      <c r="AU444" s="1110"/>
      <c r="AV444" s="1110"/>
      <c r="AW444" s="1110"/>
      <c r="AX444" s="2016"/>
      <c r="AY444" s="2016"/>
      <c r="AZ444" s="2016"/>
      <c r="BA444" s="2016"/>
      <c r="BB444" s="2016"/>
      <c r="BC444" s="2039"/>
    </row>
    <row r="445" spans="1:57" ht="14.25" customHeight="1" x14ac:dyDescent="0.25">
      <c r="A445" s="711" t="s">
        <v>152</v>
      </c>
      <c r="B445" s="773"/>
      <c r="C445" s="773"/>
      <c r="D445" s="773"/>
      <c r="E445" s="773"/>
      <c r="F445" s="811"/>
      <c r="G445" s="811">
        <f>SUM(H115)</f>
        <v>340677</v>
      </c>
      <c r="H445" s="811">
        <f>SUM(H116)</f>
        <v>289369</v>
      </c>
      <c r="I445" s="773"/>
      <c r="J445" s="774">
        <f>SUM(J115)</f>
        <v>427939</v>
      </c>
      <c r="K445" s="788">
        <v>397258.31800000009</v>
      </c>
      <c r="L445" s="855">
        <f>L115</f>
        <v>449457.33</v>
      </c>
      <c r="M445" s="1185">
        <f>M115</f>
        <v>474034.489</v>
      </c>
      <c r="N445" s="1185">
        <f>O115</f>
        <v>474647</v>
      </c>
      <c r="O445" s="774">
        <f>SUM(O116)</f>
        <v>222649</v>
      </c>
      <c r="P445" s="1185">
        <f>Q115</f>
        <v>468330</v>
      </c>
      <c r="Q445" s="774">
        <f>SUM(Q116)</f>
        <v>203931</v>
      </c>
      <c r="R445" s="1185">
        <f>R115</f>
        <v>470479</v>
      </c>
      <c r="S445" s="774">
        <f>SUM(R116)</f>
        <v>207002</v>
      </c>
      <c r="T445" s="774">
        <v>495890</v>
      </c>
      <c r="U445" s="774">
        <v>219536</v>
      </c>
      <c r="V445" s="1185">
        <f>W115</f>
        <v>506106</v>
      </c>
      <c r="W445" s="774">
        <f>SUM(W116)</f>
        <v>225913</v>
      </c>
      <c r="X445" s="1185">
        <f>Y115</f>
        <v>524736</v>
      </c>
      <c r="Y445" s="774">
        <f>SUM(Y116)</f>
        <v>234860</v>
      </c>
      <c r="Z445" s="1185">
        <f>AA115</f>
        <v>570505</v>
      </c>
      <c r="AA445" s="774">
        <f>SUM(AA116)</f>
        <v>271747</v>
      </c>
      <c r="AB445" s="1185">
        <f>AC115</f>
        <v>582776</v>
      </c>
      <c r="AC445" s="774">
        <f>SUM(AC116)</f>
        <v>280725</v>
      </c>
      <c r="AD445" s="1185">
        <f>AE115</f>
        <v>524767</v>
      </c>
      <c r="AE445" s="774">
        <f>AE116</f>
        <v>352152</v>
      </c>
      <c r="AF445" s="1185">
        <f>AH115</f>
        <v>613306</v>
      </c>
      <c r="AG445" s="1185"/>
      <c r="AH445" s="774">
        <f>AH116</f>
        <v>315309</v>
      </c>
      <c r="AI445" s="1522">
        <f>AJ115</f>
        <v>645503</v>
      </c>
      <c r="AJ445" s="1522">
        <f>AJ116</f>
        <v>336211</v>
      </c>
      <c r="AK445" s="1522">
        <f>AL115</f>
        <v>660577</v>
      </c>
      <c r="AL445" s="1522">
        <f>AL116</f>
        <v>344972</v>
      </c>
      <c r="AM445" s="1522">
        <f>AN115</f>
        <v>673633</v>
      </c>
      <c r="AN445" s="1522">
        <f>AN116</f>
        <v>357468</v>
      </c>
      <c r="AO445" s="1522">
        <f>AP115</f>
        <v>696788</v>
      </c>
      <c r="AP445" s="1522">
        <f>AP116</f>
        <v>379811</v>
      </c>
      <c r="AQ445" s="1110"/>
      <c r="AR445" s="1110"/>
      <c r="AS445" s="1110"/>
      <c r="AT445" s="1110"/>
      <c r="AU445" s="1110"/>
      <c r="AV445" s="1110"/>
      <c r="AW445" s="1110"/>
      <c r="AX445" s="2016"/>
      <c r="AY445" s="2016"/>
      <c r="AZ445" s="2016"/>
      <c r="BA445" s="2016"/>
      <c r="BB445" s="2016"/>
      <c r="BC445" s="2039"/>
    </row>
    <row r="446" spans="1:57" ht="14.25" customHeight="1" x14ac:dyDescent="0.25">
      <c r="A446" s="711" t="s">
        <v>279</v>
      </c>
      <c r="B446" s="773"/>
      <c r="C446" s="773"/>
      <c r="D446" s="773"/>
      <c r="E446" s="773"/>
      <c r="F446" s="811"/>
      <c r="G446" s="811">
        <f>SUM(H167)</f>
        <v>309647</v>
      </c>
      <c r="H446" s="811">
        <f>SUM(H168)</f>
        <v>1280029</v>
      </c>
      <c r="I446" s="773"/>
      <c r="J446" s="774">
        <f>SUM(J167)</f>
        <v>323520</v>
      </c>
      <c r="K446" s="788">
        <v>320174.99799999996</v>
      </c>
      <c r="L446" s="855">
        <f>L167</f>
        <v>320612.28999999998</v>
      </c>
      <c r="M446" s="1185">
        <f>M167</f>
        <v>331357</v>
      </c>
      <c r="N446" s="1185">
        <f>O167</f>
        <v>329646</v>
      </c>
      <c r="O446" s="774">
        <f>SUM(O168)</f>
        <v>1472304</v>
      </c>
      <c r="P446" s="1185">
        <f>Q167</f>
        <v>330579</v>
      </c>
      <c r="Q446" s="774">
        <f>SUM(Q168)</f>
        <v>1542621</v>
      </c>
      <c r="R446" s="1185">
        <f>R167</f>
        <v>338165</v>
      </c>
      <c r="S446" s="774">
        <f>SUM(R168)</f>
        <v>1519114</v>
      </c>
      <c r="T446" s="774">
        <v>344395</v>
      </c>
      <c r="U446" s="774">
        <v>1532304</v>
      </c>
      <c r="V446" s="1185">
        <f>W167</f>
        <v>347131</v>
      </c>
      <c r="W446" s="774">
        <f>SUM(W168)</f>
        <v>1424622</v>
      </c>
      <c r="X446" s="1185">
        <f>Y167</f>
        <v>366928</v>
      </c>
      <c r="Y446" s="774">
        <f>SUM(Y168)</f>
        <v>1500864</v>
      </c>
      <c r="Z446" s="1185">
        <f>AA167</f>
        <v>380335</v>
      </c>
      <c r="AA446" s="774">
        <f>SUM(AA168)</f>
        <v>1705001</v>
      </c>
      <c r="AB446" s="1185">
        <f>AC167</f>
        <v>351779</v>
      </c>
      <c r="AC446" s="774">
        <f>SUM(AC168)</f>
        <v>1839280</v>
      </c>
      <c r="AD446" s="1185">
        <f>AE167</f>
        <v>356031</v>
      </c>
      <c r="AE446" s="774">
        <f>AE168</f>
        <v>1846419</v>
      </c>
      <c r="AF446" s="1185">
        <f>AH167</f>
        <v>377659</v>
      </c>
      <c r="AG446" s="1185"/>
      <c r="AH446" s="774">
        <f>AH168</f>
        <v>1972588</v>
      </c>
      <c r="AI446" s="1522">
        <f>AJ167</f>
        <v>386670</v>
      </c>
      <c r="AJ446" s="1522">
        <f>AJ168</f>
        <v>2024903.46</v>
      </c>
      <c r="AK446" s="1522">
        <f>AL167</f>
        <v>475674</v>
      </c>
      <c r="AL446" s="1522">
        <f>AL168</f>
        <v>2101612</v>
      </c>
      <c r="AM446" s="1522">
        <f>AN167</f>
        <v>507103</v>
      </c>
      <c r="AN446" s="1522">
        <f>AN168</f>
        <v>2123176</v>
      </c>
      <c r="AO446" s="1522">
        <f>AP167</f>
        <v>521662</v>
      </c>
      <c r="AP446" s="1522">
        <f>AP168</f>
        <v>2257908</v>
      </c>
      <c r="AQ446" s="1110"/>
      <c r="AR446" s="1110"/>
      <c r="AS446" s="1110"/>
      <c r="AT446" s="1110"/>
      <c r="AU446" s="1110"/>
      <c r="AV446" s="1110"/>
      <c r="AW446" s="1110"/>
      <c r="AX446" s="2016"/>
      <c r="AY446" s="2016"/>
      <c r="AZ446" s="2016"/>
      <c r="BA446" s="2016"/>
      <c r="BB446" s="2016"/>
      <c r="BC446" s="2039"/>
    </row>
    <row r="447" spans="1:57" ht="14.25" customHeight="1" x14ac:dyDescent="0.25">
      <c r="A447" s="711" t="s">
        <v>280</v>
      </c>
      <c r="B447" s="773"/>
      <c r="C447" s="773"/>
      <c r="D447" s="773"/>
      <c r="E447" s="773"/>
      <c r="F447" s="811"/>
      <c r="G447" s="811">
        <f>SUM(H243)</f>
        <v>67792</v>
      </c>
      <c r="H447" s="811">
        <f>SUM(H244)</f>
        <v>239818</v>
      </c>
      <c r="I447" s="773"/>
      <c r="J447" s="774">
        <f>SUM(J243)</f>
        <v>69973</v>
      </c>
      <c r="K447" s="788">
        <v>70096.928</v>
      </c>
      <c r="L447" s="855">
        <f>L243</f>
        <v>72093</v>
      </c>
      <c r="M447" s="1185">
        <f>M243</f>
        <v>74012</v>
      </c>
      <c r="N447" s="1185">
        <f>O243</f>
        <v>75983</v>
      </c>
      <c r="O447" s="774">
        <f>SUM(O244)</f>
        <v>263750</v>
      </c>
      <c r="P447" s="1185">
        <f>Q243</f>
        <v>75983</v>
      </c>
      <c r="Q447" s="774">
        <f>SUM(Q244)</f>
        <v>269000</v>
      </c>
      <c r="R447" s="1185">
        <f>R243</f>
        <v>75983</v>
      </c>
      <c r="S447" s="774">
        <f>SUM(R244)</f>
        <v>269650</v>
      </c>
      <c r="T447" s="774">
        <v>77983</v>
      </c>
      <c r="U447" s="774">
        <v>269991</v>
      </c>
      <c r="V447" s="1185">
        <f>W243</f>
        <v>79763</v>
      </c>
      <c r="W447" s="774">
        <f>SUM(W244)</f>
        <v>275692</v>
      </c>
      <c r="X447" s="1185">
        <f>Y243</f>
        <v>81323</v>
      </c>
      <c r="Y447" s="774">
        <f>SUM(Y244)</f>
        <v>291989</v>
      </c>
      <c r="Z447" s="1185">
        <f>AA243</f>
        <v>90244</v>
      </c>
      <c r="AA447" s="774">
        <f>SUM(AA244)</f>
        <v>314612</v>
      </c>
      <c r="AB447" s="1185">
        <f>AC243</f>
        <v>96900</v>
      </c>
      <c r="AC447" s="774">
        <f>SUM(AC244)</f>
        <v>328012</v>
      </c>
      <c r="AD447" s="1185">
        <f>AE243</f>
        <v>100883</v>
      </c>
      <c r="AE447" s="774">
        <f>AE244</f>
        <v>335368</v>
      </c>
      <c r="AF447" s="1185">
        <f>AH243</f>
        <v>193696</v>
      </c>
      <c r="AG447" s="1185"/>
      <c r="AH447" s="774">
        <f>AH244</f>
        <v>486646</v>
      </c>
      <c r="AI447" s="1522">
        <f>AJ243</f>
        <v>204382</v>
      </c>
      <c r="AJ447" s="1522">
        <f>AJ244</f>
        <v>523479</v>
      </c>
      <c r="AK447" s="1522">
        <f>AL243</f>
        <v>189667</v>
      </c>
      <c r="AL447" s="1522">
        <f>AL244</f>
        <v>536911</v>
      </c>
      <c r="AM447" s="1522">
        <f>AN243</f>
        <v>110285</v>
      </c>
      <c r="AN447" s="1522">
        <f>AN244</f>
        <v>552927</v>
      </c>
      <c r="AO447" s="1522">
        <f>AP243</f>
        <v>111664</v>
      </c>
      <c r="AP447" s="1522">
        <f>AP244</f>
        <v>579350</v>
      </c>
      <c r="AQ447" s="1110"/>
      <c r="AR447" s="1110"/>
      <c r="AS447" s="1110"/>
      <c r="AT447" s="1110"/>
      <c r="AU447" s="1110"/>
      <c r="AV447" s="1110"/>
      <c r="AW447" s="1110"/>
      <c r="AX447" s="2016"/>
      <c r="AY447" s="2016"/>
      <c r="AZ447" s="2016"/>
      <c r="BA447" s="2016"/>
      <c r="BB447" s="2016"/>
      <c r="BC447" s="2039"/>
    </row>
    <row r="448" spans="1:57" ht="14.25" customHeight="1" x14ac:dyDescent="0.25">
      <c r="A448" s="711" t="s">
        <v>268</v>
      </c>
      <c r="B448" s="773"/>
      <c r="C448" s="773"/>
      <c r="D448" s="773"/>
      <c r="E448" s="773"/>
      <c r="F448" s="811"/>
      <c r="G448" s="811">
        <f>SUM(H291)</f>
        <v>83227</v>
      </c>
      <c r="H448" s="811">
        <f>SUM(H292)</f>
        <v>42431</v>
      </c>
      <c r="I448" s="773"/>
      <c r="J448" s="774">
        <f>SUM(J291)</f>
        <v>94275</v>
      </c>
      <c r="K448" s="788">
        <v>89264.076000000001</v>
      </c>
      <c r="L448" s="855">
        <f>L291</f>
        <v>95733</v>
      </c>
      <c r="M448" s="1185">
        <f>M291</f>
        <v>103347</v>
      </c>
      <c r="N448" s="1185">
        <f>O291</f>
        <v>105036</v>
      </c>
      <c r="O448" s="774">
        <f>SUM(O292)</f>
        <v>48116</v>
      </c>
      <c r="P448" s="1185">
        <f>Q291</f>
        <v>106137</v>
      </c>
      <c r="Q448" s="774">
        <f>SUM(Q292)</f>
        <v>47658</v>
      </c>
      <c r="R448" s="1185">
        <f>R291</f>
        <v>106137</v>
      </c>
      <c r="S448" s="774">
        <f>SUM(R292)</f>
        <v>47658</v>
      </c>
      <c r="T448" s="774">
        <v>104658</v>
      </c>
      <c r="U448" s="774">
        <v>56140</v>
      </c>
      <c r="V448" s="1185">
        <f>W291</f>
        <v>107948</v>
      </c>
      <c r="W448" s="774">
        <f>SUM(W292)</f>
        <v>58415</v>
      </c>
      <c r="X448" s="1185">
        <f>Y291</f>
        <v>111363</v>
      </c>
      <c r="Y448" s="774">
        <f>SUM(Y292)</f>
        <v>59761</v>
      </c>
      <c r="Z448" s="1185">
        <f>AA291</f>
        <v>118258</v>
      </c>
      <c r="AA448" s="774">
        <f>SUM(AA292)</f>
        <v>67653</v>
      </c>
      <c r="AB448" s="1185">
        <f>AC291</f>
        <v>129491</v>
      </c>
      <c r="AC448" s="774">
        <f>SUM(AC292)</f>
        <v>69747</v>
      </c>
      <c r="AD448" s="1185">
        <f>AE291</f>
        <v>136990</v>
      </c>
      <c r="AE448" s="774">
        <f>AE292</f>
        <v>72098</v>
      </c>
      <c r="AF448" s="1185">
        <f>AH291</f>
        <v>141463</v>
      </c>
      <c r="AG448" s="1185"/>
      <c r="AH448" s="774">
        <f>AH292</f>
        <v>75715</v>
      </c>
      <c r="AI448" s="1522">
        <f>AJ291</f>
        <v>147177</v>
      </c>
      <c r="AJ448" s="1522">
        <f>AJ292</f>
        <v>85305</v>
      </c>
      <c r="AK448" s="1522">
        <f>AL291</f>
        <v>137935</v>
      </c>
      <c r="AL448" s="1522">
        <f>AL292</f>
        <v>86456</v>
      </c>
      <c r="AM448" s="1522">
        <f>AN291</f>
        <v>138770</v>
      </c>
      <c r="AN448" s="1522">
        <f>AN292</f>
        <v>91163</v>
      </c>
      <c r="AO448" s="1522">
        <f>AP291</f>
        <v>141526</v>
      </c>
      <c r="AP448" s="1522">
        <f>AP292</f>
        <v>93819</v>
      </c>
      <c r="AQ448" s="1110"/>
      <c r="AR448" s="1110"/>
      <c r="AS448" s="1110"/>
      <c r="AT448" s="1110"/>
      <c r="AU448" s="1110"/>
      <c r="AV448" s="1110"/>
      <c r="AW448" s="1110"/>
      <c r="AX448" s="2016"/>
      <c r="AY448" s="2016"/>
      <c r="AZ448" s="2016"/>
      <c r="BA448" s="2016"/>
      <c r="BB448" s="2016"/>
      <c r="BC448" s="2039"/>
    </row>
    <row r="449" spans="1:55" ht="14.25" customHeight="1" x14ac:dyDescent="0.25">
      <c r="A449" s="711" t="s">
        <v>269</v>
      </c>
      <c r="B449" s="773"/>
      <c r="C449" s="773"/>
      <c r="D449" s="773"/>
      <c r="E449" s="773"/>
      <c r="F449" s="774"/>
      <c r="G449" s="774">
        <f>SUM(H343)</f>
        <v>223347</v>
      </c>
      <c r="H449" s="774">
        <f>SUM(H344)</f>
        <v>243946</v>
      </c>
      <c r="I449" s="773"/>
      <c r="J449" s="774">
        <f>SUM(J343)</f>
        <v>233181</v>
      </c>
      <c r="K449" s="788">
        <v>230940.79800000001</v>
      </c>
      <c r="L449" s="855">
        <f>L343</f>
        <v>240178.98</v>
      </c>
      <c r="M449" s="1185">
        <f>M343</f>
        <v>248667</v>
      </c>
      <c r="N449" s="1185">
        <f>O343</f>
        <v>255257</v>
      </c>
      <c r="O449" s="774">
        <f>SUM(O344)</f>
        <v>275590</v>
      </c>
      <c r="P449" s="1185">
        <f>Q343</f>
        <v>255907</v>
      </c>
      <c r="Q449" s="774">
        <f>SUM(Q344)</f>
        <v>275157</v>
      </c>
      <c r="R449" s="1185">
        <f>R343</f>
        <v>250571</v>
      </c>
      <c r="S449" s="774">
        <f>SUM(R344)</f>
        <v>275507</v>
      </c>
      <c r="T449" s="774">
        <v>262236</v>
      </c>
      <c r="U449" s="774">
        <v>275528</v>
      </c>
      <c r="V449" s="1185">
        <f>W343</f>
        <v>272394</v>
      </c>
      <c r="W449" s="774">
        <f>SUM(W344)</f>
        <v>285541</v>
      </c>
      <c r="X449" s="1185">
        <f>Y343</f>
        <v>281072</v>
      </c>
      <c r="Y449" s="774">
        <f>SUM(Y344)</f>
        <v>299696</v>
      </c>
      <c r="Z449" s="1185">
        <f>AA343</f>
        <v>302773</v>
      </c>
      <c r="AA449" s="774">
        <f>SUM(AA344)</f>
        <v>327202</v>
      </c>
      <c r="AB449" s="1185">
        <f>AC343</f>
        <v>317126</v>
      </c>
      <c r="AC449" s="774">
        <f>SUM(AC344)</f>
        <v>340960</v>
      </c>
      <c r="AD449" s="1185">
        <f>AE343</f>
        <v>330049</v>
      </c>
      <c r="AE449" s="774">
        <f>AE344</f>
        <v>344786</v>
      </c>
      <c r="AF449" s="1185">
        <f>AH343</f>
        <v>254916</v>
      </c>
      <c r="AG449" s="1185"/>
      <c r="AH449" s="774">
        <f>AH344</f>
        <v>197688</v>
      </c>
      <c r="AI449" s="1522">
        <f>AJ343</f>
        <v>269152</v>
      </c>
      <c r="AJ449" s="1522">
        <f>AJ344</f>
        <v>209038</v>
      </c>
      <c r="AK449" s="1522">
        <f>AL343</f>
        <v>275451</v>
      </c>
      <c r="AL449" s="1522">
        <f>AL344</f>
        <v>213240</v>
      </c>
      <c r="AM449" s="1522">
        <f>AN343</f>
        <v>269846</v>
      </c>
      <c r="AN449" s="1522">
        <f>AN344</f>
        <v>249059</v>
      </c>
      <c r="AO449" s="1522">
        <f>AP343</f>
        <v>269364</v>
      </c>
      <c r="AP449" s="1522">
        <f>AP344</f>
        <v>252597</v>
      </c>
      <c r="AQ449" s="1110"/>
      <c r="AR449" s="1110"/>
      <c r="AS449" s="1110"/>
      <c r="AT449" s="1110"/>
      <c r="AU449" s="1110"/>
      <c r="AV449" s="1110"/>
      <c r="AW449" s="1110"/>
      <c r="AX449" s="2016"/>
      <c r="AY449" s="2016"/>
      <c r="AZ449" s="2016"/>
      <c r="BA449" s="2016"/>
      <c r="BB449" s="2016"/>
      <c r="BC449" s="2039"/>
    </row>
    <row r="450" spans="1:55" ht="14.25" customHeight="1" x14ac:dyDescent="0.25">
      <c r="A450" s="711" t="s">
        <v>137</v>
      </c>
      <c r="B450" s="773"/>
      <c r="C450" s="773"/>
      <c r="D450" s="773"/>
      <c r="E450" s="773"/>
      <c r="F450" s="774"/>
      <c r="G450" s="774">
        <f>SUM(H417)</f>
        <v>57460</v>
      </c>
      <c r="H450" s="774">
        <f>SUM(H418)</f>
        <v>136960</v>
      </c>
      <c r="I450" s="773"/>
      <c r="J450" s="774">
        <f>SUM(J417)</f>
        <v>60336</v>
      </c>
      <c r="K450" s="788">
        <v>59413.64</v>
      </c>
      <c r="L450" s="855">
        <f>L417</f>
        <v>61687</v>
      </c>
      <c r="M450" s="1185">
        <f>M417</f>
        <v>63333</v>
      </c>
      <c r="N450" s="1185">
        <f>O417</f>
        <v>67371</v>
      </c>
      <c r="O450" s="774">
        <f>O418</f>
        <v>159639</v>
      </c>
      <c r="P450" s="1185">
        <f>Q417</f>
        <v>67371</v>
      </c>
      <c r="Q450" s="774">
        <f>Q418</f>
        <v>156766</v>
      </c>
      <c r="R450" s="1185">
        <f>R417</f>
        <v>67371</v>
      </c>
      <c r="S450" s="774">
        <f>R418</f>
        <v>146234</v>
      </c>
      <c r="T450" s="774">
        <v>73092</v>
      </c>
      <c r="U450" s="774">
        <v>148082</v>
      </c>
      <c r="V450" s="1185">
        <f>W417</f>
        <v>77240</v>
      </c>
      <c r="W450" s="774">
        <f>W418</f>
        <v>155791</v>
      </c>
      <c r="X450" s="1185">
        <f>Y417</f>
        <v>81073</v>
      </c>
      <c r="Y450" s="774">
        <f>Y418</f>
        <v>177577</v>
      </c>
      <c r="Z450" s="1185">
        <f>AA417</f>
        <v>85299</v>
      </c>
      <c r="AA450" s="774">
        <f>AA418</f>
        <v>192667</v>
      </c>
      <c r="AB450" s="1185">
        <f>AC417</f>
        <v>91410</v>
      </c>
      <c r="AC450" s="774">
        <f>AC418</f>
        <v>199275</v>
      </c>
      <c r="AD450" s="1185">
        <f>AE418</f>
        <v>200729.88</v>
      </c>
      <c r="AE450" s="774">
        <f>AE419</f>
        <v>349180</v>
      </c>
      <c r="AF450" s="1185">
        <f>AH418</f>
        <v>202380</v>
      </c>
      <c r="AG450" s="1185"/>
      <c r="AH450" s="1519">
        <f>AH419</f>
        <v>349180</v>
      </c>
      <c r="AI450" s="1519">
        <f>AJ418</f>
        <v>272717</v>
      </c>
      <c r="AJ450" s="1519">
        <f>AJ419</f>
        <v>415824</v>
      </c>
      <c r="AK450" s="1519">
        <f>AL418</f>
        <v>253442</v>
      </c>
      <c r="AL450" s="1519">
        <f>AL419</f>
        <v>410455</v>
      </c>
      <c r="AM450" s="1519">
        <f>AN418</f>
        <v>256682</v>
      </c>
      <c r="AN450" s="1519">
        <f>AN419</f>
        <v>434930</v>
      </c>
      <c r="AO450" s="1519">
        <f>AP418</f>
        <v>285549.25</v>
      </c>
      <c r="AP450" s="1519">
        <f>AP419</f>
        <v>419550</v>
      </c>
      <c r="AQ450" s="1110"/>
      <c r="AR450" s="1110"/>
      <c r="AS450" s="1110"/>
      <c r="AT450" s="1110"/>
      <c r="AU450" s="1110"/>
      <c r="AV450" s="1110"/>
      <c r="AW450" s="1110"/>
      <c r="AX450" s="2016"/>
      <c r="AY450" s="2016"/>
      <c r="AZ450" s="2016"/>
      <c r="BA450" s="2016"/>
      <c r="BB450" s="2016"/>
    </row>
    <row r="451" spans="1:55" ht="14.25" customHeight="1" x14ac:dyDescent="0.25">
      <c r="A451" s="1186" t="s">
        <v>813</v>
      </c>
      <c r="B451" s="834"/>
      <c r="C451" s="834"/>
      <c r="D451" s="834"/>
      <c r="E451" s="1187"/>
      <c r="F451" s="835"/>
      <c r="G451" s="835">
        <f>SUM(G445:G450)</f>
        <v>1082150</v>
      </c>
      <c r="H451" s="835">
        <f>SUM(H445:H450)</f>
        <v>2232553</v>
      </c>
      <c r="I451" s="1187"/>
      <c r="J451" s="834">
        <f t="shared" ref="J451:Q451" si="263">SUM(J445:J450)</f>
        <v>1209224</v>
      </c>
      <c r="K451" s="834">
        <f t="shared" si="263"/>
        <v>1167148.7579999999</v>
      </c>
      <c r="L451" s="1188">
        <f t="shared" si="263"/>
        <v>1239761.6000000001</v>
      </c>
      <c r="M451" s="1188">
        <f t="shared" si="263"/>
        <v>1294750.4890000001</v>
      </c>
      <c r="N451" s="1188">
        <f t="shared" si="263"/>
        <v>1307940</v>
      </c>
      <c r="O451" s="1188">
        <f t="shared" si="263"/>
        <v>2442048</v>
      </c>
      <c r="P451" s="1188">
        <f t="shared" si="263"/>
        <v>1304307</v>
      </c>
      <c r="Q451" s="1188">
        <f t="shared" si="263"/>
        <v>2495133</v>
      </c>
      <c r="R451" s="1188">
        <f t="shared" ref="R451:W451" si="264">SUM(R445:R450)</f>
        <v>1308706</v>
      </c>
      <c r="S451" s="1188">
        <f t="shared" si="264"/>
        <v>2465165</v>
      </c>
      <c r="T451" s="1188">
        <v>1358254</v>
      </c>
      <c r="U451" s="1188">
        <v>2501581</v>
      </c>
      <c r="V451" s="1188">
        <f t="shared" si="264"/>
        <v>1390582</v>
      </c>
      <c r="W451" s="1188">
        <f t="shared" si="264"/>
        <v>2425974</v>
      </c>
      <c r="X451" s="1188">
        <f t="shared" ref="X451:AC451" si="265">SUM(X445:X450)</f>
        <v>1446495</v>
      </c>
      <c r="Y451" s="1188">
        <f t="shared" si="265"/>
        <v>2564747</v>
      </c>
      <c r="Z451" s="1188">
        <f t="shared" si="265"/>
        <v>1547414</v>
      </c>
      <c r="AA451" s="1188">
        <f t="shared" si="265"/>
        <v>2878882</v>
      </c>
      <c r="AB451" s="1188">
        <f t="shared" si="265"/>
        <v>1569482</v>
      </c>
      <c r="AC451" s="1188">
        <f t="shared" si="265"/>
        <v>3057999</v>
      </c>
      <c r="AD451" s="1188">
        <f t="shared" ref="AD451:AE451" si="266">SUM(AD445:AD450)</f>
        <v>1649449.88</v>
      </c>
      <c r="AE451" s="1188">
        <f t="shared" si="266"/>
        <v>3300003</v>
      </c>
      <c r="AF451" s="1520">
        <f>SUM(AF445:AF450)</f>
        <v>1783420</v>
      </c>
      <c r="AG451" s="1530"/>
      <c r="AH451" s="1521">
        <f>SUM(AH445:AH450)</f>
        <v>3397126</v>
      </c>
      <c r="AI451" s="1521">
        <f t="shared" ref="AI451:AJ451" si="267">SUM(AI445:AI450)</f>
        <v>1925601</v>
      </c>
      <c r="AJ451" s="1521">
        <f t="shared" si="267"/>
        <v>3594760.46</v>
      </c>
      <c r="AK451" s="1521">
        <f t="shared" ref="AK451:AP451" si="268">SUM(AK445:AK450)</f>
        <v>1992746</v>
      </c>
      <c r="AL451" s="1521">
        <f t="shared" si="268"/>
        <v>3693646</v>
      </c>
      <c r="AM451" s="1521">
        <f t="shared" si="268"/>
        <v>1956319</v>
      </c>
      <c r="AN451" s="1521">
        <f t="shared" si="268"/>
        <v>3808723</v>
      </c>
      <c r="AO451" s="1521">
        <f t="shared" si="268"/>
        <v>2026553.25</v>
      </c>
      <c r="AP451" s="1521">
        <f t="shared" si="268"/>
        <v>3983035</v>
      </c>
      <c r="AQ451" s="1110"/>
      <c r="AR451" s="1110"/>
      <c r="AS451" s="1110"/>
      <c r="AT451" s="1110"/>
      <c r="AU451" s="1110"/>
      <c r="AV451" s="1110"/>
      <c r="AW451" s="1110"/>
      <c r="AX451" s="837"/>
      <c r="AY451" s="2119"/>
      <c r="AZ451" s="2119"/>
      <c r="BA451" s="2119"/>
      <c r="BB451" s="2119"/>
      <c r="BC451" s="2040"/>
    </row>
    <row r="452" spans="1:55" ht="14.25" customHeight="1" thickBot="1" x14ac:dyDescent="0.3">
      <c r="A452" s="1189" t="s">
        <v>381</v>
      </c>
      <c r="B452" s="1190"/>
      <c r="C452" s="1191"/>
      <c r="D452" s="1191"/>
      <c r="E452" s="1191"/>
      <c r="F452" s="1191"/>
      <c r="G452" s="1191"/>
      <c r="H452" s="1191">
        <f>SUM(G451:H451)</f>
        <v>3314703</v>
      </c>
      <c r="I452" s="1191"/>
      <c r="J452" s="1191"/>
      <c r="K452" s="1192"/>
      <c r="L452" s="1193">
        <f>(L451-J451)/J451</f>
        <v>2.5253881828346189E-2</v>
      </c>
      <c r="M452" s="1193">
        <f>(M451-L451)/L451</f>
        <v>4.4354405718002525E-2</v>
      </c>
      <c r="N452" s="1193">
        <f>(N451-M451)/M451</f>
        <v>1.0186913318091776E-2</v>
      </c>
      <c r="O452" s="1194" t="e">
        <f>(O451-AV451)/AV451</f>
        <v>#DIV/0!</v>
      </c>
      <c r="P452" s="1193">
        <f t="shared" ref="P452:AB452" si="269">(P451-N451)/N451</f>
        <v>-2.7776503509335292E-3</v>
      </c>
      <c r="Q452" s="1194">
        <f t="shared" si="269"/>
        <v>2.1737901957701079E-2</v>
      </c>
      <c r="R452" s="1193">
        <f t="shared" si="269"/>
        <v>3.3726722313075067E-3</v>
      </c>
      <c r="S452" s="1194">
        <f t="shared" si="269"/>
        <v>-1.2010582201429743E-2</v>
      </c>
      <c r="T452" s="1193">
        <f t="shared" si="269"/>
        <v>3.7860298646143598E-2</v>
      </c>
      <c r="U452" s="1194">
        <f t="shared" si="269"/>
        <v>1.4772236341177974E-2</v>
      </c>
      <c r="V452" s="1193">
        <f t="shared" si="269"/>
        <v>2.3801144704893192E-2</v>
      </c>
      <c r="W452" s="1194">
        <f t="shared" si="269"/>
        <v>-3.0223686540631706E-2</v>
      </c>
      <c r="X452" s="1193">
        <f t="shared" si="269"/>
        <v>4.0208344419818465E-2</v>
      </c>
      <c r="Y452" s="1194">
        <f t="shared" si="269"/>
        <v>5.7203003824443294E-2</v>
      </c>
      <c r="Z452" s="1193">
        <f t="shared" si="269"/>
        <v>6.9767956335832479E-2</v>
      </c>
      <c r="AA452" s="1194">
        <f t="shared" si="269"/>
        <v>0.12248186663245926</v>
      </c>
      <c r="AB452" s="1193">
        <f t="shared" si="269"/>
        <v>1.4261212577888012E-2</v>
      </c>
      <c r="AC452" s="1194">
        <f>(AC451-AA451)/AA451</f>
        <v>6.221755528708714E-2</v>
      </c>
      <c r="AD452" s="1194">
        <f>(AD451-AB451)/AB451</f>
        <v>5.0951766251540243E-2</v>
      </c>
      <c r="AE452" s="1194">
        <f>(AE451-AC451)/AC451</f>
        <v>7.9138024570969454E-2</v>
      </c>
      <c r="AF452" s="1417">
        <f>AF451/SUM(AD445:AD449)-1</f>
        <v>0.23103153128278753</v>
      </c>
      <c r="AG452" s="1417"/>
      <c r="AH452" s="1417">
        <f>AH451/SUM(AE445:AE449)-1</f>
        <v>0.15124695720482051</v>
      </c>
      <c r="AI452" s="1194"/>
      <c r="AJ452" s="1455"/>
      <c r="AK452" s="1455"/>
      <c r="AL452" s="1455"/>
      <c r="AM452" s="1455"/>
      <c r="AN452" s="1455"/>
      <c r="AO452" s="1455"/>
      <c r="AP452" s="1455"/>
      <c r="AQ452" s="1110"/>
      <c r="AR452" s="1110"/>
      <c r="AS452" s="1110"/>
      <c r="AT452" s="1110"/>
      <c r="AU452" s="1110"/>
      <c r="AV452" s="1110"/>
      <c r="AW452" s="1110"/>
      <c r="AX452" s="1124"/>
      <c r="AY452" s="1124"/>
      <c r="AZ452" s="1124"/>
      <c r="BA452" s="1124"/>
      <c r="BB452" s="1124"/>
      <c r="BC452" s="2041"/>
    </row>
    <row r="453" spans="1:55" ht="14.25" customHeight="1" thickTop="1" x14ac:dyDescent="0.25">
      <c r="K453" s="979"/>
      <c r="L453" s="1023"/>
      <c r="M453" s="1023"/>
      <c r="N453" s="1023"/>
      <c r="O453" s="979"/>
      <c r="P453" s="979"/>
      <c r="Q453" s="979"/>
      <c r="R453" s="979"/>
      <c r="S453" s="979"/>
      <c r="T453" s="979"/>
      <c r="U453" s="979"/>
      <c r="V453" s="979"/>
      <c r="W453" s="979"/>
      <c r="X453" s="979"/>
      <c r="Y453" s="979"/>
      <c r="Z453" s="979"/>
      <c r="AA453" s="979"/>
      <c r="AB453" s="979"/>
      <c r="AC453" s="979"/>
      <c r="AD453" s="979"/>
      <c r="AE453" s="979"/>
      <c r="AI453" s="979"/>
      <c r="AJ453" s="979"/>
      <c r="AK453" s="979"/>
      <c r="AL453" s="979"/>
      <c r="AM453" s="979"/>
      <c r="AN453" s="979"/>
      <c r="AO453" s="979"/>
      <c r="AP453" s="979"/>
      <c r="AQ453" s="1110"/>
      <c r="AR453" s="1110"/>
      <c r="AS453" s="1110"/>
      <c r="AT453" s="1110"/>
      <c r="AU453" s="1110"/>
      <c r="AV453" s="1110"/>
      <c r="AW453" s="1110"/>
      <c r="AX453" s="719"/>
      <c r="AY453" s="719"/>
      <c r="AZ453" s="719"/>
      <c r="BA453" s="719"/>
      <c r="BB453" s="719"/>
      <c r="BC453" s="2042"/>
    </row>
    <row r="454" spans="1:55" ht="14.25" customHeight="1" x14ac:dyDescent="0.25">
      <c r="A454" s="1195" t="s">
        <v>252</v>
      </c>
      <c r="B454" s="1196"/>
      <c r="C454" s="1196"/>
      <c r="D454" s="1196"/>
      <c r="E454" s="1196"/>
      <c r="F454" s="1196"/>
      <c r="G454" s="1196"/>
      <c r="H454" s="1196"/>
      <c r="I454" s="1196"/>
      <c r="J454" s="1197"/>
      <c r="K454" s="1197"/>
      <c r="L454" s="1198">
        <f>SUM(L115,L167,L224,L250,L270,L299,L316,L324)</f>
        <v>1178074.6000000001</v>
      </c>
      <c r="M454" s="1199">
        <f>SUM(M115,M167,M224,M250,M270,M299,M316,M324)</f>
        <v>1231417.4890000001</v>
      </c>
      <c r="N454" s="1199">
        <f>SUM(O115,O167,O224,O250,O270,O299,O316,O324)</f>
        <v>1240569</v>
      </c>
      <c r="O454" s="1199"/>
      <c r="P454" s="1199"/>
      <c r="Q454" s="1199"/>
      <c r="R454" s="1199"/>
      <c r="S454" s="1199"/>
      <c r="T454" s="1199"/>
      <c r="U454" s="1199"/>
      <c r="V454" s="1199"/>
      <c r="W454" s="1199"/>
      <c r="X454" s="1199"/>
      <c r="Y454" s="1199"/>
      <c r="Z454" s="1199"/>
      <c r="AA454" s="1199"/>
      <c r="AB454" s="1199"/>
      <c r="AC454" s="1199"/>
      <c r="AD454" s="1199"/>
      <c r="AE454" s="1199"/>
      <c r="AF454" s="1199"/>
      <c r="AG454" s="1199"/>
      <c r="AH454" s="1199"/>
      <c r="AI454" s="1199"/>
      <c r="AJ454" s="1199"/>
      <c r="AK454" s="1199"/>
      <c r="AL454" s="1199"/>
      <c r="AM454" s="1199"/>
      <c r="AN454" s="1199"/>
      <c r="AO454" s="1199"/>
      <c r="AP454" s="1199"/>
      <c r="AQ454" s="1110"/>
      <c r="AR454" s="1110"/>
      <c r="AS454" s="1110"/>
      <c r="AT454" s="1110"/>
      <c r="AU454" s="1110"/>
      <c r="AV454" s="1110"/>
      <c r="AW454" s="1110"/>
      <c r="AX454" s="1200"/>
      <c r="AY454" s="1204"/>
      <c r="AZ454" s="1204"/>
      <c r="BA454" s="1204"/>
      <c r="BB454" s="1204"/>
      <c r="BC454" s="2043"/>
    </row>
    <row r="455" spans="1:55" ht="14.25" customHeight="1" x14ac:dyDescent="0.25">
      <c r="A455" s="1201" t="s">
        <v>168</v>
      </c>
      <c r="B455" s="1202"/>
      <c r="C455" s="1202"/>
      <c r="D455" s="1202"/>
      <c r="E455" s="1202"/>
      <c r="F455" s="1202"/>
      <c r="G455" s="1202"/>
      <c r="H455" s="1202"/>
      <c r="I455" s="1202"/>
      <c r="J455" s="1203"/>
      <c r="K455" s="1203"/>
      <c r="L455" s="1203">
        <f>SUM(L116,L141,L251,L271,L300)</f>
        <v>436796.45000000007</v>
      </c>
      <c r="M455" s="1203">
        <f>SUM(M116,M141,M251,M271,M300)</f>
        <v>494657</v>
      </c>
      <c r="N455" s="1203">
        <f>SUM(N116,N141,N251,N271,N300)</f>
        <v>404354</v>
      </c>
      <c r="O455" s="1203"/>
      <c r="P455" s="1203"/>
      <c r="Q455" s="1203"/>
      <c r="R455" s="1203"/>
      <c r="S455" s="1203"/>
      <c r="T455" s="1203"/>
      <c r="U455" s="1203"/>
      <c r="V455" s="1203"/>
      <c r="W455" s="1203"/>
      <c r="X455" s="1203"/>
      <c r="Y455" s="1203"/>
      <c r="Z455" s="1203"/>
      <c r="AA455" s="1203"/>
      <c r="AB455" s="1203"/>
      <c r="AC455" s="1203"/>
      <c r="AD455" s="1203"/>
      <c r="AE455" s="1203"/>
      <c r="AF455" s="1203"/>
      <c r="AG455" s="1203"/>
      <c r="AH455" s="1203"/>
      <c r="AI455" s="1203"/>
      <c r="AJ455" s="1203"/>
      <c r="AK455" s="1203"/>
      <c r="AL455" s="1203"/>
      <c r="AM455" s="1203"/>
      <c r="AN455" s="1203"/>
      <c r="AO455" s="1203"/>
      <c r="AP455" s="1203"/>
      <c r="AQ455" s="1110"/>
      <c r="AR455" s="1110"/>
      <c r="AS455" s="1110"/>
      <c r="AT455" s="1110"/>
      <c r="AU455" s="1110"/>
      <c r="AV455" s="1110"/>
      <c r="AW455" s="1110"/>
      <c r="AX455" s="1204"/>
      <c r="AY455" s="1204"/>
      <c r="AZ455" s="1204"/>
      <c r="BA455" s="1204"/>
      <c r="BB455" s="1204"/>
      <c r="BC455" s="2043"/>
    </row>
    <row r="456" spans="1:55" ht="14.25" customHeight="1" thickBot="1" x14ac:dyDescent="0.3">
      <c r="A456" s="1205" t="s">
        <v>169</v>
      </c>
      <c r="B456" s="1206"/>
      <c r="C456" s="1206"/>
      <c r="D456" s="1206"/>
      <c r="E456" s="1206"/>
      <c r="F456" s="1206"/>
      <c r="G456" s="1206"/>
      <c r="H456" s="1206"/>
      <c r="I456" s="1206"/>
      <c r="J456" s="1207"/>
      <c r="K456" s="1207"/>
      <c r="L456" s="1207">
        <f>SUM(L124,L131,L225,L233,L317,L325)</f>
        <v>1765628.9700000002</v>
      </c>
      <c r="M456" s="1207">
        <f>SUM(M124,M131,M225,M233,M317,M325)</f>
        <v>1872584</v>
      </c>
      <c r="N456" s="1207">
        <f>SUM(O124,O131,O225,O233,O317,O325)</f>
        <v>1841936</v>
      </c>
      <c r="O456" s="1207"/>
      <c r="P456" s="1207"/>
      <c r="Q456" s="1207"/>
      <c r="R456" s="1207"/>
      <c r="S456" s="1207"/>
      <c r="T456" s="1207"/>
      <c r="U456" s="1207"/>
      <c r="V456" s="1207"/>
      <c r="W456" s="1207"/>
      <c r="X456" s="1207"/>
      <c r="Y456" s="1207"/>
      <c r="Z456" s="1207"/>
      <c r="AA456" s="1207"/>
      <c r="AB456" s="1207"/>
      <c r="AC456" s="1207"/>
      <c r="AD456" s="1207"/>
      <c r="AE456" s="1207"/>
      <c r="AF456" s="1207"/>
      <c r="AG456" s="1207"/>
      <c r="AH456" s="1207"/>
      <c r="AI456" s="1207"/>
      <c r="AJ456" s="1207"/>
      <c r="AK456" s="1207"/>
      <c r="AL456" s="1207"/>
      <c r="AM456" s="1207"/>
      <c r="AN456" s="1207"/>
      <c r="AO456" s="1207"/>
      <c r="AP456" s="1207"/>
      <c r="AQ456" s="1110"/>
      <c r="AR456" s="1110"/>
      <c r="AS456" s="1110"/>
      <c r="AT456" s="1110"/>
      <c r="AU456" s="1110"/>
      <c r="AV456" s="1110"/>
      <c r="AW456" s="1110"/>
      <c r="AX456" s="1208"/>
      <c r="AY456" s="1204"/>
      <c r="AZ456" s="1204"/>
      <c r="BA456" s="1204"/>
      <c r="BB456" s="1204"/>
      <c r="BC456" s="2043"/>
    </row>
    <row r="457" spans="1:55" ht="14.25" customHeight="1" x14ac:dyDescent="0.25">
      <c r="AQ457" s="1110"/>
      <c r="AR457" s="1110"/>
      <c r="AS457" s="1110"/>
      <c r="AT457" s="1110"/>
      <c r="AU457" s="1110"/>
      <c r="AV457" s="1110"/>
      <c r="AW457" s="1110"/>
    </row>
    <row r="458" spans="1:55" ht="14.25" customHeight="1" x14ac:dyDescent="0.4">
      <c r="J458" s="712"/>
      <c r="K458" s="712"/>
      <c r="L458" s="712"/>
      <c r="M458" s="712"/>
      <c r="N458" s="1523">
        <v>2010</v>
      </c>
      <c r="O458" s="1523">
        <f>IF(N458=0,M458+1,0)</f>
        <v>0</v>
      </c>
      <c r="P458" s="1523">
        <f>IF(O458=0,N458+1,0)</f>
        <v>2011</v>
      </c>
      <c r="Q458" s="1523">
        <f t="shared" ref="Q458:AF458" si="270">IF(P458=0,O458+1,0)</f>
        <v>0</v>
      </c>
      <c r="R458" s="1523">
        <f t="shared" si="270"/>
        <v>2012</v>
      </c>
      <c r="S458" s="1523">
        <f t="shared" si="270"/>
        <v>0</v>
      </c>
      <c r="T458" s="1523">
        <f t="shared" si="270"/>
        <v>2013</v>
      </c>
      <c r="U458" s="1523">
        <f t="shared" si="270"/>
        <v>0</v>
      </c>
      <c r="V458" s="1523">
        <f t="shared" si="270"/>
        <v>2014</v>
      </c>
      <c r="W458" s="1523">
        <f t="shared" si="270"/>
        <v>0</v>
      </c>
      <c r="X458" s="1523">
        <f t="shared" si="270"/>
        <v>2015</v>
      </c>
      <c r="Y458" s="1523">
        <f t="shared" si="270"/>
        <v>0</v>
      </c>
      <c r="Z458" s="1523">
        <f t="shared" si="270"/>
        <v>2016</v>
      </c>
      <c r="AA458" s="1523">
        <f t="shared" si="270"/>
        <v>0</v>
      </c>
      <c r="AB458" s="1523">
        <f t="shared" si="270"/>
        <v>2017</v>
      </c>
      <c r="AC458" s="1523">
        <f t="shared" si="270"/>
        <v>0</v>
      </c>
      <c r="AD458" s="1523">
        <f t="shared" si="270"/>
        <v>2018</v>
      </c>
      <c r="AE458" s="1523">
        <f t="shared" si="270"/>
        <v>0</v>
      </c>
      <c r="AF458" s="1523">
        <f t="shared" si="270"/>
        <v>2019</v>
      </c>
      <c r="AG458" s="1523"/>
      <c r="AH458" s="1523">
        <f>IF(AF458=0,AE458+1,0)</f>
        <v>0</v>
      </c>
      <c r="AI458" s="1523">
        <f>IF(AH458=0,AF458+1,0)</f>
        <v>2020</v>
      </c>
      <c r="AJ458" s="1523"/>
      <c r="AK458" s="1523"/>
      <c r="AL458" s="1523"/>
      <c r="AM458" s="1523"/>
      <c r="AN458" s="1523"/>
      <c r="AO458" s="1523"/>
      <c r="AP458" s="1523"/>
      <c r="AQ458" s="1110"/>
      <c r="AR458" s="1110">
        <f>SUBTOTAL(109,AR19:AR419)</f>
        <v>57927373.520000003</v>
      </c>
      <c r="AS458" s="1110"/>
      <c r="AT458" s="1110">
        <f>SUBTOTAL(109,AT19:AT419)</f>
        <v>59881825</v>
      </c>
      <c r="AU458" s="1110"/>
      <c r="AV458" s="1110"/>
      <c r="AW458" s="1110"/>
      <c r="AX458" s="2409" t="s">
        <v>1219</v>
      </c>
      <c r="AY458" s="2017"/>
      <c r="AZ458" s="2017"/>
      <c r="BA458" s="2017"/>
      <c r="BB458" s="2017"/>
    </row>
    <row r="459" spans="1:55" ht="14.25" customHeight="1" x14ac:dyDescent="0.25">
      <c r="A459" s="711" t="str">
        <f>A445</f>
        <v xml:space="preserve">   GENERAL GOVERNMENT</v>
      </c>
      <c r="J459" s="712"/>
      <c r="K459" s="712"/>
      <c r="L459" s="712"/>
      <c r="M459" s="712"/>
      <c r="N459" s="1023">
        <f>IF(N$458&gt;0,N445+O445,"")</f>
        <v>697296</v>
      </c>
      <c r="O459" s="1023" t="str">
        <f t="shared" ref="O459:AE464" si="271">IF(O$458&gt;0,O445+P445,"")</f>
        <v/>
      </c>
      <c r="P459" s="1023">
        <f t="shared" si="271"/>
        <v>672261</v>
      </c>
      <c r="Q459" s="1023" t="str">
        <f t="shared" si="271"/>
        <v/>
      </c>
      <c r="R459" s="1023">
        <f t="shared" si="271"/>
        <v>677481</v>
      </c>
      <c r="S459" s="1023" t="str">
        <f t="shared" si="271"/>
        <v/>
      </c>
      <c r="T459" s="1023">
        <f t="shared" si="271"/>
        <v>715426</v>
      </c>
      <c r="U459" s="1023" t="str">
        <f t="shared" si="271"/>
        <v/>
      </c>
      <c r="V459" s="1023">
        <f t="shared" si="271"/>
        <v>732019</v>
      </c>
      <c r="W459" s="1023" t="str">
        <f t="shared" si="271"/>
        <v/>
      </c>
      <c r="X459" s="1023">
        <f t="shared" si="271"/>
        <v>759596</v>
      </c>
      <c r="Y459" s="1023" t="str">
        <f t="shared" si="271"/>
        <v/>
      </c>
      <c r="Z459" s="1023">
        <f t="shared" si="271"/>
        <v>842252</v>
      </c>
      <c r="AA459" s="1023" t="str">
        <f t="shared" si="271"/>
        <v/>
      </c>
      <c r="AB459" s="1023">
        <f t="shared" si="271"/>
        <v>863501</v>
      </c>
      <c r="AC459" s="1023" t="str">
        <f t="shared" si="271"/>
        <v/>
      </c>
      <c r="AD459" s="1023">
        <f t="shared" si="271"/>
        <v>876919</v>
      </c>
      <c r="AE459" s="1023" t="str">
        <f t="shared" si="271"/>
        <v/>
      </c>
      <c r="AF459" s="1023">
        <f>IF(AF$458&gt;0,AF445+AH445,"")</f>
        <v>928615</v>
      </c>
      <c r="AG459" s="1023"/>
      <c r="AH459" s="1023" t="str">
        <f t="shared" ref="AH459:AH463" si="272">IF(AH$458&gt;0,AH445+AI445,"")</f>
        <v/>
      </c>
      <c r="AI459" s="1023">
        <f>IF(AI$458&gt;0,AI445+AJ445,"")</f>
        <v>981714</v>
      </c>
      <c r="AJ459" s="979"/>
      <c r="AK459" s="979"/>
      <c r="AL459" s="979"/>
      <c r="AM459" s="979"/>
      <c r="AN459" s="979"/>
      <c r="AO459" s="979"/>
      <c r="AP459" s="979"/>
      <c r="AQ459" s="1110"/>
      <c r="AR459" s="1110"/>
      <c r="AS459" s="1110"/>
      <c r="AT459" s="1110"/>
      <c r="AU459" s="1110"/>
      <c r="AV459" s="1110"/>
      <c r="AW459" s="1110"/>
      <c r="AX459" s="2017">
        <f>SUBTOTAL(109,AX18:AX401)</f>
        <v>0</v>
      </c>
      <c r="AY459" s="2017"/>
      <c r="AZ459" s="2017">
        <f>SUM(AZ18:AZ401)</f>
        <v>192866</v>
      </c>
      <c r="BA459" s="2017"/>
      <c r="BB459" s="2017"/>
    </row>
    <row r="460" spans="1:55" ht="14.25" customHeight="1" x14ac:dyDescent="0.25">
      <c r="A460" s="711" t="str">
        <f t="shared" ref="A460:A464" si="273">A446</f>
        <v xml:space="preserve">   PUBLIC SAFETY</v>
      </c>
      <c r="J460" s="712"/>
      <c r="K460" s="712"/>
      <c r="L460" s="712"/>
      <c r="M460" s="712"/>
      <c r="N460" s="1023">
        <f t="shared" ref="N460:AC463" si="274">IF(N$458&gt;0,N446+O446,"")</f>
        <v>1801950</v>
      </c>
      <c r="O460" s="1023" t="str">
        <f t="shared" si="274"/>
        <v/>
      </c>
      <c r="P460" s="1023">
        <f t="shared" si="274"/>
        <v>1873200</v>
      </c>
      <c r="Q460" s="1023" t="str">
        <f t="shared" si="274"/>
        <v/>
      </c>
      <c r="R460" s="1023">
        <f t="shared" si="274"/>
        <v>1857279</v>
      </c>
      <c r="S460" s="1023" t="str">
        <f t="shared" si="274"/>
        <v/>
      </c>
      <c r="T460" s="1023">
        <f t="shared" si="274"/>
        <v>1876699</v>
      </c>
      <c r="U460" s="1023" t="str">
        <f t="shared" si="274"/>
        <v/>
      </c>
      <c r="V460" s="1023">
        <f t="shared" si="274"/>
        <v>1771753</v>
      </c>
      <c r="W460" s="1023" t="str">
        <f t="shared" si="274"/>
        <v/>
      </c>
      <c r="X460" s="1023">
        <f t="shared" si="274"/>
        <v>1867792</v>
      </c>
      <c r="Y460" s="1023" t="str">
        <f t="shared" si="274"/>
        <v/>
      </c>
      <c r="Z460" s="1023">
        <f t="shared" si="274"/>
        <v>2085336</v>
      </c>
      <c r="AA460" s="1023" t="str">
        <f t="shared" si="274"/>
        <v/>
      </c>
      <c r="AB460" s="1023">
        <f t="shared" si="274"/>
        <v>2191059</v>
      </c>
      <c r="AC460" s="1023" t="str">
        <f t="shared" si="274"/>
        <v/>
      </c>
      <c r="AD460" s="1023">
        <f t="shared" si="271"/>
        <v>2202450</v>
      </c>
      <c r="AE460" s="1023" t="str">
        <f t="shared" si="271"/>
        <v/>
      </c>
      <c r="AF460" s="1023">
        <f>IF(AF$458&gt;0,AF446+AH446,"")</f>
        <v>2350247</v>
      </c>
      <c r="AG460" s="1023"/>
      <c r="AH460" s="1023" t="str">
        <f t="shared" si="272"/>
        <v/>
      </c>
      <c r="AI460" s="1023">
        <f>IF(AI$458&gt;0,AI446+AJ446,"")</f>
        <v>2411573.46</v>
      </c>
      <c r="AJ460" s="979"/>
      <c r="AK460" s="979"/>
      <c r="AL460" s="979"/>
      <c r="AM460" s="979"/>
      <c r="AN460" s="979"/>
      <c r="AO460" s="979"/>
      <c r="AP460" s="979"/>
      <c r="AQ460" s="1110"/>
      <c r="AR460" s="1110"/>
      <c r="AS460" s="1110"/>
      <c r="AT460" s="1110"/>
      <c r="AU460" s="1110"/>
      <c r="AV460" s="1110"/>
      <c r="AW460" s="1110"/>
      <c r="AX460" s="2017"/>
      <c r="AY460" s="2017"/>
      <c r="AZ460" s="2017"/>
      <c r="BA460" s="2017"/>
      <c r="BB460" s="2017"/>
    </row>
    <row r="461" spans="1:55" ht="14.25" customHeight="1" x14ac:dyDescent="0.25">
      <c r="A461" s="711" t="str">
        <f t="shared" si="273"/>
        <v xml:space="preserve">   PUBLIC WORKS</v>
      </c>
      <c r="J461" s="712"/>
      <c r="K461" s="712"/>
      <c r="L461" s="712"/>
      <c r="M461" s="712"/>
      <c r="N461" s="1023">
        <f t="shared" si="274"/>
        <v>339733</v>
      </c>
      <c r="O461" s="1023" t="str">
        <f t="shared" si="271"/>
        <v/>
      </c>
      <c r="P461" s="1023">
        <f t="shared" si="271"/>
        <v>344983</v>
      </c>
      <c r="Q461" s="1023" t="str">
        <f t="shared" si="271"/>
        <v/>
      </c>
      <c r="R461" s="1023">
        <f t="shared" si="271"/>
        <v>345633</v>
      </c>
      <c r="S461" s="1023" t="str">
        <f t="shared" si="271"/>
        <v/>
      </c>
      <c r="T461" s="1023">
        <f t="shared" si="271"/>
        <v>347974</v>
      </c>
      <c r="U461" s="1023" t="str">
        <f t="shared" si="271"/>
        <v/>
      </c>
      <c r="V461" s="1023">
        <f t="shared" si="271"/>
        <v>355455</v>
      </c>
      <c r="W461" s="1023" t="str">
        <f t="shared" si="271"/>
        <v/>
      </c>
      <c r="X461" s="1023">
        <f t="shared" si="271"/>
        <v>373312</v>
      </c>
      <c r="Y461" s="1023" t="str">
        <f t="shared" si="271"/>
        <v/>
      </c>
      <c r="Z461" s="1023">
        <f t="shared" si="271"/>
        <v>404856</v>
      </c>
      <c r="AA461" s="1023" t="str">
        <f t="shared" si="271"/>
        <v/>
      </c>
      <c r="AB461" s="1023">
        <f t="shared" si="271"/>
        <v>424912</v>
      </c>
      <c r="AC461" s="1023" t="str">
        <f t="shared" si="271"/>
        <v/>
      </c>
      <c r="AD461" s="1023">
        <f t="shared" si="271"/>
        <v>436251</v>
      </c>
      <c r="AE461" s="1023" t="str">
        <f t="shared" si="271"/>
        <v/>
      </c>
      <c r="AF461" s="1023">
        <f>IF(AF$458&gt;0,AF447+AH447,"")</f>
        <v>680342</v>
      </c>
      <c r="AG461" s="1023"/>
      <c r="AH461" s="1023" t="str">
        <f t="shared" si="272"/>
        <v/>
      </c>
      <c r="AI461" s="1023">
        <f>IF(AI$458&gt;0,AI447+AJ447,"")</f>
        <v>727861</v>
      </c>
      <c r="AJ461" s="979"/>
      <c r="AK461" s="979"/>
      <c r="AL461" s="979"/>
      <c r="AM461" s="979"/>
      <c r="AN461" s="979"/>
      <c r="AO461" s="979"/>
      <c r="AP461" s="979"/>
      <c r="AQ461" s="1110"/>
      <c r="AR461" s="1110"/>
      <c r="AS461" s="1110"/>
      <c r="AT461" s="1110"/>
      <c r="AU461" s="1110"/>
      <c r="AV461" s="1110"/>
      <c r="AW461" s="1110"/>
      <c r="AX461" s="2017"/>
      <c r="AY461" s="2017"/>
      <c r="AZ461" s="2017"/>
      <c r="BA461" s="2017"/>
      <c r="BB461" s="2017"/>
    </row>
    <row r="462" spans="1:55" ht="14.25" customHeight="1" x14ac:dyDescent="0.25">
      <c r="A462" s="711" t="str">
        <f t="shared" si="273"/>
        <v xml:space="preserve">   HUMAN SERVICES</v>
      </c>
      <c r="L462" s="1035"/>
      <c r="M462" s="1035"/>
      <c r="N462" s="1023">
        <f t="shared" si="274"/>
        <v>153152</v>
      </c>
      <c r="O462" s="1023" t="str">
        <f t="shared" si="271"/>
        <v/>
      </c>
      <c r="P462" s="1023">
        <f t="shared" si="271"/>
        <v>153795</v>
      </c>
      <c r="Q462" s="1023" t="str">
        <f t="shared" si="271"/>
        <v/>
      </c>
      <c r="R462" s="1023">
        <f t="shared" si="271"/>
        <v>153795</v>
      </c>
      <c r="S462" s="1023" t="str">
        <f t="shared" si="271"/>
        <v/>
      </c>
      <c r="T462" s="1023">
        <f t="shared" si="271"/>
        <v>160798</v>
      </c>
      <c r="U462" s="1023" t="str">
        <f t="shared" si="271"/>
        <v/>
      </c>
      <c r="V462" s="1023">
        <f t="shared" si="271"/>
        <v>166363</v>
      </c>
      <c r="W462" s="1023" t="str">
        <f t="shared" si="271"/>
        <v/>
      </c>
      <c r="X462" s="1023">
        <f t="shared" si="271"/>
        <v>171124</v>
      </c>
      <c r="Y462" s="1023" t="str">
        <f t="shared" si="271"/>
        <v/>
      </c>
      <c r="Z462" s="1023">
        <f t="shared" si="271"/>
        <v>185911</v>
      </c>
      <c r="AA462" s="1023" t="str">
        <f t="shared" si="271"/>
        <v/>
      </c>
      <c r="AB462" s="1023">
        <f t="shared" si="271"/>
        <v>199238</v>
      </c>
      <c r="AC462" s="1023" t="str">
        <f t="shared" si="271"/>
        <v/>
      </c>
      <c r="AD462" s="1023">
        <f t="shared" si="271"/>
        <v>209088</v>
      </c>
      <c r="AE462" s="1023" t="str">
        <f t="shared" si="271"/>
        <v/>
      </c>
      <c r="AF462" s="1023">
        <f>IF(AF$458&gt;0,AF448+AH448,"")</f>
        <v>217178</v>
      </c>
      <c r="AG462" s="1023"/>
      <c r="AH462" s="1023" t="str">
        <f t="shared" si="272"/>
        <v/>
      </c>
      <c r="AI462" s="1023">
        <f>IF(AI$458&gt;0,AI448+AJ448,"")</f>
        <v>232482</v>
      </c>
      <c r="AQ462" s="1110"/>
      <c r="AR462" s="1110"/>
      <c r="AS462" s="1110"/>
      <c r="AT462" s="1110"/>
      <c r="AU462" s="1110"/>
      <c r="AV462" s="1110"/>
      <c r="AW462" s="1110"/>
      <c r="AX462" s="2017"/>
      <c r="AY462" s="2017"/>
      <c r="AZ462" s="2017"/>
      <c r="BA462" s="2017"/>
      <c r="BB462" s="2017"/>
    </row>
    <row r="463" spans="1:55" ht="14.25" customHeight="1" x14ac:dyDescent="0.25">
      <c r="A463" s="711" t="str">
        <f t="shared" si="273"/>
        <v xml:space="preserve">   CULTURE &amp; RECREATION</v>
      </c>
      <c r="L463" s="1035"/>
      <c r="M463" s="1035"/>
      <c r="N463" s="1023">
        <f t="shared" si="274"/>
        <v>530847</v>
      </c>
      <c r="O463" s="1023" t="str">
        <f t="shared" si="271"/>
        <v/>
      </c>
      <c r="P463" s="1023">
        <f t="shared" si="271"/>
        <v>531064</v>
      </c>
      <c r="Q463" s="1023" t="str">
        <f t="shared" si="271"/>
        <v/>
      </c>
      <c r="R463" s="1023">
        <f t="shared" si="271"/>
        <v>526078</v>
      </c>
      <c r="S463" s="1023" t="str">
        <f t="shared" si="271"/>
        <v/>
      </c>
      <c r="T463" s="1023">
        <f t="shared" si="271"/>
        <v>537764</v>
      </c>
      <c r="U463" s="1023" t="str">
        <f t="shared" si="271"/>
        <v/>
      </c>
      <c r="V463" s="1023">
        <f t="shared" si="271"/>
        <v>557935</v>
      </c>
      <c r="W463" s="1023" t="str">
        <f t="shared" si="271"/>
        <v/>
      </c>
      <c r="X463" s="1023">
        <f t="shared" si="271"/>
        <v>580768</v>
      </c>
      <c r="Y463" s="1023" t="str">
        <f t="shared" si="271"/>
        <v/>
      </c>
      <c r="Z463" s="1023">
        <f t="shared" si="271"/>
        <v>629975</v>
      </c>
      <c r="AA463" s="1023" t="str">
        <f t="shared" si="271"/>
        <v/>
      </c>
      <c r="AB463" s="1023">
        <f t="shared" si="271"/>
        <v>658086</v>
      </c>
      <c r="AC463" s="1023" t="str">
        <f t="shared" si="271"/>
        <v/>
      </c>
      <c r="AD463" s="1023">
        <f t="shared" si="271"/>
        <v>674835</v>
      </c>
      <c r="AE463" s="1023" t="str">
        <f t="shared" si="271"/>
        <v/>
      </c>
      <c r="AF463" s="1023">
        <f>IF(AF$458&gt;0,AF449+AH449,"")</f>
        <v>452604</v>
      </c>
      <c r="AG463" s="1023"/>
      <c r="AH463" s="1023" t="str">
        <f t="shared" si="272"/>
        <v/>
      </c>
      <c r="AI463" s="1023">
        <f>IF(AI$458&gt;0,AI449+AJ449,"")</f>
        <v>478190</v>
      </c>
      <c r="AQ463" s="1110"/>
      <c r="AR463" s="1110"/>
      <c r="AS463" s="1110"/>
      <c r="AT463" s="1110"/>
      <c r="AU463" s="1110"/>
      <c r="AV463" s="1110"/>
      <c r="AW463" s="1110"/>
      <c r="AX463" s="2017"/>
      <c r="AY463" s="2017"/>
      <c r="AZ463" s="2017"/>
      <c r="BA463" s="2017"/>
      <c r="BB463" s="2017"/>
    </row>
    <row r="464" spans="1:55" ht="14.25" customHeight="1" x14ac:dyDescent="0.25">
      <c r="A464" s="711" t="str">
        <f t="shared" si="273"/>
        <v xml:space="preserve">   WATER ENTERPRISE</v>
      </c>
      <c r="L464" s="1035"/>
      <c r="M464" s="1035">
        <v>0</v>
      </c>
      <c r="N464" s="1023">
        <f>IF(N$458&gt;0,N450+O450,"")*$M$464</f>
        <v>0</v>
      </c>
      <c r="O464" s="1023" t="str">
        <f t="shared" si="271"/>
        <v/>
      </c>
      <c r="P464" s="1023">
        <f>IF(P$458&gt;0,P450+Q450,"")*$M$464</f>
        <v>0</v>
      </c>
      <c r="Q464" s="1023" t="str">
        <f t="shared" si="271"/>
        <v/>
      </c>
      <c r="R464" s="1023">
        <f>IF(R$458&gt;0,R450+S450,"")*$M$464</f>
        <v>0</v>
      </c>
      <c r="S464" s="1023" t="str">
        <f t="shared" si="271"/>
        <v/>
      </c>
      <c r="T464" s="1023">
        <f>IF(T$458&gt;0,T450+U450,"")*$M$464</f>
        <v>0</v>
      </c>
      <c r="U464" s="1023" t="str">
        <f t="shared" si="271"/>
        <v/>
      </c>
      <c r="V464" s="1023">
        <f>IF(V$458&gt;0,V450+W450,"")*$M$464</f>
        <v>0</v>
      </c>
      <c r="W464" s="1023" t="str">
        <f t="shared" si="271"/>
        <v/>
      </c>
      <c r="X464" s="1023">
        <f>IF(X$458&gt;0,X450+Y450,"")*$M$464</f>
        <v>0</v>
      </c>
      <c r="Y464" s="1023" t="str">
        <f t="shared" si="271"/>
        <v/>
      </c>
      <c r="Z464" s="1023">
        <f>IF(Z$458&gt;0,Z450+AA450,"")*$M$464</f>
        <v>0</v>
      </c>
      <c r="AA464" s="1023" t="str">
        <f t="shared" si="271"/>
        <v/>
      </c>
      <c r="AB464" s="1023">
        <f>IF(AB$458&gt;0,AB450+AC450,"")*$M$464</f>
        <v>0</v>
      </c>
      <c r="AC464" s="1023" t="str">
        <f t="shared" si="271"/>
        <v/>
      </c>
      <c r="AD464" s="1023">
        <f>IF(AD$458&gt;0,AD450+AE450,"")*$M$464</f>
        <v>0</v>
      </c>
      <c r="AE464" s="1023" t="str">
        <f t="shared" si="271"/>
        <v/>
      </c>
      <c r="AF464" s="1023">
        <f>IF(AF$458&gt;0,AF450+AH450,"")*$M$464</f>
        <v>0</v>
      </c>
      <c r="AG464" s="1023"/>
      <c r="AH464" s="1023" t="str">
        <f>IF(AH$458&gt;0,AH450+AI450,"")</f>
        <v/>
      </c>
      <c r="AI464" s="1023">
        <f>IF(AI$458&gt;0,AI450+AJ450,"")*$M$464</f>
        <v>0</v>
      </c>
      <c r="AQ464" s="1110"/>
      <c r="AR464" s="1110"/>
      <c r="AS464" s="1110"/>
      <c r="AT464" s="1110"/>
      <c r="AU464" s="1110"/>
      <c r="AV464" s="1110"/>
      <c r="AW464" s="1110"/>
      <c r="AX464" s="2017"/>
      <c r="AY464" s="2017"/>
      <c r="AZ464" s="2017"/>
      <c r="BA464" s="2017"/>
      <c r="BB464" s="2017"/>
    </row>
    <row r="465" spans="1:54" ht="14.25" customHeight="1" x14ac:dyDescent="0.25">
      <c r="L465" s="1035"/>
      <c r="M465" s="1035"/>
      <c r="N465" s="1035"/>
      <c r="O465" s="1035"/>
      <c r="P465" s="1035"/>
      <c r="Q465" s="1035"/>
      <c r="R465" s="1035"/>
      <c r="S465" s="1035"/>
      <c r="T465" s="1035"/>
      <c r="U465" s="1035"/>
      <c r="V465" s="1035"/>
      <c r="W465" s="1035"/>
      <c r="X465" s="1035"/>
      <c r="Y465" s="1035"/>
      <c r="Z465" s="1035"/>
      <c r="AA465" s="1035"/>
      <c r="AB465" s="1035"/>
      <c r="AC465" s="1035"/>
      <c r="AD465" s="1035"/>
      <c r="AE465" s="1035"/>
      <c r="AF465" s="1035"/>
      <c r="AG465" s="1035"/>
      <c r="AH465" s="1035"/>
      <c r="AI465" s="1035"/>
      <c r="AQ465" s="1110"/>
      <c r="AR465" s="1110"/>
      <c r="AS465" s="1110"/>
      <c r="AT465" s="1110"/>
      <c r="AU465" s="1110"/>
      <c r="AV465" s="1110"/>
      <c r="AW465" s="1110"/>
      <c r="AX465" s="2017"/>
      <c r="AY465" s="2017"/>
      <c r="AZ465" s="2017"/>
      <c r="BA465" s="2017"/>
      <c r="BB465" s="2017"/>
    </row>
    <row r="466" spans="1:54" ht="14.25" customHeight="1" x14ac:dyDescent="0.25">
      <c r="A466" s="1524" t="s">
        <v>973</v>
      </c>
      <c r="L466" s="1035"/>
      <c r="M466" s="1035"/>
      <c r="N466" s="1035">
        <f>SUM(N459:N464)</f>
        <v>3522978</v>
      </c>
      <c r="O466" s="1035">
        <f t="shared" ref="O466:AI466" si="275">SUM(O459:O464)</f>
        <v>0</v>
      </c>
      <c r="P466" s="1035">
        <f t="shared" si="275"/>
        <v>3575303</v>
      </c>
      <c r="Q466" s="1035">
        <f t="shared" si="275"/>
        <v>0</v>
      </c>
      <c r="R466" s="1035">
        <f t="shared" si="275"/>
        <v>3560266</v>
      </c>
      <c r="S466" s="1035">
        <f t="shared" si="275"/>
        <v>0</v>
      </c>
      <c r="T466" s="1035">
        <f t="shared" si="275"/>
        <v>3638661</v>
      </c>
      <c r="U466" s="1035">
        <f t="shared" si="275"/>
        <v>0</v>
      </c>
      <c r="V466" s="1035">
        <f t="shared" si="275"/>
        <v>3583525</v>
      </c>
      <c r="W466" s="1035">
        <f t="shared" si="275"/>
        <v>0</v>
      </c>
      <c r="X466" s="1035">
        <f t="shared" si="275"/>
        <v>3752592</v>
      </c>
      <c r="Y466" s="1035">
        <f t="shared" si="275"/>
        <v>0</v>
      </c>
      <c r="Z466" s="1035">
        <f t="shared" si="275"/>
        <v>4148330</v>
      </c>
      <c r="AA466" s="1035">
        <f t="shared" si="275"/>
        <v>0</v>
      </c>
      <c r="AB466" s="1035">
        <f t="shared" si="275"/>
        <v>4336796</v>
      </c>
      <c r="AC466" s="1035">
        <f t="shared" si="275"/>
        <v>0</v>
      </c>
      <c r="AD466" s="1035">
        <f t="shared" si="275"/>
        <v>4399543</v>
      </c>
      <c r="AE466" s="1035">
        <f t="shared" si="275"/>
        <v>0</v>
      </c>
      <c r="AF466" s="1035">
        <f t="shared" si="275"/>
        <v>4628986</v>
      </c>
      <c r="AG466" s="1035"/>
      <c r="AH466" s="1035">
        <f t="shared" si="275"/>
        <v>0</v>
      </c>
      <c r="AI466" s="1035">
        <f t="shared" si="275"/>
        <v>4831820.46</v>
      </c>
      <c r="AQ466" s="1110"/>
      <c r="AR466" s="1110"/>
      <c r="AS466" s="1110"/>
      <c r="AT466" s="1110"/>
      <c r="AU466" s="1110"/>
      <c r="AV466" s="1110"/>
      <c r="AW466" s="1110"/>
      <c r="AX466" s="2017"/>
      <c r="AY466" s="2017"/>
      <c r="AZ466" s="2017"/>
      <c r="BA466" s="2017"/>
      <c r="BB466" s="2017"/>
    </row>
    <row r="467" spans="1:54" ht="14.25" customHeight="1" x14ac:dyDescent="0.25">
      <c r="A467" s="1524" t="s">
        <v>974</v>
      </c>
      <c r="N467" s="727">
        <f>O183</f>
        <v>5784941</v>
      </c>
      <c r="X467" s="727">
        <f>Y183</f>
        <v>6866919</v>
      </c>
      <c r="AI467" s="727">
        <f>AI183</f>
        <v>8913230.1999999993</v>
      </c>
      <c r="AQ467" s="1110"/>
      <c r="AR467" s="1110"/>
      <c r="AS467" s="1110"/>
      <c r="AT467" s="1110"/>
      <c r="AU467" s="1110"/>
      <c r="AV467" s="1110"/>
      <c r="AW467" s="1110"/>
      <c r="AX467" s="2017"/>
      <c r="AY467" s="2017"/>
      <c r="AZ467" s="2017"/>
      <c r="BA467" s="2017"/>
      <c r="BB467" s="2017"/>
    </row>
    <row r="468" spans="1:54" ht="14.25" customHeight="1" x14ac:dyDescent="0.25">
      <c r="A468" s="1524" t="s">
        <v>918</v>
      </c>
      <c r="N468" s="1525">
        <f>O438</f>
        <v>5870454</v>
      </c>
      <c r="X468" s="727">
        <f>Y438</f>
        <v>6421520</v>
      </c>
      <c r="AI468" s="727">
        <f>AI438</f>
        <v>7693568</v>
      </c>
      <c r="AQ468" s="1110"/>
      <c r="AR468" s="1110"/>
      <c r="AS468" s="1110"/>
      <c r="AT468" s="1110"/>
      <c r="AU468" s="1110"/>
      <c r="AV468" s="1110"/>
      <c r="AW468" s="1110"/>
      <c r="AX468" s="2017"/>
      <c r="AY468" s="2017"/>
      <c r="AZ468" s="2017"/>
      <c r="BA468" s="2017"/>
      <c r="BB468" s="2017"/>
    </row>
    <row r="469" spans="1:54" ht="14.25" customHeight="1" x14ac:dyDescent="0.25">
      <c r="AQ469" s="1110"/>
      <c r="AR469" s="1110"/>
      <c r="AS469" s="1110"/>
      <c r="AT469" s="1110"/>
      <c r="AU469" s="1110"/>
      <c r="AV469" s="1110"/>
      <c r="AW469" s="1110"/>
    </row>
    <row r="470" spans="1:54" ht="14.25" customHeight="1" x14ac:dyDescent="0.25">
      <c r="AQ470" s="1110"/>
      <c r="AR470" s="1110"/>
      <c r="AS470" s="1110"/>
      <c r="AT470" s="1110"/>
      <c r="AU470" s="1110"/>
      <c r="AV470" s="1110"/>
      <c r="AW470" s="1110"/>
    </row>
    <row r="471" spans="1:54" ht="14.25" customHeight="1" x14ac:dyDescent="0.25">
      <c r="AQ471" s="1110"/>
      <c r="AR471" s="1110"/>
      <c r="AS471" s="1110"/>
      <c r="AT471" s="1110"/>
      <c r="AU471" s="1110"/>
      <c r="AV471" s="1110"/>
      <c r="AW471" s="1110"/>
    </row>
    <row r="472" spans="1:54" ht="14.25" customHeight="1" x14ac:dyDescent="0.25">
      <c r="AQ472" s="1110"/>
      <c r="AR472" s="1110"/>
      <c r="AS472" s="1110"/>
      <c r="AT472" s="1110"/>
      <c r="AU472" s="1110"/>
      <c r="AV472" s="1110"/>
      <c r="AW472" s="1110"/>
    </row>
    <row r="473" spans="1:54" ht="14.25" customHeight="1" x14ac:dyDescent="0.25">
      <c r="AQ473" s="1110"/>
      <c r="AR473" s="1110"/>
      <c r="AS473" s="1110"/>
      <c r="AT473" s="1110"/>
      <c r="AU473" s="1110"/>
      <c r="AV473" s="1110"/>
      <c r="AW473" s="1110"/>
    </row>
    <row r="474" spans="1:54" ht="14.25" customHeight="1" x14ac:dyDescent="0.25">
      <c r="AQ474" s="1110"/>
      <c r="AR474" s="1110"/>
      <c r="AS474" s="1110"/>
      <c r="AT474" s="1110"/>
      <c r="AU474" s="1110"/>
      <c r="AV474" s="1110"/>
      <c r="AW474" s="1110"/>
    </row>
    <row r="475" spans="1:54" ht="14.25" customHeight="1" x14ac:dyDescent="0.25">
      <c r="AQ475" s="1110"/>
      <c r="AR475" s="1110"/>
      <c r="AS475" s="1110"/>
      <c r="AT475" s="1110"/>
      <c r="AU475" s="1110"/>
      <c r="AV475" s="1110"/>
      <c r="AW475" s="1110"/>
    </row>
    <row r="476" spans="1:54" ht="14.25" customHeight="1" x14ac:dyDescent="0.25">
      <c r="AQ476" s="1110"/>
      <c r="AR476" s="1110"/>
      <c r="AS476" s="1110"/>
      <c r="AT476" s="1110"/>
      <c r="AU476" s="1110"/>
      <c r="AV476" s="1110"/>
      <c r="AW476" s="1110"/>
    </row>
    <row r="477" spans="1:54" ht="14.25" customHeight="1" x14ac:dyDescent="0.25">
      <c r="AQ477" s="1110"/>
      <c r="AR477" s="1110"/>
      <c r="AS477" s="1110"/>
      <c r="AT477" s="1110"/>
      <c r="AU477" s="1110"/>
      <c r="AV477" s="1110"/>
      <c r="AW477" s="1110"/>
    </row>
    <row r="478" spans="1:54" ht="14.25" customHeight="1" x14ac:dyDescent="0.25">
      <c r="AQ478" s="1110"/>
      <c r="AR478" s="1110"/>
      <c r="AS478" s="1110"/>
      <c r="AT478" s="1110"/>
      <c r="AU478" s="1110"/>
      <c r="AV478" s="1110"/>
      <c r="AW478" s="1110"/>
    </row>
    <row r="479" spans="1:54" ht="14.25" customHeight="1" x14ac:dyDescent="0.25">
      <c r="AQ479" s="1110"/>
      <c r="AR479" s="1110"/>
      <c r="AS479" s="1110"/>
      <c r="AT479" s="1110"/>
      <c r="AU479" s="1110"/>
      <c r="AV479" s="1110"/>
      <c r="AW479" s="1110"/>
    </row>
    <row r="480" spans="1:54" ht="14.25" customHeight="1" x14ac:dyDescent="0.25">
      <c r="AQ480" s="1110"/>
      <c r="AR480" s="1110"/>
      <c r="AS480" s="1110"/>
      <c r="AT480" s="1110"/>
      <c r="AU480" s="1110"/>
      <c r="AV480" s="1110"/>
      <c r="AW480" s="1110"/>
    </row>
    <row r="481" spans="43:49" ht="14.25" customHeight="1" x14ac:dyDescent="0.25">
      <c r="AQ481" s="1110"/>
      <c r="AR481" s="1110"/>
      <c r="AS481" s="1110"/>
      <c r="AT481" s="1110"/>
      <c r="AU481" s="1110"/>
      <c r="AV481" s="1110"/>
      <c r="AW481" s="1110"/>
    </row>
  </sheetData>
  <autoFilter ref="A11:BC456" xr:uid="{00000000-0009-0000-0000-000005000000}"/>
  <phoneticPr fontId="39" type="noConversion"/>
  <printOptions gridLines="1"/>
  <pageMargins left="0.23622047244094491" right="0.23622047244094491" top="0.70866141732283472" bottom="0" header="0.19685039370078741" footer="0"/>
  <pageSetup scale="59" fitToHeight="0" orientation="landscape" horizontalDpi="300" verticalDpi="300" r:id="rId1"/>
  <headerFooter alignWithMargins="0">
    <oddHeader xml:space="preserve">&amp;L30-Mar-2023
&amp;A&amp;CTOWN OF TOPSFIELD FINANCE COMMITTEE
BUDGET WORKSHEETS
&amp;R&amp;"Arial,Bold"&amp;12VERSION 2.0
FY 2024
</oddHeader>
    <oddFooter xml:space="preserve">&amp;R
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2106"/>
  <sheetViews>
    <sheetView topLeftCell="A38" zoomScale="140" zoomScaleNormal="140" workbookViewId="0">
      <selection activeCell="D13" sqref="D13"/>
    </sheetView>
  </sheetViews>
  <sheetFormatPr defaultColWidth="8.86328125" defaultRowHeight="10.15" x14ac:dyDescent="0.3"/>
  <cols>
    <col min="1" max="1" width="5" style="108" customWidth="1"/>
    <col min="2" max="2" width="47.86328125" style="87" customWidth="1"/>
    <col min="3" max="3" width="12.6640625" style="108" customWidth="1"/>
    <col min="4" max="4" width="10.1328125" style="127" customWidth="1"/>
    <col min="5" max="5" width="10.33203125" style="127" customWidth="1"/>
    <col min="6" max="6" width="13.46484375" style="127" bestFit="1" customWidth="1"/>
    <col min="7" max="7" width="11.46484375" style="127" customWidth="1"/>
    <col min="8" max="8" width="9.1328125" style="127" customWidth="1"/>
    <col min="9" max="9" width="9.46484375" style="127" customWidth="1"/>
    <col min="10" max="10" width="39.53125" style="86" customWidth="1"/>
    <col min="11" max="11" width="8.86328125" style="108"/>
    <col min="12" max="12" width="6.46484375" style="108" customWidth="1"/>
    <col min="13" max="14" width="9.53125" style="108" bestFit="1" customWidth="1"/>
    <col min="15" max="16384" width="8.86328125" style="108"/>
  </cols>
  <sheetData>
    <row r="1" spans="1:17" ht="11.65" x14ac:dyDescent="0.35">
      <c r="C1" s="514" t="s">
        <v>79</v>
      </c>
      <c r="D1" s="487"/>
      <c r="E1" s="487"/>
      <c r="F1" s="487"/>
      <c r="G1" s="487"/>
      <c r="H1" s="487"/>
      <c r="I1" s="488"/>
      <c r="J1" s="511"/>
      <c r="N1" s="493"/>
      <c r="O1" s="493"/>
      <c r="P1" s="493"/>
      <c r="Q1" s="504"/>
    </row>
    <row r="2" spans="1:17" ht="12.75" x14ac:dyDescent="0.35">
      <c r="B2" s="1527"/>
      <c r="C2" s="503" t="s">
        <v>395</v>
      </c>
      <c r="D2" s="491"/>
      <c r="E2" s="492"/>
      <c r="F2" s="492"/>
      <c r="G2" s="492"/>
      <c r="H2" s="492"/>
      <c r="I2" s="493"/>
      <c r="J2" s="512"/>
      <c r="N2" s="493"/>
      <c r="O2" s="493"/>
      <c r="P2" s="493"/>
      <c r="Q2" s="504"/>
    </row>
    <row r="3" spans="1:17" ht="12" thickBot="1" x14ac:dyDescent="0.4">
      <c r="C3" s="503" t="s">
        <v>99</v>
      </c>
      <c r="D3" s="491"/>
      <c r="E3" s="492"/>
      <c r="F3" s="492"/>
      <c r="G3" s="497"/>
      <c r="H3" s="497"/>
      <c r="I3" s="498"/>
      <c r="J3" s="513"/>
      <c r="N3" s="493"/>
      <c r="O3" s="493"/>
      <c r="P3" s="493"/>
      <c r="Q3" s="504"/>
    </row>
    <row r="4" spans="1:17" s="86" customFormat="1" ht="9.75" thickBot="1" x14ac:dyDescent="0.35">
      <c r="A4" s="83"/>
      <c r="B4" s="83"/>
      <c r="C4" s="84" t="s">
        <v>418</v>
      </c>
      <c r="D4" s="85"/>
      <c r="E4" s="387"/>
      <c r="F4" s="515"/>
      <c r="G4" s="85"/>
      <c r="H4" s="84" t="s">
        <v>419</v>
      </c>
      <c r="I4" s="516"/>
      <c r="J4" s="510"/>
    </row>
    <row r="5" spans="1:17" s="86" customFormat="1" ht="9.75" thickBot="1" x14ac:dyDescent="0.35">
      <c r="A5" s="88" t="s">
        <v>160</v>
      </c>
      <c r="B5" s="89" t="s">
        <v>160</v>
      </c>
      <c r="C5" s="90" t="s">
        <v>420</v>
      </c>
      <c r="D5" s="90" t="s">
        <v>421</v>
      </c>
      <c r="E5" s="94" t="s">
        <v>422</v>
      </c>
      <c r="F5" s="384" t="s">
        <v>283</v>
      </c>
      <c r="G5" s="90" t="s">
        <v>147</v>
      </c>
      <c r="H5" s="92" t="s">
        <v>274</v>
      </c>
      <c r="I5" s="92"/>
      <c r="J5" s="93"/>
    </row>
    <row r="6" spans="1:17" s="86" customFormat="1" ht="9.4" x14ac:dyDescent="0.3">
      <c r="A6" s="88" t="s">
        <v>275</v>
      </c>
      <c r="B6" s="89" t="s">
        <v>307</v>
      </c>
      <c r="C6" s="89" t="s">
        <v>308</v>
      </c>
      <c r="D6" s="91" t="s">
        <v>309</v>
      </c>
      <c r="E6" s="94" t="s">
        <v>310</v>
      </c>
      <c r="F6" s="385" t="s">
        <v>311</v>
      </c>
      <c r="G6" s="91" t="s">
        <v>561</v>
      </c>
      <c r="H6" s="90" t="s">
        <v>562</v>
      </c>
      <c r="I6" s="90" t="s">
        <v>568</v>
      </c>
      <c r="J6" s="93"/>
    </row>
    <row r="7" spans="1:17" s="86" customFormat="1" ht="9.4" x14ac:dyDescent="0.3">
      <c r="A7" s="88" t="s">
        <v>275</v>
      </c>
      <c r="B7" s="89" t="s">
        <v>39</v>
      </c>
      <c r="C7" s="89" t="s">
        <v>787</v>
      </c>
      <c r="D7" s="91" t="s">
        <v>763</v>
      </c>
      <c r="E7" s="94" t="s">
        <v>764</v>
      </c>
      <c r="F7" s="385" t="s">
        <v>765</v>
      </c>
      <c r="G7" s="91" t="s">
        <v>651</v>
      </c>
      <c r="H7" s="91" t="s">
        <v>652</v>
      </c>
      <c r="I7" s="91" t="s">
        <v>654</v>
      </c>
      <c r="J7" s="94" t="s">
        <v>160</v>
      </c>
    </row>
    <row r="8" spans="1:17" s="86" customFormat="1" ht="9.4" x14ac:dyDescent="0.3">
      <c r="A8" s="88" t="s">
        <v>831</v>
      </c>
      <c r="B8" s="95" t="s">
        <v>976</v>
      </c>
      <c r="C8" s="89" t="s">
        <v>832</v>
      </c>
      <c r="D8" s="91" t="s">
        <v>833</v>
      </c>
      <c r="E8" s="388" t="s">
        <v>431</v>
      </c>
      <c r="F8" s="385" t="s">
        <v>303</v>
      </c>
      <c r="G8" s="91" t="s">
        <v>304</v>
      </c>
      <c r="H8" s="91" t="s">
        <v>303</v>
      </c>
      <c r="I8" s="91" t="s">
        <v>563</v>
      </c>
      <c r="J8" s="94" t="s">
        <v>564</v>
      </c>
    </row>
    <row r="9" spans="1:17" s="86" customFormat="1" ht="9.75" thickBot="1" x14ac:dyDescent="0.35">
      <c r="A9" s="96" t="s">
        <v>565</v>
      </c>
      <c r="B9" s="97"/>
      <c r="C9" s="98" t="s">
        <v>668</v>
      </c>
      <c r="D9" s="99"/>
      <c r="E9" s="389"/>
      <c r="F9" s="386" t="s">
        <v>669</v>
      </c>
      <c r="G9" s="101" t="s">
        <v>670</v>
      </c>
      <c r="H9" s="100" t="s">
        <v>602</v>
      </c>
      <c r="I9" s="100"/>
      <c r="J9" s="102" t="s">
        <v>603</v>
      </c>
    </row>
    <row r="10" spans="1:17" x14ac:dyDescent="0.3">
      <c r="A10" s="104">
        <v>2</v>
      </c>
      <c r="B10" s="105" t="s">
        <v>877</v>
      </c>
      <c r="C10" s="106">
        <f>SUM(D10:H10)</f>
        <v>110476</v>
      </c>
      <c r="D10" s="104"/>
      <c r="E10" s="393"/>
      <c r="F10" s="394">
        <v>110476</v>
      </c>
      <c r="G10" s="392"/>
      <c r="H10" s="393"/>
      <c r="I10" s="393"/>
      <c r="J10" s="380" t="s">
        <v>936</v>
      </c>
      <c r="L10" s="86"/>
      <c r="M10" s="86"/>
      <c r="N10" s="86"/>
    </row>
    <row r="11" spans="1:17" ht="26.1" customHeight="1" x14ac:dyDescent="0.3">
      <c r="A11" s="106">
        <v>3</v>
      </c>
      <c r="B11" s="109" t="s">
        <v>606</v>
      </c>
      <c r="C11" s="394">
        <f>SUM(D11:G11)</f>
        <v>25488895</v>
      </c>
      <c r="D11" s="394">
        <f>BUDGET!AT413 -SUM(E11:G11)</f>
        <v>25488895</v>
      </c>
      <c r="E11" s="394"/>
      <c r="F11" s="394"/>
      <c r="H11" s="396"/>
      <c r="I11" s="396"/>
      <c r="J11" s="602"/>
      <c r="L11" s="86"/>
      <c r="M11" s="86"/>
      <c r="N11" s="86"/>
    </row>
    <row r="12" spans="1:17" x14ac:dyDescent="0.3">
      <c r="A12" s="106">
        <v>4</v>
      </c>
      <c r="B12" s="109" t="s">
        <v>714</v>
      </c>
      <c r="C12" s="394">
        <f>SUM(D12:G12)</f>
        <v>2197897</v>
      </c>
      <c r="D12" s="394"/>
      <c r="E12" s="396"/>
      <c r="F12" s="394"/>
      <c r="G12" s="395">
        <f>BUDGET!AT431</f>
        <v>2197897</v>
      </c>
      <c r="H12" s="396"/>
      <c r="I12" s="396"/>
      <c r="J12" s="107"/>
      <c r="L12" s="86"/>
      <c r="M12" s="86"/>
      <c r="N12" s="86"/>
    </row>
    <row r="13" spans="1:17" x14ac:dyDescent="0.3">
      <c r="A13" s="106">
        <v>5</v>
      </c>
      <c r="B13" s="109" t="s">
        <v>116</v>
      </c>
      <c r="C13" s="394">
        <f t="shared" ref="C13" si="0">SUM(D13:G13)</f>
        <v>9760623</v>
      </c>
      <c r="D13" s="394">
        <f>BUDGET!AT438</f>
        <v>9760623</v>
      </c>
      <c r="E13" s="396"/>
      <c r="F13" s="394"/>
      <c r="G13" s="395"/>
      <c r="H13" s="396"/>
      <c r="I13" s="396"/>
      <c r="J13" s="107"/>
      <c r="L13" s="86"/>
      <c r="M13" s="86"/>
      <c r="N13" s="86"/>
    </row>
    <row r="14" spans="1:17" x14ac:dyDescent="0.3">
      <c r="A14" s="106">
        <v>6</v>
      </c>
      <c r="B14" s="109" t="s">
        <v>115</v>
      </c>
      <c r="C14" s="394">
        <f>SUM(D14:G14)</f>
        <v>446717</v>
      </c>
      <c r="D14" s="394">
        <v>446717</v>
      </c>
      <c r="E14" s="396"/>
      <c r="F14" s="394"/>
      <c r="G14" s="395"/>
      <c r="H14" s="396"/>
      <c r="I14" s="396"/>
      <c r="J14" s="107"/>
      <c r="L14" s="86"/>
      <c r="M14" s="86"/>
      <c r="N14" s="86"/>
    </row>
    <row r="15" spans="1:17" x14ac:dyDescent="0.3">
      <c r="A15" s="106">
        <v>7</v>
      </c>
      <c r="B15" s="109" t="s">
        <v>987</v>
      </c>
      <c r="C15" s="394">
        <f t="shared" ref="C15:C18" si="1">SUM(D15:G15)</f>
        <v>0</v>
      </c>
      <c r="D15" s="394"/>
      <c r="E15" s="396"/>
      <c r="F15" s="394"/>
      <c r="G15" s="395"/>
      <c r="H15" s="396"/>
      <c r="I15" s="396"/>
      <c r="J15" s="107"/>
      <c r="L15" s="86"/>
      <c r="M15" s="86"/>
      <c r="N15" s="86"/>
    </row>
    <row r="16" spans="1:17" x14ac:dyDescent="0.3">
      <c r="A16" s="106">
        <v>8</v>
      </c>
      <c r="B16" s="109" t="s">
        <v>873</v>
      </c>
      <c r="C16" s="394">
        <f t="shared" si="1"/>
        <v>0</v>
      </c>
      <c r="D16" s="394"/>
      <c r="E16" s="567"/>
      <c r="F16" s="394"/>
      <c r="G16" s="395"/>
      <c r="H16" s="396"/>
      <c r="I16" s="396"/>
      <c r="J16" s="107"/>
      <c r="L16" s="86"/>
      <c r="M16" s="86"/>
      <c r="N16" s="86"/>
    </row>
    <row r="17" spans="1:14" x14ac:dyDescent="0.3">
      <c r="A17" s="106">
        <v>9</v>
      </c>
      <c r="B17" s="109" t="s">
        <v>807</v>
      </c>
      <c r="C17" s="394">
        <f t="shared" si="1"/>
        <v>21525</v>
      </c>
      <c r="D17" s="394"/>
      <c r="E17" s="396">
        <v>21525</v>
      </c>
      <c r="F17" s="394"/>
      <c r="G17" s="395"/>
      <c r="H17" s="396"/>
      <c r="I17" s="396"/>
      <c r="J17" s="107"/>
      <c r="L17" s="86"/>
      <c r="M17" s="86"/>
      <c r="N17" s="86"/>
    </row>
    <row r="18" spans="1:14" x14ac:dyDescent="0.3">
      <c r="A18" s="106">
        <v>10</v>
      </c>
      <c r="B18" s="109" t="s">
        <v>808</v>
      </c>
      <c r="C18" s="394">
        <f t="shared" si="1"/>
        <v>1500</v>
      </c>
      <c r="D18" s="394"/>
      <c r="E18" s="396">
        <v>1500</v>
      </c>
      <c r="F18" s="394"/>
      <c r="G18" s="395"/>
      <c r="H18" s="396"/>
      <c r="I18" s="396"/>
      <c r="J18" s="107"/>
      <c r="L18" s="86"/>
      <c r="M18" s="86"/>
      <c r="N18" s="86"/>
    </row>
    <row r="19" spans="1:14" x14ac:dyDescent="0.3">
      <c r="A19" s="106">
        <v>11</v>
      </c>
      <c r="B19" s="109" t="s">
        <v>1177</v>
      </c>
      <c r="C19" s="479">
        <f>SUM(D19:G19)</f>
        <v>5000</v>
      </c>
      <c r="D19" s="394"/>
      <c r="E19" s="395">
        <v>5000</v>
      </c>
      <c r="F19" s="394"/>
      <c r="G19" s="609"/>
      <c r="H19" s="396"/>
      <c r="I19" s="396"/>
      <c r="J19" s="107"/>
      <c r="L19" s="86"/>
      <c r="M19" s="86"/>
      <c r="N19" s="86"/>
    </row>
    <row r="20" spans="1:14" x14ac:dyDescent="0.3">
      <c r="A20" s="106">
        <v>12</v>
      </c>
      <c r="B20" s="109" t="s">
        <v>1175</v>
      </c>
      <c r="C20" s="479">
        <f>SUM(D20:G20)</f>
        <v>8500</v>
      </c>
      <c r="D20" s="394"/>
      <c r="E20" s="395">
        <v>8500</v>
      </c>
      <c r="F20" s="394"/>
      <c r="G20" s="609"/>
      <c r="H20" s="396"/>
      <c r="I20" s="396"/>
      <c r="J20" s="107"/>
      <c r="L20" s="86"/>
      <c r="M20" s="86"/>
      <c r="N20" s="86"/>
    </row>
    <row r="21" spans="1:14" x14ac:dyDescent="0.3">
      <c r="A21" s="106">
        <v>13</v>
      </c>
      <c r="B21" s="87" t="s">
        <v>1057</v>
      </c>
      <c r="C21" s="394">
        <f>SUM(D21:G21)</f>
        <v>30000</v>
      </c>
      <c r="D21" s="394"/>
      <c r="E21" s="2194">
        <v>30000</v>
      </c>
      <c r="F21" s="394"/>
      <c r="G21" s="395"/>
      <c r="H21" s="396"/>
      <c r="I21" s="396"/>
      <c r="J21" s="107" t="s">
        <v>1058</v>
      </c>
      <c r="L21" s="86"/>
      <c r="M21" s="86"/>
      <c r="N21" s="86"/>
    </row>
    <row r="22" spans="1:14" x14ac:dyDescent="0.3">
      <c r="A22" s="106">
        <v>14</v>
      </c>
      <c r="B22" s="109" t="s">
        <v>1132</v>
      </c>
      <c r="C22" s="479">
        <f>SUM(D22:G22)</f>
        <v>180000</v>
      </c>
      <c r="D22" s="394"/>
      <c r="E22" s="395">
        <v>180000</v>
      </c>
      <c r="F22" s="394"/>
      <c r="G22" s="395"/>
      <c r="H22" s="396"/>
      <c r="I22" s="396"/>
      <c r="J22" s="107"/>
      <c r="L22" s="86"/>
      <c r="M22" s="86"/>
      <c r="N22" s="86"/>
    </row>
    <row r="23" spans="1:14" x14ac:dyDescent="0.3">
      <c r="A23" s="106">
        <v>15</v>
      </c>
      <c r="B23" s="109" t="s">
        <v>1178</v>
      </c>
      <c r="C23" s="479">
        <f>SUM(E23:G23)</f>
        <v>13000</v>
      </c>
      <c r="D23" s="604"/>
      <c r="E23" s="567">
        <v>13000</v>
      </c>
      <c r="F23" s="394"/>
      <c r="G23" s="395"/>
      <c r="H23" s="396"/>
      <c r="I23" s="396"/>
      <c r="J23" s="107"/>
      <c r="L23" s="86"/>
      <c r="M23" s="86"/>
      <c r="N23" s="86"/>
    </row>
    <row r="24" spans="1:14" x14ac:dyDescent="0.3">
      <c r="A24" s="106">
        <v>16</v>
      </c>
      <c r="B24" s="109" t="s">
        <v>1179</v>
      </c>
      <c r="C24" s="479">
        <f>SUM(E24:G24)</f>
        <v>25000</v>
      </c>
      <c r="D24" s="604"/>
      <c r="E24" s="394">
        <v>25000</v>
      </c>
      <c r="F24" s="394"/>
      <c r="G24" s="567"/>
      <c r="H24" s="396"/>
      <c r="I24" s="396"/>
      <c r="J24" s="553"/>
      <c r="L24" s="86"/>
      <c r="M24" s="86"/>
      <c r="N24" s="86"/>
    </row>
    <row r="25" spans="1:14" x14ac:dyDescent="0.3">
      <c r="A25" s="106">
        <v>17</v>
      </c>
      <c r="B25" s="109" t="s">
        <v>1180</v>
      </c>
      <c r="C25" s="479">
        <f>SUM(E25:G25)</f>
        <v>18000</v>
      </c>
      <c r="E25" s="567">
        <v>18000</v>
      </c>
      <c r="F25" s="1568"/>
      <c r="G25" s="567"/>
      <c r="H25" s="396"/>
      <c r="I25" s="396"/>
      <c r="J25" s="553"/>
      <c r="L25" s="86"/>
      <c r="M25" s="86"/>
      <c r="N25" s="86"/>
    </row>
    <row r="26" spans="1:14" x14ac:dyDescent="0.3">
      <c r="A26" s="106">
        <v>18</v>
      </c>
      <c r="B26" s="109" t="s">
        <v>1181</v>
      </c>
      <c r="C26" s="479">
        <f t="shared" ref="C26:C32" si="2">SUM(D26:G26)</f>
        <v>15000</v>
      </c>
      <c r="D26" s="567"/>
      <c r="E26" s="567">
        <v>15000</v>
      </c>
      <c r="F26" s="394"/>
      <c r="G26" s="567"/>
      <c r="H26" s="396"/>
      <c r="I26" s="396"/>
      <c r="J26" s="553"/>
      <c r="L26" s="86"/>
      <c r="M26" s="86"/>
      <c r="N26" s="86"/>
    </row>
    <row r="27" spans="1:14" x14ac:dyDescent="0.3">
      <c r="A27" s="106">
        <v>19</v>
      </c>
      <c r="B27" s="109" t="s">
        <v>1182</v>
      </c>
      <c r="C27" s="479">
        <f t="shared" si="2"/>
        <v>1015000</v>
      </c>
      <c r="E27" s="567">
        <f>350000</f>
        <v>350000</v>
      </c>
      <c r="F27" s="394">
        <f>390000+275000</f>
        <v>665000</v>
      </c>
      <c r="G27" s="567"/>
      <c r="H27" s="394"/>
      <c r="I27" s="396"/>
      <c r="J27" s="381"/>
      <c r="L27" s="86"/>
      <c r="M27" s="86"/>
      <c r="N27" s="86"/>
    </row>
    <row r="28" spans="1:14" x14ac:dyDescent="0.3">
      <c r="A28" s="106">
        <f>A27+1</f>
        <v>20</v>
      </c>
      <c r="B28" s="2590" t="s">
        <v>1183</v>
      </c>
      <c r="C28" s="2569">
        <f t="shared" si="2"/>
        <v>0</v>
      </c>
      <c r="D28" s="2577"/>
      <c r="E28" s="2570"/>
      <c r="F28" s="2578"/>
      <c r="G28" s="2570"/>
      <c r="H28" s="2578"/>
      <c r="I28" s="2572"/>
      <c r="J28" s="381" t="s">
        <v>1293</v>
      </c>
      <c r="L28" s="86"/>
      <c r="M28" s="86"/>
      <c r="N28" s="86"/>
    </row>
    <row r="29" spans="1:14" x14ac:dyDescent="0.3">
      <c r="A29" s="106">
        <f t="shared" ref="A29:A56" si="3">A28+1</f>
        <v>21</v>
      </c>
      <c r="B29" s="109" t="s">
        <v>1184</v>
      </c>
      <c r="C29" s="479">
        <f t="shared" si="2"/>
        <v>38000</v>
      </c>
      <c r="D29" s="567"/>
      <c r="E29" s="567">
        <v>38000</v>
      </c>
      <c r="F29" s="567"/>
      <c r="G29" s="2120"/>
      <c r="H29" s="394"/>
      <c r="I29" s="396"/>
      <c r="J29" s="381"/>
      <c r="L29" s="86"/>
      <c r="M29" s="86"/>
      <c r="N29" s="86"/>
    </row>
    <row r="30" spans="1:14" x14ac:dyDescent="0.3">
      <c r="A30" s="106">
        <f t="shared" si="3"/>
        <v>22</v>
      </c>
      <c r="B30" s="87" t="s">
        <v>1185</v>
      </c>
      <c r="C30" s="479">
        <f t="shared" si="2"/>
        <v>33000</v>
      </c>
      <c r="D30" s="567"/>
      <c r="E30" s="567">
        <v>33000</v>
      </c>
      <c r="F30" s="394"/>
      <c r="G30" s="570"/>
      <c r="H30" s="396"/>
      <c r="I30" s="396"/>
      <c r="J30" s="107"/>
      <c r="L30" s="86"/>
      <c r="M30" s="86"/>
      <c r="N30" s="86"/>
    </row>
    <row r="31" spans="1:14" x14ac:dyDescent="0.3">
      <c r="A31" s="106">
        <f t="shared" si="3"/>
        <v>23</v>
      </c>
      <c r="B31" s="87" t="s">
        <v>1186</v>
      </c>
      <c r="C31" s="479">
        <f t="shared" si="2"/>
        <v>40000</v>
      </c>
      <c r="D31" s="567"/>
      <c r="E31" s="567">
        <v>40000</v>
      </c>
      <c r="F31" s="394"/>
      <c r="G31" s="570"/>
      <c r="H31" s="396"/>
      <c r="I31" s="396"/>
      <c r="J31" s="107"/>
      <c r="L31" s="86"/>
      <c r="M31" s="86"/>
      <c r="N31" s="86"/>
    </row>
    <row r="32" spans="1:14" x14ac:dyDescent="0.3">
      <c r="A32" s="106">
        <f t="shared" si="3"/>
        <v>24</v>
      </c>
      <c r="B32" s="87" t="s">
        <v>1187</v>
      </c>
      <c r="C32" s="479">
        <f t="shared" si="2"/>
        <v>15000</v>
      </c>
      <c r="D32" s="567"/>
      <c r="E32" s="567">
        <v>15000</v>
      </c>
      <c r="F32" s="394"/>
      <c r="G32" s="570"/>
      <c r="H32" s="396"/>
      <c r="I32" s="396"/>
      <c r="J32" s="107"/>
      <c r="L32" s="86"/>
      <c r="M32" s="86"/>
      <c r="N32" s="86"/>
    </row>
    <row r="33" spans="1:14" x14ac:dyDescent="0.3">
      <c r="A33" s="106">
        <f t="shared" si="3"/>
        <v>25</v>
      </c>
      <c r="B33" s="109" t="s">
        <v>1188</v>
      </c>
      <c r="C33" s="479">
        <f>SUM(D33:I33)</f>
        <v>20000</v>
      </c>
      <c r="D33" s="567"/>
      <c r="E33" s="567">
        <v>20000</v>
      </c>
      <c r="F33" s="394"/>
      <c r="G33" s="567"/>
      <c r="H33" s="396"/>
      <c r="I33" s="396"/>
      <c r="J33" s="107"/>
      <c r="L33" s="86"/>
      <c r="M33" s="86"/>
      <c r="N33" s="86"/>
    </row>
    <row r="34" spans="1:14" x14ac:dyDescent="0.3">
      <c r="A34" s="106">
        <f t="shared" si="3"/>
        <v>26</v>
      </c>
      <c r="B34" s="109" t="s">
        <v>1189</v>
      </c>
      <c r="C34" s="479">
        <f>SUM(D34:I34)</f>
        <v>175000</v>
      </c>
      <c r="D34" s="567"/>
      <c r="E34" s="567"/>
      <c r="F34" s="394"/>
      <c r="G34" s="567">
        <v>175000</v>
      </c>
      <c r="H34" s="396"/>
      <c r="I34" s="396"/>
      <c r="J34" s="107"/>
      <c r="L34" s="86"/>
      <c r="M34" s="86"/>
      <c r="N34" s="86"/>
    </row>
    <row r="35" spans="1:14" x14ac:dyDescent="0.3">
      <c r="A35" s="106">
        <f t="shared" si="3"/>
        <v>27</v>
      </c>
      <c r="B35" s="109" t="s">
        <v>1190</v>
      </c>
      <c r="C35" s="479">
        <f>SUM(D35:I35)</f>
        <v>75000</v>
      </c>
      <c r="D35" s="567"/>
      <c r="E35" s="1528"/>
      <c r="F35" s="394"/>
      <c r="G35" s="567">
        <v>75000</v>
      </c>
      <c r="H35" s="396"/>
      <c r="I35" s="396"/>
      <c r="J35" s="107"/>
      <c r="L35" s="86"/>
      <c r="M35" s="86"/>
      <c r="N35" s="86"/>
    </row>
    <row r="36" spans="1:14" x14ac:dyDescent="0.3">
      <c r="A36" s="106">
        <f t="shared" si="3"/>
        <v>28</v>
      </c>
      <c r="B36" s="109" t="s">
        <v>1191</v>
      </c>
      <c r="C36" s="479">
        <f>SUM(D36:I36)</f>
        <v>100000</v>
      </c>
      <c r="D36" s="567"/>
      <c r="E36" s="567"/>
      <c r="F36" s="394"/>
      <c r="G36" s="567">
        <v>100000</v>
      </c>
      <c r="H36" s="396"/>
      <c r="I36" s="396"/>
      <c r="J36" s="107"/>
      <c r="L36" s="86"/>
      <c r="M36" s="86"/>
      <c r="N36" s="86"/>
    </row>
    <row r="37" spans="1:14" x14ac:dyDescent="0.3">
      <c r="A37" s="106">
        <f t="shared" si="3"/>
        <v>29</v>
      </c>
      <c r="B37" s="109" t="s">
        <v>1192</v>
      </c>
      <c r="C37" s="479">
        <f>SUM(D37:I37)</f>
        <v>25000</v>
      </c>
      <c r="D37" s="567"/>
      <c r="E37" s="567"/>
      <c r="F37" s="394"/>
      <c r="G37" s="567">
        <v>25000</v>
      </c>
      <c r="H37" s="396"/>
      <c r="I37" s="396"/>
      <c r="J37" s="107"/>
      <c r="L37" s="86"/>
      <c r="M37" s="86"/>
      <c r="N37" s="86"/>
    </row>
    <row r="38" spans="1:14" x14ac:dyDescent="0.3">
      <c r="A38" s="106">
        <f t="shared" si="3"/>
        <v>30</v>
      </c>
      <c r="B38" s="109" t="s">
        <v>1193</v>
      </c>
      <c r="C38" s="479">
        <f t="shared" ref="C38:C53" si="4">SUM(D38:I38)</f>
        <v>10000</v>
      </c>
      <c r="D38" s="567"/>
      <c r="E38" s="567">
        <v>10000</v>
      </c>
      <c r="F38" s="394">
        <v>0</v>
      </c>
      <c r="G38" s="567"/>
      <c r="H38" s="396"/>
      <c r="I38" s="396"/>
      <c r="J38" s="107"/>
      <c r="L38" s="86"/>
      <c r="M38" s="86"/>
      <c r="N38" s="86"/>
    </row>
    <row r="39" spans="1:14" x14ac:dyDescent="0.3">
      <c r="A39" s="106">
        <f t="shared" si="3"/>
        <v>31</v>
      </c>
      <c r="B39" s="109" t="s">
        <v>1194</v>
      </c>
      <c r="C39" s="479">
        <f t="shared" si="4"/>
        <v>50000</v>
      </c>
      <c r="D39" s="567"/>
      <c r="E39" s="2195"/>
      <c r="F39" s="567"/>
      <c r="G39" s="567">
        <v>50000</v>
      </c>
      <c r="H39" s="396"/>
      <c r="I39" s="396"/>
      <c r="J39" s="107"/>
      <c r="L39" s="123"/>
    </row>
    <row r="40" spans="1:14" x14ac:dyDescent="0.3">
      <c r="A40" s="106">
        <f t="shared" si="3"/>
        <v>32</v>
      </c>
      <c r="B40" s="109" t="s">
        <v>1314</v>
      </c>
      <c r="C40" s="479"/>
      <c r="D40" s="567"/>
      <c r="E40" s="2195"/>
      <c r="F40" s="567"/>
      <c r="G40" s="567"/>
      <c r="H40" s="396"/>
      <c r="I40" s="396"/>
      <c r="J40" s="107"/>
      <c r="L40" s="123"/>
    </row>
    <row r="41" spans="1:14" x14ac:dyDescent="0.3">
      <c r="A41" s="106">
        <f t="shared" si="3"/>
        <v>33</v>
      </c>
      <c r="B41" s="109" t="s">
        <v>1266</v>
      </c>
      <c r="C41" s="479"/>
      <c r="D41" s="567"/>
      <c r="E41" s="2195"/>
      <c r="F41" s="567"/>
      <c r="G41" s="567"/>
      <c r="H41" s="396"/>
      <c r="I41" s="396"/>
      <c r="J41" s="107"/>
      <c r="L41" s="123"/>
    </row>
    <row r="42" spans="1:14" x14ac:dyDescent="0.3">
      <c r="A42" s="106">
        <f t="shared" si="3"/>
        <v>34</v>
      </c>
      <c r="B42" s="109" t="s">
        <v>1268</v>
      </c>
      <c r="C42" s="479"/>
      <c r="D42" s="567"/>
      <c r="E42" s="2195"/>
      <c r="F42" s="567"/>
      <c r="G42" s="567"/>
      <c r="H42" s="396"/>
      <c r="I42" s="396"/>
      <c r="J42" s="107"/>
      <c r="L42" s="123"/>
    </row>
    <row r="43" spans="1:14" x14ac:dyDescent="0.3">
      <c r="A43" s="106">
        <f t="shared" si="3"/>
        <v>35</v>
      </c>
      <c r="B43" s="109" t="s">
        <v>1269</v>
      </c>
      <c r="C43" s="479"/>
      <c r="D43" s="567"/>
      <c r="E43" s="2195"/>
      <c r="F43" s="567"/>
      <c r="G43" s="567"/>
      <c r="H43" s="396"/>
      <c r="I43" s="396"/>
      <c r="J43" s="107"/>
      <c r="L43" s="123"/>
    </row>
    <row r="44" spans="1:14" x14ac:dyDescent="0.3">
      <c r="A44" s="106">
        <f t="shared" si="3"/>
        <v>36</v>
      </c>
      <c r="B44" s="109" t="s">
        <v>1272</v>
      </c>
      <c r="C44" s="479"/>
      <c r="D44" s="567"/>
      <c r="E44" s="2195"/>
      <c r="F44" s="567"/>
      <c r="G44" s="567"/>
      <c r="H44" s="396"/>
      <c r="I44" s="396"/>
      <c r="J44" s="107"/>
      <c r="L44" s="123"/>
    </row>
    <row r="45" spans="1:14" x14ac:dyDescent="0.3">
      <c r="A45" s="106">
        <f t="shared" si="3"/>
        <v>37</v>
      </c>
      <c r="B45" s="109" t="s">
        <v>1270</v>
      </c>
      <c r="C45" s="479"/>
      <c r="D45" s="567"/>
      <c r="E45" s="2195"/>
      <c r="F45" s="567"/>
      <c r="G45" s="567"/>
      <c r="H45" s="396"/>
      <c r="I45" s="396"/>
      <c r="J45" s="107"/>
      <c r="L45" s="123"/>
    </row>
    <row r="46" spans="1:14" x14ac:dyDescent="0.3">
      <c r="A46" s="106">
        <f t="shared" si="3"/>
        <v>38</v>
      </c>
      <c r="B46" s="109" t="s">
        <v>1271</v>
      </c>
      <c r="C46" s="479"/>
      <c r="D46" s="567"/>
      <c r="E46" s="2195"/>
      <c r="F46" s="567"/>
      <c r="G46" s="567"/>
      <c r="H46" s="396"/>
      <c r="I46" s="396"/>
      <c r="J46" s="107"/>
      <c r="L46" s="123"/>
    </row>
    <row r="47" spans="1:14" x14ac:dyDescent="0.3">
      <c r="A47" s="106">
        <f t="shared" si="3"/>
        <v>39</v>
      </c>
      <c r="B47" s="2590" t="s">
        <v>1274</v>
      </c>
      <c r="C47" s="2569"/>
      <c r="D47" s="2570"/>
      <c r="E47" s="2571"/>
      <c r="F47" s="2570"/>
      <c r="G47" s="2570"/>
      <c r="H47" s="2572"/>
      <c r="I47" s="2572"/>
      <c r="J47" s="2573"/>
      <c r="L47" s="123"/>
    </row>
    <row r="48" spans="1:14" x14ac:dyDescent="0.3">
      <c r="A48" s="106">
        <f t="shared" si="3"/>
        <v>40</v>
      </c>
      <c r="B48" s="109" t="s">
        <v>1273</v>
      </c>
      <c r="C48" s="479"/>
      <c r="D48" s="567"/>
      <c r="E48" s="2195"/>
      <c r="F48" s="567"/>
      <c r="G48" s="567"/>
      <c r="H48" s="396"/>
      <c r="I48" s="396"/>
      <c r="J48" s="107"/>
      <c r="L48" s="123"/>
    </row>
    <row r="49" spans="1:12" x14ac:dyDescent="0.3">
      <c r="A49" s="106">
        <f t="shared" si="3"/>
        <v>41</v>
      </c>
      <c r="B49" s="109" t="s">
        <v>1258</v>
      </c>
      <c r="C49" s="479">
        <f t="shared" si="4"/>
        <v>116704</v>
      </c>
      <c r="D49" s="567"/>
      <c r="E49" s="479">
        <v>116704</v>
      </c>
      <c r="F49" s="567"/>
      <c r="G49" s="567"/>
      <c r="H49" s="396"/>
      <c r="I49" s="396"/>
      <c r="J49" s="107"/>
      <c r="L49" s="123"/>
    </row>
    <row r="50" spans="1:12" x14ac:dyDescent="0.3">
      <c r="A50" s="106">
        <f t="shared" si="3"/>
        <v>42</v>
      </c>
      <c r="B50" s="109" t="s">
        <v>1275</v>
      </c>
      <c r="C50" s="479"/>
      <c r="D50" s="567"/>
      <c r="E50" s="150"/>
      <c r="F50" s="567"/>
      <c r="G50" s="567"/>
      <c r="H50" s="396"/>
      <c r="I50" s="396"/>
      <c r="J50" s="107"/>
      <c r="L50" s="123"/>
    </row>
    <row r="51" spans="1:12" x14ac:dyDescent="0.3">
      <c r="A51" s="106">
        <f t="shared" si="3"/>
        <v>43</v>
      </c>
      <c r="B51" s="109" t="s">
        <v>1276</v>
      </c>
      <c r="C51" s="479"/>
      <c r="D51" s="567"/>
      <c r="E51" s="150"/>
      <c r="F51" s="567"/>
      <c r="G51" s="567"/>
      <c r="H51" s="396"/>
      <c r="I51" s="396"/>
      <c r="J51" s="107"/>
      <c r="L51" s="123"/>
    </row>
    <row r="52" spans="1:12" x14ac:dyDescent="0.3">
      <c r="A52" s="106">
        <f t="shared" si="3"/>
        <v>44</v>
      </c>
      <c r="B52" s="109" t="s">
        <v>1195</v>
      </c>
      <c r="C52" s="2368">
        <f t="shared" si="4"/>
        <v>31542.6</v>
      </c>
      <c r="D52" s="567"/>
      <c r="E52" s="2367">
        <v>31542.6</v>
      </c>
      <c r="F52" s="567"/>
      <c r="G52" s="567"/>
      <c r="H52" s="396"/>
      <c r="I52" s="396"/>
      <c r="J52" s="107"/>
      <c r="L52" s="123"/>
    </row>
    <row r="53" spans="1:12" x14ac:dyDescent="0.3">
      <c r="A53" s="106">
        <f t="shared" si="3"/>
        <v>45</v>
      </c>
      <c r="B53" s="87" t="s">
        <v>1029</v>
      </c>
      <c r="C53" s="479">
        <f t="shared" si="4"/>
        <v>400000</v>
      </c>
      <c r="D53" s="567"/>
      <c r="E53" s="2195">
        <v>400000</v>
      </c>
      <c r="F53" s="567"/>
      <c r="G53" s="567"/>
      <c r="H53" s="396"/>
      <c r="I53" s="396"/>
      <c r="J53" s="107"/>
      <c r="L53" s="123"/>
    </row>
    <row r="54" spans="1:12" x14ac:dyDescent="0.3">
      <c r="A54" s="106">
        <f t="shared" si="3"/>
        <v>46</v>
      </c>
      <c r="B54" s="109" t="s">
        <v>1028</v>
      </c>
      <c r="C54" s="479">
        <f>SUM(E54:G54)</f>
        <v>100000</v>
      </c>
      <c r="E54" s="567">
        <v>100000</v>
      </c>
      <c r="F54" s="567"/>
      <c r="G54" s="570"/>
      <c r="H54" s="396"/>
      <c r="I54" s="396"/>
      <c r="J54" s="107"/>
      <c r="L54" s="123"/>
    </row>
    <row r="55" spans="1:12" x14ac:dyDescent="0.3">
      <c r="A55" s="106">
        <f t="shared" si="3"/>
        <v>47</v>
      </c>
      <c r="B55" s="109" t="s">
        <v>1027</v>
      </c>
      <c r="C55" s="479">
        <f>SUM(E55:G55)</f>
        <v>25000</v>
      </c>
      <c r="D55" s="567"/>
      <c r="E55" s="567">
        <v>25000</v>
      </c>
      <c r="F55" s="567"/>
      <c r="G55" s="570"/>
      <c r="H55" s="396"/>
      <c r="I55" s="396"/>
      <c r="J55" s="107"/>
      <c r="L55" s="123"/>
    </row>
    <row r="56" spans="1:12" x14ac:dyDescent="0.3">
      <c r="A56" s="106">
        <f t="shared" si="3"/>
        <v>48</v>
      </c>
      <c r="B56" s="109" t="s">
        <v>1086</v>
      </c>
      <c r="C56" s="479">
        <f t="shared" ref="C56:C63" si="5">SUM(D56:I56)</f>
        <v>0</v>
      </c>
      <c r="D56" s="567"/>
      <c r="E56" s="567"/>
      <c r="F56" s="567"/>
      <c r="G56" s="570"/>
      <c r="H56" s="396"/>
      <c r="I56" s="396"/>
      <c r="J56" s="107">
        <v>305000</v>
      </c>
      <c r="L56" s="123"/>
    </row>
    <row r="57" spans="1:12" x14ac:dyDescent="0.3">
      <c r="A57" s="106"/>
      <c r="B57" s="109"/>
      <c r="C57" s="479">
        <f t="shared" si="5"/>
        <v>0</v>
      </c>
      <c r="D57" s="567"/>
      <c r="E57" s="394"/>
      <c r="F57" s="394"/>
      <c r="G57" s="567"/>
      <c r="H57" s="396"/>
      <c r="I57" s="396"/>
      <c r="J57" s="107"/>
      <c r="L57" s="123"/>
    </row>
    <row r="58" spans="1:12" x14ac:dyDescent="0.3">
      <c r="A58" s="106"/>
      <c r="B58" s="109"/>
      <c r="C58" s="479">
        <f t="shared" si="5"/>
        <v>0</v>
      </c>
      <c r="E58" s="394"/>
      <c r="F58" s="394"/>
      <c r="G58" s="395"/>
      <c r="H58" s="396"/>
      <c r="I58" s="396"/>
      <c r="J58" s="107">
        <f>SUM(E16:E55)</f>
        <v>1496771.6</v>
      </c>
      <c r="L58" s="123"/>
    </row>
    <row r="59" spans="1:12" x14ac:dyDescent="0.3">
      <c r="A59" s="106"/>
      <c r="B59" s="109"/>
      <c r="C59" s="479">
        <f t="shared" si="5"/>
        <v>0</v>
      </c>
      <c r="D59" s="150"/>
      <c r="E59" s="394">
        <f>100000*0</f>
        <v>0</v>
      </c>
      <c r="F59" s="394"/>
      <c r="G59" s="108"/>
      <c r="H59" s="396"/>
      <c r="I59" s="396"/>
      <c r="J59" s="107"/>
      <c r="L59" s="123"/>
    </row>
    <row r="60" spans="1:12" x14ac:dyDescent="0.3">
      <c r="A60" s="106"/>
      <c r="B60" s="109"/>
      <c r="C60" s="479">
        <f t="shared" si="5"/>
        <v>0</v>
      </c>
      <c r="D60" s="150"/>
      <c r="E60" s="394"/>
      <c r="F60" s="394"/>
      <c r="G60" s="460"/>
      <c r="H60" s="396"/>
      <c r="I60" s="396"/>
      <c r="J60" s="107"/>
      <c r="L60" s="123"/>
    </row>
    <row r="61" spans="1:12" x14ac:dyDescent="0.3">
      <c r="A61" s="106"/>
      <c r="B61" s="109"/>
      <c r="C61" s="479">
        <f t="shared" si="5"/>
        <v>0</v>
      </c>
      <c r="E61" s="396"/>
      <c r="F61" s="394"/>
      <c r="G61" s="533">
        <v>0</v>
      </c>
      <c r="H61" s="396"/>
      <c r="I61" s="396"/>
      <c r="J61" s="107"/>
      <c r="L61" s="123"/>
    </row>
    <row r="62" spans="1:12" x14ac:dyDescent="0.3">
      <c r="A62" s="106"/>
      <c r="B62" s="109"/>
      <c r="C62" s="479">
        <f t="shared" si="5"/>
        <v>0</v>
      </c>
      <c r="E62" s="396"/>
      <c r="F62" s="394"/>
      <c r="G62" s="395"/>
      <c r="H62" s="396"/>
      <c r="I62" s="396"/>
      <c r="J62" s="416"/>
      <c r="L62" s="123"/>
    </row>
    <row r="63" spans="1:12" x14ac:dyDescent="0.3">
      <c r="A63" s="106"/>
      <c r="B63" s="109"/>
      <c r="C63" s="479">
        <f t="shared" si="5"/>
        <v>0</v>
      </c>
      <c r="D63" s="150"/>
      <c r="E63" s="396"/>
      <c r="F63" s="394"/>
      <c r="G63" s="395"/>
      <c r="H63" s="396"/>
      <c r="I63" s="396"/>
      <c r="J63" s="107"/>
      <c r="L63" s="123"/>
    </row>
    <row r="64" spans="1:12" x14ac:dyDescent="0.3">
      <c r="A64" s="603"/>
      <c r="B64" s="109"/>
      <c r="C64" s="479" t="str">
        <f>IF(SUM(D64:G64)=0," ",SUM(D64:G64))</f>
        <v xml:space="preserve"> </v>
      </c>
      <c r="D64" s="567"/>
      <c r="E64" s="396"/>
      <c r="F64" s="604"/>
      <c r="G64" s="609"/>
      <c r="H64" s="396"/>
      <c r="I64" s="396"/>
      <c r="J64" s="107"/>
      <c r="L64" s="123"/>
    </row>
    <row r="65" spans="1:12" x14ac:dyDescent="0.3">
      <c r="A65" s="106"/>
      <c r="B65" s="109" t="s">
        <v>317</v>
      </c>
      <c r="C65" s="576">
        <f>SUM(C21:C33)</f>
        <v>1442000</v>
      </c>
      <c r="D65" s="576">
        <f>SUM(D23:D35)</f>
        <v>0</v>
      </c>
      <c r="E65" s="576">
        <f>SUM(E21:E33)</f>
        <v>777000</v>
      </c>
      <c r="F65" s="576">
        <f>SUM(F21:F33)</f>
        <v>665000</v>
      </c>
      <c r="G65" s="576">
        <f>SUM(G23:G35)</f>
        <v>250000</v>
      </c>
      <c r="H65" s="396"/>
      <c r="I65" s="396"/>
      <c r="J65" s="107" t="s">
        <v>50</v>
      </c>
    </row>
    <row r="66" spans="1:12" ht="10.5" thickBot="1" x14ac:dyDescent="0.35">
      <c r="A66" s="391"/>
      <c r="B66" s="390"/>
      <c r="C66" s="415"/>
      <c r="D66" s="164"/>
      <c r="E66" s="577"/>
      <c r="F66" s="397"/>
      <c r="G66" s="414"/>
      <c r="H66" s="396"/>
      <c r="I66" s="396"/>
      <c r="J66" s="381"/>
    </row>
    <row r="67" spans="1:12" ht="10.5" thickBot="1" x14ac:dyDescent="0.35">
      <c r="A67" s="111"/>
      <c r="B67" s="383" t="s">
        <v>486</v>
      </c>
      <c r="C67" s="415">
        <f>SUM(D67:G67)</f>
        <v>40591379.600000001</v>
      </c>
      <c r="D67" s="163">
        <f>SUM(D10:D64)</f>
        <v>35696235</v>
      </c>
      <c r="E67" s="578">
        <f>SUM(E10:E64)</f>
        <v>1496771.6</v>
      </c>
      <c r="F67" s="415">
        <f>SUM(F10:F64)</f>
        <v>775476</v>
      </c>
      <c r="G67" s="163">
        <f>SUM(G10:G64)</f>
        <v>2622897</v>
      </c>
      <c r="H67" s="415">
        <f>SUM(H10:H64)</f>
        <v>0</v>
      </c>
      <c r="I67" s="382"/>
      <c r="J67" s="112"/>
    </row>
    <row r="68" spans="1:12" x14ac:dyDescent="0.3">
      <c r="A68" s="106"/>
      <c r="B68" s="586" t="s">
        <v>487</v>
      </c>
      <c r="C68" s="106">
        <f>-(C11+C13 +C10)</f>
        <v>-35359994</v>
      </c>
      <c r="D68" s="106" t="s">
        <v>160</v>
      </c>
      <c r="E68" s="396"/>
      <c r="F68" s="106"/>
      <c r="G68" s="106"/>
      <c r="H68" s="106"/>
      <c r="I68" s="106"/>
      <c r="J68" s="107"/>
    </row>
    <row r="69" spans="1:12" x14ac:dyDescent="0.3">
      <c r="A69" s="106"/>
      <c r="B69" s="587" t="s">
        <v>488</v>
      </c>
      <c r="C69" s="110">
        <f>C67+C68</f>
        <v>5231385.6000000015</v>
      </c>
      <c r="D69" s="106">
        <f>SUM(C14:C64)+C10+C12</f>
        <v>5341861.5999999996</v>
      </c>
      <c r="E69" s="396"/>
      <c r="F69" s="106"/>
      <c r="G69" s="106"/>
      <c r="H69" s="114"/>
      <c r="I69" s="114"/>
      <c r="J69" s="115" t="s">
        <v>508</v>
      </c>
      <c r="L69" s="108" t="s">
        <v>868</v>
      </c>
    </row>
    <row r="70" spans="1:12" x14ac:dyDescent="0.3">
      <c r="A70" s="106"/>
      <c r="B70" s="581" t="s">
        <v>790</v>
      </c>
      <c r="C70" s="2063"/>
      <c r="D70" s="2063"/>
      <c r="E70" s="396"/>
      <c r="F70" s="106"/>
      <c r="G70" s="106"/>
      <c r="H70" s="106"/>
      <c r="I70" s="106"/>
      <c r="J70" s="115"/>
    </row>
    <row r="71" spans="1:12" x14ac:dyDescent="0.3">
      <c r="A71" s="116">
        <v>2</v>
      </c>
      <c r="B71" s="107" t="s">
        <v>474</v>
      </c>
      <c r="C71" s="2066">
        <f>SUM(D71:I71)</f>
        <v>0</v>
      </c>
      <c r="D71" s="2067"/>
      <c r="E71" s="2068"/>
      <c r="F71" s="106"/>
      <c r="G71" s="106"/>
      <c r="H71" s="106"/>
      <c r="I71" s="106"/>
      <c r="J71" s="107"/>
    </row>
    <row r="72" spans="1:12" x14ac:dyDescent="0.3">
      <c r="A72" s="106">
        <v>3</v>
      </c>
      <c r="B72" s="107" t="s">
        <v>475</v>
      </c>
      <c r="C72" s="2066">
        <f t="shared" ref="C72:C80" si="6">SUM(D72:I72)</f>
        <v>0</v>
      </c>
      <c r="D72" s="2063"/>
      <c r="E72" s="396"/>
      <c r="F72" s="116"/>
      <c r="G72" s="106"/>
      <c r="H72" s="106"/>
      <c r="I72" s="106"/>
      <c r="J72" s="107">
        <f>35249</f>
        <v>35249</v>
      </c>
    </row>
    <row r="73" spans="1:12" x14ac:dyDescent="0.3">
      <c r="A73" s="106">
        <v>4</v>
      </c>
      <c r="B73" s="588" t="s">
        <v>1074</v>
      </c>
      <c r="C73" s="2066">
        <f t="shared" si="6"/>
        <v>0</v>
      </c>
      <c r="D73" s="2063"/>
      <c r="E73" s="579"/>
      <c r="F73" s="1576"/>
      <c r="G73" s="106"/>
      <c r="H73" s="106"/>
      <c r="I73" s="106"/>
      <c r="J73" s="417"/>
    </row>
    <row r="74" spans="1:12" x14ac:dyDescent="0.3">
      <c r="A74" s="106">
        <v>5</v>
      </c>
      <c r="B74" s="588" t="s">
        <v>988</v>
      </c>
      <c r="C74" s="2066">
        <f t="shared" si="6"/>
        <v>0</v>
      </c>
      <c r="D74" s="2063"/>
      <c r="E74" s="579"/>
      <c r="F74" s="116"/>
      <c r="G74" s="106"/>
      <c r="H74" s="106"/>
      <c r="I74" s="106"/>
      <c r="J74" s="417"/>
    </row>
    <row r="75" spans="1:12" x14ac:dyDescent="0.3">
      <c r="A75" s="106">
        <v>6</v>
      </c>
      <c r="B75" s="588" t="s">
        <v>984</v>
      </c>
      <c r="C75" s="2066">
        <f t="shared" si="6"/>
        <v>0</v>
      </c>
      <c r="D75" s="2064"/>
      <c r="F75" s="116"/>
      <c r="G75" s="106"/>
      <c r="H75" s="106"/>
      <c r="I75" s="106"/>
      <c r="J75" s="417"/>
    </row>
    <row r="76" spans="1:12" x14ac:dyDescent="0.3">
      <c r="A76" s="106">
        <v>7</v>
      </c>
      <c r="B76" s="588" t="s">
        <v>989</v>
      </c>
      <c r="C76" s="2066">
        <f t="shared" si="6"/>
        <v>0</v>
      </c>
      <c r="D76" s="2064"/>
      <c r="E76" s="604"/>
      <c r="F76" s="116"/>
      <c r="G76" s="106"/>
      <c r="H76" s="106"/>
      <c r="I76" s="106"/>
      <c r="J76" s="417"/>
    </row>
    <row r="77" spans="1:12" x14ac:dyDescent="0.3">
      <c r="A77" s="106">
        <v>8</v>
      </c>
      <c r="B77" s="588" t="s">
        <v>990</v>
      </c>
      <c r="C77" s="2066">
        <f t="shared" si="6"/>
        <v>0</v>
      </c>
      <c r="D77" s="2063"/>
      <c r="E77" s="1529"/>
      <c r="F77" s="116"/>
      <c r="G77" s="106"/>
      <c r="H77" s="106"/>
      <c r="I77" s="106"/>
      <c r="J77" s="417"/>
    </row>
    <row r="78" spans="1:12" x14ac:dyDescent="0.3">
      <c r="A78" s="106">
        <v>9</v>
      </c>
      <c r="B78" s="588" t="s">
        <v>991</v>
      </c>
      <c r="C78" s="2066">
        <f t="shared" si="6"/>
        <v>0</v>
      </c>
      <c r="D78" s="2063"/>
      <c r="E78" s="579"/>
      <c r="F78" s="116"/>
      <c r="G78" s="106"/>
      <c r="H78" s="106"/>
      <c r="I78" s="106"/>
      <c r="J78" s="417"/>
    </row>
    <row r="79" spans="1:12" x14ac:dyDescent="0.3">
      <c r="A79" s="106">
        <v>10</v>
      </c>
      <c r="B79" s="588" t="s">
        <v>992</v>
      </c>
      <c r="C79" s="2066">
        <f t="shared" si="6"/>
        <v>0</v>
      </c>
      <c r="D79" s="2063"/>
      <c r="E79" s="579"/>
      <c r="F79" s="116"/>
      <c r="G79" s="106"/>
      <c r="H79" s="106"/>
      <c r="I79" s="106"/>
      <c r="J79" s="581"/>
    </row>
    <row r="80" spans="1:12" x14ac:dyDescent="0.3">
      <c r="A80" s="106">
        <v>11</v>
      </c>
      <c r="B80" s="588"/>
      <c r="C80" s="2066">
        <f t="shared" si="6"/>
        <v>0</v>
      </c>
      <c r="D80" s="2063"/>
      <c r="E80" s="579"/>
      <c r="F80" s="116"/>
      <c r="G80" s="106"/>
      <c r="H80" s="106"/>
      <c r="I80" s="106"/>
      <c r="J80" s="417"/>
    </row>
    <row r="81" spans="1:11" x14ac:dyDescent="0.3">
      <c r="A81" s="106"/>
      <c r="C81" s="2065"/>
      <c r="D81" s="2063"/>
      <c r="E81" s="579"/>
      <c r="F81" s="116"/>
      <c r="G81" s="106"/>
      <c r="H81" s="106"/>
      <c r="I81" s="106"/>
      <c r="J81" s="417"/>
    </row>
    <row r="82" spans="1:11" x14ac:dyDescent="0.3">
      <c r="A82" s="106"/>
      <c r="B82" s="107"/>
      <c r="C82" s="2073">
        <f t="shared" ref="C82:C84" si="7">SUM(D82:G82)</f>
        <v>0</v>
      </c>
      <c r="D82" s="106"/>
      <c r="E82" s="396"/>
      <c r="F82" s="106"/>
      <c r="G82" s="106"/>
      <c r="H82" s="106"/>
      <c r="I82" s="106"/>
      <c r="J82" s="107"/>
    </row>
    <row r="83" spans="1:11" ht="10.5" thickBot="1" x14ac:dyDescent="0.35">
      <c r="A83" s="106"/>
      <c r="B83" s="589" t="s">
        <v>477</v>
      </c>
      <c r="C83" s="2069">
        <f t="shared" si="7"/>
        <v>0</v>
      </c>
      <c r="D83" s="2072">
        <f>SUM(D71:D82)</f>
        <v>0</v>
      </c>
      <c r="E83" s="2072">
        <f>SUM(E71:E82)</f>
        <v>0</v>
      </c>
      <c r="F83" s="2072">
        <f>SUM(F71:F82)</f>
        <v>0</v>
      </c>
      <c r="G83" s="2072">
        <f>SUM(G71:G82)</f>
        <v>0</v>
      </c>
      <c r="H83" s="113"/>
      <c r="I83" s="113"/>
      <c r="J83" s="107"/>
    </row>
    <row r="84" spans="1:11" ht="10.5" thickBot="1" x14ac:dyDescent="0.35">
      <c r="A84" s="118"/>
      <c r="B84" s="119" t="s">
        <v>473</v>
      </c>
      <c r="C84" s="120">
        <f t="shared" si="7"/>
        <v>40591379.600000001</v>
      </c>
      <c r="D84" s="120">
        <f>SUM(D67+D83)</f>
        <v>35696235</v>
      </c>
      <c r="E84" s="120">
        <f>SUM(E67+E83)</f>
        <v>1496771.6</v>
      </c>
      <c r="F84" s="120">
        <f>SUM(F67+F83)</f>
        <v>775476</v>
      </c>
      <c r="G84" s="120">
        <f>SUM(G67+G83)</f>
        <v>2622897</v>
      </c>
      <c r="H84" s="121"/>
      <c r="I84" s="121"/>
      <c r="J84" s="122" t="s">
        <v>467</v>
      </c>
    </row>
    <row r="85" spans="1:11" x14ac:dyDescent="0.3">
      <c r="A85" s="123"/>
      <c r="B85" s="86"/>
      <c r="D85" s="123"/>
      <c r="E85" s="108"/>
      <c r="F85" s="108"/>
      <c r="G85" s="108"/>
      <c r="H85" s="108"/>
      <c r="I85" s="108"/>
      <c r="J85" s="124"/>
    </row>
    <row r="86" spans="1:11" x14ac:dyDescent="0.3">
      <c r="B86" s="86" t="s">
        <v>468</v>
      </c>
      <c r="C86" s="123">
        <f>SUM(C10:C66)-E65-F65</f>
        <v>40591379.600000001</v>
      </c>
      <c r="D86" s="108"/>
      <c r="E86" s="108"/>
      <c r="F86" s="108"/>
      <c r="G86" s="123">
        <f>G12+SUM(G58:G60)</f>
        <v>2197897</v>
      </c>
      <c r="H86" s="125" t="s">
        <v>469</v>
      </c>
      <c r="I86" s="108"/>
    </row>
    <row r="87" spans="1:11" x14ac:dyDescent="0.3">
      <c r="B87" s="86" t="s">
        <v>465</v>
      </c>
      <c r="C87" s="126">
        <f>SUM(C83)</f>
        <v>0</v>
      </c>
      <c r="D87" s="108"/>
      <c r="E87" s="108"/>
      <c r="F87" s="108"/>
      <c r="G87" s="126">
        <f>SUM(G16)</f>
        <v>0</v>
      </c>
      <c r="H87" s="125" t="s">
        <v>466</v>
      </c>
      <c r="I87" s="125"/>
    </row>
    <row r="88" spans="1:11" x14ac:dyDescent="0.3">
      <c r="B88" s="86" t="s">
        <v>344</v>
      </c>
      <c r="C88" s="123">
        <f>SUM(C86:C87)</f>
        <v>40591379.600000001</v>
      </c>
      <c r="D88" s="108"/>
      <c r="E88" s="108"/>
      <c r="F88" s="123"/>
      <c r="G88" s="123">
        <f>SUM(G86:G87)</f>
        <v>2197897</v>
      </c>
      <c r="H88" s="108"/>
      <c r="I88" s="125"/>
      <c r="J88" s="125"/>
    </row>
    <row r="89" spans="1:11" ht="12.75" x14ac:dyDescent="0.35">
      <c r="A89"/>
      <c r="B89"/>
      <c r="C89"/>
      <c r="D89" s="459"/>
      <c r="E89"/>
      <c r="F89"/>
      <c r="G89"/>
      <c r="H89"/>
      <c r="I89" s="108"/>
      <c r="J89" s="125"/>
    </row>
    <row r="90" spans="1:11" ht="12.75" x14ac:dyDescent="0.35">
      <c r="A90"/>
      <c r="B90"/>
      <c r="C90" s="458"/>
      <c r="D90"/>
      <c r="E90"/>
      <c r="F90"/>
      <c r="G90"/>
      <c r="H90"/>
      <c r="I90"/>
      <c r="J90"/>
      <c r="K90"/>
    </row>
    <row r="91" spans="1:11" ht="12.75" x14ac:dyDescent="0.35">
      <c r="A91"/>
      <c r="B91" s="458"/>
      <c r="C91"/>
      <c r="D91"/>
      <c r="E91"/>
      <c r="F91"/>
      <c r="G91"/>
      <c r="H91"/>
      <c r="I91"/>
      <c r="J91"/>
      <c r="K91"/>
    </row>
    <row r="92" spans="1:11" ht="12.75" x14ac:dyDescent="0.35">
      <c r="A92"/>
      <c r="B92"/>
      <c r="C92"/>
      <c r="D92"/>
      <c r="E92"/>
      <c r="F92"/>
      <c r="G92"/>
      <c r="H92"/>
      <c r="I92"/>
      <c r="J92"/>
      <c r="K92"/>
    </row>
    <row r="93" spans="1:11" ht="12.75" x14ac:dyDescent="0.35">
      <c r="A93"/>
      <c r="B93"/>
      <c r="C93"/>
      <c r="D93"/>
      <c r="E93"/>
      <c r="F93"/>
      <c r="G93"/>
      <c r="H93"/>
      <c r="I93"/>
      <c r="J93"/>
      <c r="K93"/>
    </row>
    <row r="94" spans="1:11" ht="12.75" x14ac:dyDescent="0.35">
      <c r="A94"/>
      <c r="B94"/>
      <c r="C94"/>
      <c r="D94"/>
      <c r="E94"/>
      <c r="F94"/>
      <c r="G94"/>
      <c r="H94"/>
      <c r="I94"/>
      <c r="J94"/>
      <c r="K94"/>
    </row>
    <row r="95" spans="1:11" ht="12.75" x14ac:dyDescent="0.35">
      <c r="A95"/>
      <c r="B95"/>
      <c r="C95"/>
      <c r="D95"/>
      <c r="E95"/>
      <c r="F95"/>
      <c r="G95"/>
      <c r="H95"/>
      <c r="I95"/>
      <c r="J95"/>
      <c r="K95"/>
    </row>
    <row r="96" spans="1:11" ht="12.75" x14ac:dyDescent="0.35">
      <c r="A96"/>
      <c r="B96"/>
      <c r="C96"/>
      <c r="D96"/>
      <c r="E96"/>
      <c r="F96"/>
      <c r="G96"/>
      <c r="H96"/>
      <c r="I96"/>
      <c r="J96"/>
      <c r="K96"/>
    </row>
    <row r="97" spans="1:11" ht="12.75" x14ac:dyDescent="0.35">
      <c r="A97"/>
      <c r="B97"/>
      <c r="C97"/>
      <c r="D97"/>
      <c r="E97"/>
      <c r="F97"/>
      <c r="G97"/>
      <c r="H97"/>
      <c r="I97"/>
      <c r="J97"/>
      <c r="K97"/>
    </row>
    <row r="98" spans="1:11" ht="12.75" x14ac:dyDescent="0.35">
      <c r="A98"/>
      <c r="B98"/>
      <c r="C98"/>
      <c r="D98"/>
      <c r="E98"/>
      <c r="F98"/>
      <c r="G98"/>
      <c r="H98"/>
      <c r="I98"/>
      <c r="J98"/>
      <c r="K98"/>
    </row>
    <row r="99" spans="1:11" ht="12.75" x14ac:dyDescent="0.35">
      <c r="A99"/>
      <c r="B99"/>
      <c r="C99"/>
      <c r="D99"/>
      <c r="E99"/>
      <c r="F99"/>
      <c r="G99"/>
      <c r="H99"/>
      <c r="I99"/>
      <c r="J99"/>
      <c r="K99"/>
    </row>
    <row r="100" spans="1:11" ht="12.75" x14ac:dyDescent="0.35">
      <c r="A100"/>
      <c r="B100"/>
      <c r="C100"/>
      <c r="D100"/>
      <c r="E100"/>
      <c r="F100"/>
      <c r="G100"/>
      <c r="H100"/>
      <c r="I100"/>
      <c r="J100"/>
      <c r="K100"/>
    </row>
    <row r="101" spans="1:11" ht="12.75" x14ac:dyDescent="0.35">
      <c r="A101"/>
      <c r="B101"/>
      <c r="C101"/>
      <c r="D101"/>
      <c r="E101"/>
      <c r="F101"/>
      <c r="G101"/>
      <c r="H101"/>
      <c r="I101"/>
      <c r="J101"/>
      <c r="K101"/>
    </row>
    <row r="102" spans="1:11" ht="12.75" x14ac:dyDescent="0.35">
      <c r="A102"/>
      <c r="B102"/>
      <c r="C102"/>
      <c r="D102"/>
      <c r="E102"/>
      <c r="F102"/>
      <c r="G102"/>
      <c r="H102"/>
      <c r="I102"/>
      <c r="J102"/>
      <c r="K102"/>
    </row>
    <row r="103" spans="1:11" ht="12.75" x14ac:dyDescent="0.35">
      <c r="A103"/>
      <c r="B103"/>
      <c r="C103"/>
      <c r="D103"/>
      <c r="E103"/>
      <c r="F103"/>
      <c r="G103"/>
      <c r="H103"/>
      <c r="I103"/>
      <c r="J103"/>
      <c r="K103"/>
    </row>
    <row r="104" spans="1:11" ht="12.75" x14ac:dyDescent="0.35">
      <c r="A104"/>
      <c r="B104"/>
      <c r="C104"/>
      <c r="D104"/>
      <c r="E104"/>
      <c r="F104"/>
      <c r="G104"/>
      <c r="H104"/>
      <c r="I104"/>
      <c r="J104"/>
      <c r="K104"/>
    </row>
    <row r="105" spans="1:11" ht="12.75" x14ac:dyDescent="0.35">
      <c r="A105"/>
      <c r="B105"/>
      <c r="C105"/>
      <c r="D105"/>
      <c r="E105"/>
      <c r="F105"/>
      <c r="G105"/>
      <c r="H105"/>
      <c r="I105"/>
      <c r="J105"/>
      <c r="K105"/>
    </row>
    <row r="106" spans="1:11" ht="12.75" x14ac:dyDescent="0.35">
      <c r="A106"/>
      <c r="B106"/>
      <c r="C106"/>
      <c r="D106"/>
      <c r="E106"/>
      <c r="F106"/>
      <c r="G106"/>
      <c r="H106"/>
      <c r="I106"/>
      <c r="J106"/>
      <c r="K106"/>
    </row>
    <row r="107" spans="1:11" ht="12.75" x14ac:dyDescent="0.35">
      <c r="A107"/>
      <c r="B107"/>
      <c r="C107"/>
      <c r="D107"/>
      <c r="E107"/>
      <c r="F107"/>
      <c r="G107"/>
      <c r="H107"/>
      <c r="I107"/>
      <c r="J107"/>
      <c r="K107"/>
    </row>
    <row r="108" spans="1:11" ht="12.75" x14ac:dyDescent="0.35">
      <c r="A108"/>
      <c r="B108"/>
      <c r="C108"/>
      <c r="D108"/>
      <c r="E108"/>
      <c r="F108"/>
      <c r="G108"/>
      <c r="H108"/>
      <c r="I108"/>
      <c r="J108"/>
      <c r="K108"/>
    </row>
    <row r="109" spans="1:11" ht="12.75" x14ac:dyDescent="0.35">
      <c r="A109"/>
      <c r="B109"/>
      <c r="C109"/>
      <c r="D109"/>
      <c r="E109"/>
      <c r="F109"/>
      <c r="G109"/>
      <c r="H109"/>
      <c r="I109"/>
      <c r="J109"/>
      <c r="K109"/>
    </row>
    <row r="110" spans="1:11" ht="12.75" x14ac:dyDescent="0.35">
      <c r="A110"/>
      <c r="B110"/>
      <c r="C110"/>
      <c r="D110"/>
      <c r="E110"/>
      <c r="F110"/>
      <c r="G110"/>
      <c r="H110"/>
      <c r="I110"/>
      <c r="J110"/>
      <c r="K110"/>
    </row>
    <row r="111" spans="1:11" ht="12.75" x14ac:dyDescent="0.35">
      <c r="A111"/>
      <c r="B111"/>
      <c r="C111"/>
      <c r="D111"/>
      <c r="E111"/>
      <c r="F111"/>
      <c r="G111"/>
      <c r="H111"/>
      <c r="I111"/>
      <c r="J111"/>
      <c r="K111"/>
    </row>
    <row r="112" spans="1:11" ht="12.75" x14ac:dyDescent="0.35">
      <c r="A112"/>
      <c r="B112"/>
      <c r="C112"/>
      <c r="D112"/>
      <c r="E112"/>
      <c r="F112"/>
      <c r="G112"/>
      <c r="H112"/>
      <c r="I112"/>
      <c r="J112"/>
      <c r="K112"/>
    </row>
    <row r="113" spans="1:11" ht="12.75" x14ac:dyDescent="0.35">
      <c r="A113"/>
      <c r="B113"/>
      <c r="C113"/>
      <c r="D113"/>
      <c r="E113"/>
      <c r="F113"/>
      <c r="G113"/>
      <c r="H113"/>
      <c r="I113"/>
      <c r="J113"/>
      <c r="K113"/>
    </row>
    <row r="114" spans="1:11" ht="12.75" x14ac:dyDescent="0.35">
      <c r="A114"/>
      <c r="B114"/>
      <c r="C114"/>
      <c r="D114"/>
      <c r="E114"/>
      <c r="F114"/>
      <c r="G114"/>
      <c r="H114"/>
      <c r="I114"/>
      <c r="J114"/>
      <c r="K114"/>
    </row>
    <row r="115" spans="1:11" ht="12.75" x14ac:dyDescent="0.35">
      <c r="A115"/>
      <c r="B115"/>
      <c r="C115"/>
      <c r="D115"/>
      <c r="E115"/>
      <c r="F115"/>
      <c r="G115"/>
      <c r="H115"/>
      <c r="I115"/>
      <c r="J115"/>
      <c r="K115"/>
    </row>
    <row r="116" spans="1:11" ht="12.75" x14ac:dyDescent="0.35">
      <c r="A116"/>
      <c r="B116"/>
      <c r="C116"/>
      <c r="D116"/>
      <c r="E116"/>
      <c r="F116"/>
      <c r="G116"/>
      <c r="H116"/>
      <c r="I116"/>
      <c r="J116"/>
      <c r="K116"/>
    </row>
    <row r="117" spans="1:11" ht="12.75" x14ac:dyDescent="0.35">
      <c r="A117"/>
      <c r="B117"/>
      <c r="C117"/>
      <c r="D117"/>
      <c r="E117"/>
      <c r="F117"/>
      <c r="G117"/>
      <c r="H117"/>
      <c r="I117"/>
      <c r="J117"/>
      <c r="K117"/>
    </row>
    <row r="118" spans="1:11" ht="12.75" x14ac:dyDescent="0.35">
      <c r="A118"/>
      <c r="B118"/>
      <c r="C118"/>
      <c r="D118"/>
      <c r="E118"/>
      <c r="F118"/>
      <c r="G118"/>
      <c r="H118"/>
      <c r="I118"/>
      <c r="J118"/>
      <c r="K118"/>
    </row>
    <row r="119" spans="1:11" ht="12.75" x14ac:dyDescent="0.35">
      <c r="A119"/>
      <c r="B119"/>
      <c r="C119"/>
      <c r="D119"/>
      <c r="E119"/>
      <c r="F119"/>
      <c r="G119"/>
      <c r="H119"/>
      <c r="I119"/>
      <c r="J119"/>
      <c r="K119"/>
    </row>
    <row r="120" spans="1:11" ht="12.75" x14ac:dyDescent="0.35">
      <c r="A120"/>
      <c r="B120"/>
      <c r="C120"/>
      <c r="D120"/>
      <c r="E120"/>
      <c r="F120"/>
      <c r="G120"/>
      <c r="H120"/>
      <c r="I120"/>
      <c r="J120"/>
      <c r="K120"/>
    </row>
    <row r="121" spans="1:11" ht="12.75" x14ac:dyDescent="0.35">
      <c r="A121"/>
      <c r="B121"/>
      <c r="C121"/>
      <c r="D121"/>
      <c r="E121"/>
      <c r="F121"/>
      <c r="G121"/>
      <c r="H121"/>
      <c r="I121"/>
      <c r="J121"/>
      <c r="K121"/>
    </row>
    <row r="122" spans="1:11" ht="12.75" x14ac:dyDescent="0.35">
      <c r="A122"/>
      <c r="B122"/>
      <c r="C122"/>
      <c r="D122"/>
      <c r="E122"/>
      <c r="F122"/>
      <c r="G122"/>
      <c r="H122"/>
      <c r="I122"/>
      <c r="J122"/>
      <c r="K122"/>
    </row>
    <row r="123" spans="1:11" ht="12.75" x14ac:dyDescent="0.35">
      <c r="A123"/>
      <c r="B123"/>
      <c r="C123"/>
      <c r="D123"/>
      <c r="E123"/>
      <c r="F123"/>
      <c r="G123"/>
      <c r="H123"/>
      <c r="I123"/>
      <c r="J123"/>
      <c r="K123"/>
    </row>
    <row r="124" spans="1:11" ht="12.75" x14ac:dyDescent="0.35">
      <c r="A124"/>
      <c r="B124"/>
      <c r="C124"/>
      <c r="D124"/>
      <c r="E124"/>
      <c r="F124"/>
      <c r="G124"/>
      <c r="H124"/>
      <c r="I124"/>
      <c r="J124"/>
      <c r="K124"/>
    </row>
    <row r="125" spans="1:11" ht="12.75" x14ac:dyDescent="0.35">
      <c r="A125"/>
      <c r="B125"/>
      <c r="C125"/>
      <c r="D125"/>
      <c r="E125"/>
      <c r="F125"/>
      <c r="G125"/>
      <c r="H125"/>
      <c r="I125"/>
      <c r="J125"/>
      <c r="K125"/>
    </row>
    <row r="126" spans="1:11" ht="12.75" x14ac:dyDescent="0.35">
      <c r="A126"/>
      <c r="B126"/>
      <c r="C126"/>
      <c r="D126"/>
      <c r="E126"/>
      <c r="F126"/>
      <c r="G126"/>
      <c r="H126"/>
      <c r="I126"/>
      <c r="J126"/>
      <c r="K126"/>
    </row>
    <row r="127" spans="1:11" ht="12.75" x14ac:dyDescent="0.35">
      <c r="A127"/>
      <c r="B127"/>
      <c r="C127"/>
      <c r="D127"/>
      <c r="E127"/>
      <c r="F127"/>
      <c r="G127"/>
      <c r="H127"/>
      <c r="I127"/>
      <c r="J127"/>
      <c r="K127"/>
    </row>
    <row r="128" spans="1:11" ht="12.75" x14ac:dyDescent="0.35">
      <c r="A128"/>
      <c r="B128"/>
      <c r="C128"/>
      <c r="D128"/>
      <c r="E128"/>
      <c r="F128"/>
      <c r="G128"/>
      <c r="H128"/>
      <c r="I128"/>
      <c r="J128"/>
      <c r="K128"/>
    </row>
    <row r="129" spans="1:11" ht="12.75" x14ac:dyDescent="0.35">
      <c r="A129"/>
      <c r="B129"/>
      <c r="C129"/>
      <c r="D129"/>
      <c r="E129"/>
      <c r="F129"/>
      <c r="G129"/>
      <c r="H129"/>
      <c r="I129"/>
      <c r="J129"/>
      <c r="K129"/>
    </row>
    <row r="130" spans="1:11" ht="12.75" x14ac:dyDescent="0.35">
      <c r="A130"/>
      <c r="B130"/>
      <c r="C130"/>
      <c r="D130"/>
      <c r="E130"/>
      <c r="F130"/>
      <c r="G130"/>
      <c r="H130"/>
      <c r="I130"/>
      <c r="J130"/>
      <c r="K130"/>
    </row>
    <row r="131" spans="1:11" ht="12.75" x14ac:dyDescent="0.35">
      <c r="A131"/>
      <c r="B131"/>
      <c r="C131"/>
      <c r="D131"/>
      <c r="E131"/>
      <c r="F131"/>
      <c r="G131"/>
      <c r="H131"/>
      <c r="I131"/>
      <c r="J131"/>
      <c r="K131"/>
    </row>
    <row r="132" spans="1:11" ht="12.75" x14ac:dyDescent="0.35">
      <c r="A132"/>
      <c r="B132"/>
      <c r="C132"/>
      <c r="D132"/>
      <c r="E132"/>
      <c r="F132"/>
      <c r="G132"/>
      <c r="H132"/>
      <c r="I132"/>
      <c r="J132"/>
      <c r="K132"/>
    </row>
    <row r="133" spans="1:11" ht="12.75" x14ac:dyDescent="0.35">
      <c r="A133"/>
      <c r="B133"/>
      <c r="C133"/>
      <c r="D133"/>
      <c r="E133"/>
      <c r="F133"/>
      <c r="G133"/>
      <c r="H133"/>
      <c r="I133"/>
      <c r="J133"/>
      <c r="K133"/>
    </row>
    <row r="134" spans="1:11" ht="12.75" x14ac:dyDescent="0.35">
      <c r="A134"/>
      <c r="B134"/>
      <c r="C134"/>
      <c r="D134"/>
      <c r="E134"/>
      <c r="F134"/>
      <c r="G134"/>
      <c r="H134"/>
      <c r="I134"/>
      <c r="J134"/>
      <c r="K134"/>
    </row>
    <row r="135" spans="1:11" ht="12.75" x14ac:dyDescent="0.35">
      <c r="A135"/>
      <c r="B135"/>
      <c r="C135"/>
      <c r="D135"/>
      <c r="E135"/>
      <c r="F135"/>
      <c r="G135"/>
      <c r="H135"/>
      <c r="I135"/>
      <c r="J135"/>
      <c r="K135"/>
    </row>
    <row r="136" spans="1:11" ht="12.75" x14ac:dyDescent="0.35">
      <c r="A136"/>
      <c r="B136"/>
      <c r="C136"/>
      <c r="D136"/>
      <c r="E136"/>
      <c r="F136"/>
      <c r="G136"/>
      <c r="H136"/>
      <c r="I136"/>
      <c r="J136"/>
      <c r="K136"/>
    </row>
    <row r="137" spans="1:11" ht="12.75" x14ac:dyDescent="0.35">
      <c r="A137"/>
      <c r="B137"/>
      <c r="C137"/>
      <c r="D137"/>
      <c r="E137"/>
      <c r="F137"/>
      <c r="G137"/>
      <c r="H137"/>
      <c r="I137"/>
      <c r="J137"/>
      <c r="K137"/>
    </row>
    <row r="138" spans="1:11" ht="12.75" x14ac:dyDescent="0.35">
      <c r="A138"/>
      <c r="B138"/>
      <c r="C138"/>
      <c r="D138"/>
      <c r="E138"/>
      <c r="F138"/>
      <c r="G138"/>
      <c r="H138"/>
      <c r="I138"/>
      <c r="J138"/>
      <c r="K138"/>
    </row>
    <row r="139" spans="1:11" ht="12.75" x14ac:dyDescent="0.35">
      <c r="A139"/>
      <c r="B139"/>
      <c r="C139"/>
      <c r="D139"/>
      <c r="E139"/>
      <c r="F139"/>
      <c r="G139"/>
      <c r="H139"/>
      <c r="I139"/>
      <c r="J139"/>
      <c r="K139"/>
    </row>
    <row r="140" spans="1:11" ht="12.75" x14ac:dyDescent="0.35">
      <c r="A140"/>
      <c r="B140"/>
      <c r="C140"/>
      <c r="D140"/>
      <c r="E140"/>
      <c r="F140"/>
      <c r="G140"/>
      <c r="H140"/>
      <c r="I140"/>
      <c r="J140"/>
      <c r="K140"/>
    </row>
    <row r="141" spans="1:11" ht="12.75" x14ac:dyDescent="0.35">
      <c r="A141"/>
      <c r="B141"/>
      <c r="C141"/>
      <c r="D141"/>
      <c r="E141"/>
      <c r="F141"/>
      <c r="G141"/>
      <c r="H141"/>
      <c r="I141"/>
      <c r="J141"/>
      <c r="K141"/>
    </row>
    <row r="142" spans="1:11" ht="12.75" x14ac:dyDescent="0.35">
      <c r="A142"/>
      <c r="B142"/>
      <c r="C142"/>
      <c r="D142"/>
      <c r="E142"/>
      <c r="F142"/>
      <c r="G142"/>
      <c r="H142"/>
      <c r="I142"/>
      <c r="J142"/>
      <c r="K142"/>
    </row>
    <row r="143" spans="1:11" ht="12.75" x14ac:dyDescent="0.35">
      <c r="A143"/>
      <c r="B143"/>
      <c r="C143"/>
      <c r="D143"/>
      <c r="E143"/>
      <c r="F143"/>
      <c r="G143"/>
      <c r="H143"/>
      <c r="I143"/>
      <c r="J143"/>
      <c r="K143"/>
    </row>
    <row r="144" spans="1:11" ht="12.75" x14ac:dyDescent="0.35">
      <c r="A144"/>
      <c r="B144"/>
      <c r="C144"/>
      <c r="D144"/>
      <c r="E144"/>
      <c r="F144"/>
      <c r="G144"/>
      <c r="H144"/>
      <c r="I144"/>
      <c r="J144"/>
      <c r="K144"/>
    </row>
    <row r="145" spans="1:11" ht="12.75" x14ac:dyDescent="0.35">
      <c r="A145"/>
      <c r="B145"/>
      <c r="C145"/>
      <c r="D145"/>
      <c r="E145"/>
      <c r="F145"/>
      <c r="G145"/>
      <c r="H145"/>
      <c r="I145"/>
      <c r="J145"/>
      <c r="K145"/>
    </row>
    <row r="146" spans="1:11" ht="12.75" x14ac:dyDescent="0.35">
      <c r="A146"/>
      <c r="B146"/>
      <c r="C146"/>
      <c r="D146"/>
      <c r="E146"/>
      <c r="F146"/>
      <c r="G146"/>
      <c r="H146"/>
      <c r="I146"/>
      <c r="J146"/>
      <c r="K146"/>
    </row>
    <row r="147" spans="1:11" ht="12.75" x14ac:dyDescent="0.35">
      <c r="A147"/>
      <c r="B147"/>
      <c r="C147"/>
      <c r="D147"/>
      <c r="E147"/>
      <c r="F147"/>
      <c r="G147"/>
      <c r="H147"/>
      <c r="I147"/>
      <c r="J147"/>
      <c r="K147"/>
    </row>
    <row r="148" spans="1:11" ht="12.75" x14ac:dyDescent="0.35">
      <c r="A148"/>
      <c r="B148"/>
      <c r="C148"/>
      <c r="D148"/>
      <c r="E148"/>
      <c r="F148"/>
      <c r="G148"/>
      <c r="H148"/>
      <c r="I148"/>
      <c r="J148"/>
      <c r="K148"/>
    </row>
    <row r="149" spans="1:11" ht="12.75" x14ac:dyDescent="0.35">
      <c r="A149"/>
      <c r="B149"/>
      <c r="C149"/>
      <c r="D149"/>
      <c r="E149"/>
      <c r="F149"/>
      <c r="G149"/>
      <c r="H149"/>
      <c r="I149"/>
      <c r="J149"/>
      <c r="K149"/>
    </row>
    <row r="150" spans="1:11" ht="12.75" x14ac:dyDescent="0.35">
      <c r="A150"/>
      <c r="B150"/>
      <c r="C150"/>
      <c r="D150"/>
      <c r="E150"/>
      <c r="F150"/>
      <c r="G150"/>
      <c r="H150"/>
      <c r="I150"/>
      <c r="J150"/>
      <c r="K150"/>
    </row>
    <row r="151" spans="1:11" ht="12.75" x14ac:dyDescent="0.35">
      <c r="A151"/>
      <c r="B151"/>
      <c r="C151"/>
      <c r="D151"/>
      <c r="E151"/>
      <c r="F151"/>
      <c r="G151"/>
      <c r="H151"/>
      <c r="I151"/>
      <c r="J151"/>
      <c r="K151"/>
    </row>
    <row r="152" spans="1:11" ht="12.75" x14ac:dyDescent="0.35">
      <c r="A152"/>
      <c r="B152"/>
      <c r="C152"/>
      <c r="D152"/>
      <c r="E152"/>
      <c r="F152"/>
      <c r="G152"/>
      <c r="H152"/>
      <c r="I152"/>
      <c r="J152"/>
      <c r="K152"/>
    </row>
    <row r="153" spans="1:11" ht="12.75" x14ac:dyDescent="0.35">
      <c r="A153"/>
      <c r="B153"/>
      <c r="C153"/>
      <c r="D153"/>
      <c r="E153"/>
      <c r="F153"/>
      <c r="G153"/>
      <c r="H153"/>
      <c r="I153"/>
      <c r="J153"/>
      <c r="K153"/>
    </row>
    <row r="154" spans="1:11" ht="12.75" x14ac:dyDescent="0.35">
      <c r="A154"/>
      <c r="B154"/>
      <c r="C154"/>
      <c r="D154"/>
      <c r="E154"/>
      <c r="F154"/>
      <c r="G154"/>
      <c r="H154"/>
      <c r="I154"/>
      <c r="J154"/>
      <c r="K154"/>
    </row>
    <row r="155" spans="1:11" ht="12.75" x14ac:dyDescent="0.35">
      <c r="A155"/>
      <c r="B155"/>
      <c r="C155"/>
      <c r="D155"/>
      <c r="E155"/>
      <c r="F155"/>
      <c r="G155"/>
      <c r="H155"/>
      <c r="I155"/>
      <c r="J155"/>
      <c r="K155"/>
    </row>
    <row r="156" spans="1:11" ht="12.75" x14ac:dyDescent="0.35">
      <c r="A156"/>
      <c r="B156"/>
      <c r="C156"/>
      <c r="D156"/>
      <c r="E156"/>
      <c r="F156"/>
      <c r="G156"/>
      <c r="H156"/>
      <c r="I156"/>
      <c r="J156"/>
      <c r="K156"/>
    </row>
    <row r="157" spans="1:11" ht="12.75" x14ac:dyDescent="0.35">
      <c r="A157"/>
      <c r="B157"/>
      <c r="C157"/>
      <c r="D157"/>
      <c r="E157"/>
      <c r="F157"/>
      <c r="G157"/>
      <c r="H157"/>
      <c r="I157"/>
      <c r="J157"/>
      <c r="K157"/>
    </row>
    <row r="158" spans="1:11" ht="12.75" x14ac:dyDescent="0.35">
      <c r="A158"/>
      <c r="B158"/>
      <c r="C158"/>
      <c r="D158"/>
      <c r="E158"/>
      <c r="F158"/>
      <c r="G158"/>
      <c r="H158"/>
      <c r="I158"/>
      <c r="J158"/>
      <c r="K158"/>
    </row>
    <row r="159" spans="1:11" ht="12.75" x14ac:dyDescent="0.35">
      <c r="A159"/>
      <c r="B159"/>
      <c r="C159"/>
      <c r="D159"/>
      <c r="E159"/>
      <c r="F159"/>
      <c r="G159"/>
      <c r="H159"/>
      <c r="I159"/>
      <c r="J159"/>
      <c r="K159"/>
    </row>
    <row r="160" spans="1:11" ht="12.75" x14ac:dyDescent="0.35">
      <c r="A160"/>
      <c r="B160"/>
      <c r="C160"/>
      <c r="D160"/>
      <c r="E160"/>
      <c r="F160"/>
      <c r="G160"/>
      <c r="H160"/>
      <c r="I160"/>
      <c r="J160"/>
      <c r="K160"/>
    </row>
    <row r="161" spans="1:11" ht="12.75" x14ac:dyDescent="0.35">
      <c r="A161"/>
      <c r="B161"/>
      <c r="C161"/>
      <c r="D161"/>
      <c r="E161"/>
      <c r="F161"/>
      <c r="G161"/>
      <c r="H161"/>
      <c r="I161"/>
      <c r="J161"/>
      <c r="K161"/>
    </row>
    <row r="162" spans="1:11" ht="12.75" x14ac:dyDescent="0.35">
      <c r="A162"/>
      <c r="B162"/>
      <c r="C162"/>
      <c r="D162"/>
      <c r="E162"/>
      <c r="F162"/>
      <c r="G162"/>
      <c r="H162"/>
      <c r="I162"/>
      <c r="J162"/>
      <c r="K162"/>
    </row>
    <row r="163" spans="1:11" ht="12.75" x14ac:dyDescent="0.35">
      <c r="A163"/>
      <c r="B163"/>
      <c r="C163"/>
      <c r="D163"/>
      <c r="E163"/>
      <c r="F163"/>
      <c r="G163"/>
      <c r="H163"/>
      <c r="I163"/>
      <c r="J163"/>
      <c r="K163"/>
    </row>
    <row r="164" spans="1:11" ht="12.75" x14ac:dyDescent="0.35">
      <c r="A164"/>
      <c r="B164"/>
      <c r="C164"/>
      <c r="D164"/>
      <c r="E164"/>
      <c r="F164"/>
      <c r="G164"/>
      <c r="H164"/>
      <c r="I164"/>
      <c r="J164"/>
      <c r="K164"/>
    </row>
    <row r="165" spans="1:11" ht="12.75" x14ac:dyDescent="0.35">
      <c r="A165"/>
      <c r="B165"/>
      <c r="C165"/>
      <c r="D165"/>
      <c r="E165"/>
      <c r="F165"/>
      <c r="G165"/>
      <c r="H165"/>
      <c r="I165"/>
      <c r="J165"/>
      <c r="K165"/>
    </row>
    <row r="166" spans="1:11" ht="12.75" x14ac:dyDescent="0.35">
      <c r="A166"/>
      <c r="B166"/>
      <c r="C166"/>
      <c r="D166"/>
      <c r="E166"/>
      <c r="F166"/>
      <c r="G166"/>
      <c r="H166"/>
      <c r="I166"/>
      <c r="J166"/>
      <c r="K166"/>
    </row>
    <row r="167" spans="1:11" ht="12.75" x14ac:dyDescent="0.35">
      <c r="A167"/>
      <c r="B167"/>
      <c r="C167"/>
      <c r="D167"/>
      <c r="E167"/>
      <c r="F167"/>
      <c r="G167"/>
      <c r="H167"/>
      <c r="I167"/>
      <c r="J167"/>
      <c r="K167"/>
    </row>
    <row r="168" spans="1:11" ht="12.75" x14ac:dyDescent="0.35">
      <c r="A168"/>
      <c r="B168"/>
      <c r="C168"/>
      <c r="D168"/>
      <c r="E168"/>
      <c r="F168"/>
      <c r="G168"/>
      <c r="H168"/>
      <c r="I168"/>
      <c r="J168"/>
      <c r="K168"/>
    </row>
    <row r="169" spans="1:11" ht="12.75" x14ac:dyDescent="0.35">
      <c r="A169"/>
      <c r="B169"/>
      <c r="C169"/>
      <c r="D169"/>
      <c r="E169"/>
      <c r="F169"/>
      <c r="G169"/>
      <c r="H169"/>
      <c r="I169"/>
      <c r="J169"/>
      <c r="K169"/>
    </row>
    <row r="170" spans="1:11" ht="12.75" x14ac:dyDescent="0.35">
      <c r="A170"/>
      <c r="B170"/>
      <c r="C170"/>
      <c r="D170"/>
      <c r="E170"/>
      <c r="F170"/>
      <c r="G170"/>
      <c r="H170"/>
      <c r="I170"/>
      <c r="J170"/>
      <c r="K170"/>
    </row>
    <row r="171" spans="1:11" ht="12.75" x14ac:dyDescent="0.35">
      <c r="A171"/>
      <c r="B171"/>
      <c r="C171"/>
      <c r="D171"/>
      <c r="E171"/>
      <c r="F171"/>
      <c r="G171"/>
      <c r="H171"/>
      <c r="I171"/>
      <c r="J171"/>
      <c r="K171"/>
    </row>
    <row r="172" spans="1:11" ht="12.75" x14ac:dyDescent="0.35">
      <c r="A172"/>
      <c r="B172"/>
      <c r="C172"/>
      <c r="D172"/>
      <c r="E172"/>
      <c r="F172"/>
      <c r="G172"/>
      <c r="H172"/>
      <c r="I172"/>
      <c r="J172"/>
      <c r="K172"/>
    </row>
    <row r="173" spans="1:11" ht="12.75" x14ac:dyDescent="0.35">
      <c r="A173"/>
      <c r="B173"/>
      <c r="C173"/>
      <c r="D173"/>
      <c r="E173"/>
      <c r="F173"/>
      <c r="G173"/>
      <c r="H173"/>
      <c r="I173"/>
      <c r="J173"/>
      <c r="K173"/>
    </row>
    <row r="174" spans="1:11" ht="12.75" x14ac:dyDescent="0.35">
      <c r="A174"/>
      <c r="B174"/>
      <c r="C174"/>
      <c r="D174"/>
      <c r="E174"/>
      <c r="F174"/>
      <c r="G174"/>
      <c r="H174"/>
      <c r="I174"/>
      <c r="J174"/>
      <c r="K174"/>
    </row>
    <row r="175" spans="1:11" ht="12.75" x14ac:dyDescent="0.35">
      <c r="A175"/>
      <c r="B175"/>
      <c r="C175"/>
      <c r="D175"/>
      <c r="E175"/>
      <c r="F175"/>
      <c r="G175"/>
      <c r="H175"/>
      <c r="I175"/>
      <c r="J175"/>
      <c r="K175"/>
    </row>
    <row r="176" spans="1:11" ht="12.75" x14ac:dyDescent="0.35">
      <c r="A176"/>
      <c r="B176"/>
      <c r="C176"/>
      <c r="D176"/>
      <c r="E176"/>
      <c r="F176"/>
      <c r="G176"/>
      <c r="H176"/>
      <c r="I176"/>
      <c r="J176"/>
      <c r="K176"/>
    </row>
    <row r="177" spans="1:11" ht="12.75" x14ac:dyDescent="0.35">
      <c r="A177"/>
      <c r="B177"/>
      <c r="C177"/>
      <c r="D177"/>
      <c r="E177"/>
      <c r="F177"/>
      <c r="G177"/>
      <c r="H177"/>
      <c r="I177"/>
      <c r="J177"/>
      <c r="K177"/>
    </row>
    <row r="178" spans="1:11" ht="12.75" x14ac:dyDescent="0.35">
      <c r="A178"/>
      <c r="B178"/>
      <c r="C178"/>
      <c r="D178"/>
      <c r="E178"/>
      <c r="F178"/>
      <c r="G178"/>
      <c r="H178"/>
      <c r="I178"/>
      <c r="J178"/>
      <c r="K178"/>
    </row>
    <row r="179" spans="1:11" ht="12.75" x14ac:dyDescent="0.35">
      <c r="A179"/>
      <c r="B179"/>
      <c r="C179"/>
      <c r="D179"/>
      <c r="E179"/>
      <c r="F179"/>
      <c r="G179"/>
      <c r="H179"/>
      <c r="I179"/>
      <c r="J179"/>
      <c r="K179"/>
    </row>
    <row r="180" spans="1:11" ht="12.75" x14ac:dyDescent="0.35">
      <c r="A180"/>
      <c r="B180"/>
      <c r="C180"/>
      <c r="D180"/>
      <c r="E180"/>
      <c r="F180"/>
      <c r="G180"/>
      <c r="H180"/>
      <c r="I180"/>
      <c r="J180"/>
      <c r="K180"/>
    </row>
    <row r="181" spans="1:11" ht="12.75" x14ac:dyDescent="0.35">
      <c r="A181"/>
      <c r="B181"/>
      <c r="C181"/>
      <c r="D181"/>
      <c r="E181"/>
      <c r="F181"/>
      <c r="G181"/>
      <c r="H181"/>
      <c r="I181"/>
      <c r="J181"/>
      <c r="K181"/>
    </row>
    <row r="182" spans="1:11" ht="12.75" x14ac:dyDescent="0.35">
      <c r="A182"/>
      <c r="B182"/>
      <c r="C182"/>
      <c r="D182"/>
      <c r="E182"/>
      <c r="F182"/>
      <c r="G182"/>
      <c r="H182"/>
      <c r="I182"/>
      <c r="J182"/>
      <c r="K182"/>
    </row>
    <row r="183" spans="1:11" ht="12.75" x14ac:dyDescent="0.35">
      <c r="A183"/>
      <c r="B183"/>
      <c r="C183"/>
      <c r="D183"/>
      <c r="E183"/>
      <c r="F183"/>
      <c r="G183"/>
      <c r="H183"/>
      <c r="I183"/>
      <c r="J183"/>
      <c r="K183"/>
    </row>
    <row r="184" spans="1:11" ht="12.75" x14ac:dyDescent="0.35">
      <c r="A184"/>
      <c r="B184"/>
      <c r="C184"/>
      <c r="D184"/>
      <c r="E184"/>
      <c r="F184"/>
      <c r="G184"/>
      <c r="H184"/>
      <c r="I184"/>
      <c r="J184"/>
      <c r="K184"/>
    </row>
    <row r="185" spans="1:11" ht="12.75" x14ac:dyDescent="0.35">
      <c r="A185"/>
      <c r="B185"/>
      <c r="C185"/>
      <c r="D185"/>
      <c r="E185"/>
      <c r="F185"/>
      <c r="G185"/>
      <c r="H185"/>
      <c r="I185"/>
      <c r="J185"/>
      <c r="K185"/>
    </row>
    <row r="186" spans="1:11" ht="12.75" x14ac:dyDescent="0.35">
      <c r="A186"/>
      <c r="B186"/>
      <c r="C186"/>
      <c r="D186"/>
      <c r="E186"/>
      <c r="F186"/>
      <c r="G186"/>
      <c r="H186"/>
      <c r="I186"/>
      <c r="J186"/>
      <c r="K186"/>
    </row>
    <row r="187" spans="1:11" ht="12.75" x14ac:dyDescent="0.35">
      <c r="A187"/>
      <c r="B187"/>
      <c r="C187"/>
      <c r="D187"/>
      <c r="E187"/>
      <c r="F187"/>
      <c r="G187"/>
      <c r="H187"/>
      <c r="I187"/>
      <c r="J187"/>
      <c r="K187"/>
    </row>
    <row r="188" spans="1:11" ht="12.75" x14ac:dyDescent="0.35">
      <c r="A188"/>
      <c r="B188"/>
      <c r="C188"/>
      <c r="D188"/>
      <c r="E188"/>
      <c r="F188"/>
      <c r="G188"/>
      <c r="H188"/>
      <c r="I188"/>
      <c r="J188"/>
      <c r="K188"/>
    </row>
    <row r="189" spans="1:11" ht="12.75" x14ac:dyDescent="0.35">
      <c r="A189"/>
      <c r="B189"/>
      <c r="C189"/>
      <c r="D189"/>
      <c r="E189"/>
      <c r="F189"/>
      <c r="G189"/>
      <c r="H189"/>
      <c r="I189"/>
      <c r="J189"/>
      <c r="K189"/>
    </row>
    <row r="190" spans="1:11" ht="12.75" x14ac:dyDescent="0.35">
      <c r="A190"/>
      <c r="B190"/>
      <c r="C190"/>
      <c r="D190"/>
      <c r="E190"/>
      <c r="F190"/>
      <c r="G190"/>
      <c r="H190"/>
      <c r="I190"/>
      <c r="J190"/>
      <c r="K190"/>
    </row>
    <row r="191" spans="1:11" ht="12.75" x14ac:dyDescent="0.35">
      <c r="A191"/>
      <c r="B191"/>
      <c r="C191"/>
      <c r="D191"/>
      <c r="E191"/>
      <c r="F191"/>
      <c r="G191"/>
      <c r="H191"/>
      <c r="I191"/>
      <c r="J191"/>
      <c r="K191"/>
    </row>
    <row r="192" spans="1:11" ht="12.75" x14ac:dyDescent="0.35">
      <c r="A192"/>
      <c r="B192"/>
      <c r="C192"/>
      <c r="D192"/>
      <c r="E192"/>
      <c r="F192"/>
      <c r="G192"/>
      <c r="H192"/>
      <c r="I192"/>
      <c r="J192"/>
      <c r="K192"/>
    </row>
    <row r="193" spans="1:11" ht="12.75" x14ac:dyDescent="0.35">
      <c r="A193"/>
      <c r="B193"/>
      <c r="C193"/>
      <c r="D193"/>
      <c r="E193"/>
      <c r="F193"/>
      <c r="G193"/>
      <c r="H193"/>
      <c r="I193"/>
      <c r="J193"/>
      <c r="K193"/>
    </row>
    <row r="194" spans="1:11" ht="12.75" x14ac:dyDescent="0.35">
      <c r="A194"/>
      <c r="B194"/>
      <c r="C194"/>
      <c r="D194"/>
      <c r="E194"/>
      <c r="F194"/>
      <c r="G194"/>
      <c r="H194"/>
      <c r="I194"/>
      <c r="J194"/>
      <c r="K194"/>
    </row>
    <row r="195" spans="1:11" ht="12.75" x14ac:dyDescent="0.35">
      <c r="A195"/>
      <c r="B195"/>
      <c r="C195"/>
      <c r="D195"/>
      <c r="E195"/>
      <c r="F195"/>
      <c r="G195"/>
      <c r="H195"/>
      <c r="I195"/>
      <c r="J195"/>
      <c r="K195"/>
    </row>
    <row r="196" spans="1:11" ht="12.75" x14ac:dyDescent="0.35">
      <c r="A196"/>
      <c r="B196"/>
      <c r="C196"/>
      <c r="D196"/>
      <c r="E196"/>
      <c r="F196"/>
      <c r="G196"/>
      <c r="H196"/>
      <c r="I196"/>
      <c r="J196"/>
      <c r="K196"/>
    </row>
    <row r="197" spans="1:11" ht="12.75" x14ac:dyDescent="0.35">
      <c r="A197"/>
      <c r="B197"/>
      <c r="C197"/>
      <c r="D197"/>
      <c r="E197"/>
      <c r="F197"/>
      <c r="G197"/>
      <c r="H197"/>
      <c r="I197"/>
      <c r="J197"/>
      <c r="K197"/>
    </row>
    <row r="198" spans="1:11" ht="12.75" x14ac:dyDescent="0.35">
      <c r="A198"/>
      <c r="B198"/>
      <c r="C198"/>
      <c r="D198"/>
      <c r="E198"/>
      <c r="F198"/>
      <c r="G198"/>
      <c r="H198"/>
      <c r="I198"/>
      <c r="J198"/>
      <c r="K198"/>
    </row>
    <row r="199" spans="1:11" ht="12.75" x14ac:dyDescent="0.35">
      <c r="A199"/>
      <c r="B199"/>
      <c r="C199"/>
      <c r="D199"/>
      <c r="E199"/>
      <c r="F199"/>
      <c r="G199"/>
      <c r="H199"/>
      <c r="I199"/>
      <c r="J199"/>
      <c r="K199"/>
    </row>
    <row r="200" spans="1:11" ht="12.75" x14ac:dyDescent="0.35">
      <c r="A200"/>
      <c r="B200"/>
      <c r="C200"/>
      <c r="D200"/>
      <c r="E200"/>
      <c r="F200"/>
      <c r="G200"/>
      <c r="H200"/>
      <c r="I200"/>
      <c r="J200"/>
      <c r="K200"/>
    </row>
    <row r="201" spans="1:11" ht="12.75" x14ac:dyDescent="0.35">
      <c r="A201"/>
      <c r="B201"/>
      <c r="C201"/>
      <c r="D201"/>
      <c r="E201"/>
      <c r="F201"/>
      <c r="G201"/>
      <c r="H201"/>
      <c r="I201"/>
      <c r="J201"/>
      <c r="K201"/>
    </row>
    <row r="202" spans="1:11" ht="12.75" x14ac:dyDescent="0.35">
      <c r="A202"/>
      <c r="B202"/>
      <c r="C202"/>
      <c r="D202"/>
      <c r="E202"/>
      <c r="F202"/>
      <c r="G202"/>
      <c r="H202"/>
      <c r="I202"/>
      <c r="J202"/>
      <c r="K202"/>
    </row>
    <row r="203" spans="1:11" ht="12.75" x14ac:dyDescent="0.35">
      <c r="A203"/>
      <c r="B203"/>
      <c r="C203"/>
      <c r="D203"/>
      <c r="E203"/>
      <c r="F203"/>
      <c r="G203"/>
      <c r="H203"/>
      <c r="I203"/>
      <c r="J203"/>
      <c r="K203"/>
    </row>
    <row r="204" spans="1:11" ht="12.75" x14ac:dyDescent="0.35">
      <c r="A204"/>
      <c r="B204"/>
      <c r="C204"/>
      <c r="D204"/>
      <c r="E204"/>
      <c r="F204"/>
      <c r="G204"/>
      <c r="H204"/>
      <c r="I204"/>
      <c r="J204"/>
      <c r="K204"/>
    </row>
    <row r="205" spans="1:11" ht="12.75" x14ac:dyDescent="0.35">
      <c r="A205"/>
      <c r="B205"/>
      <c r="C205"/>
      <c r="D205"/>
      <c r="E205"/>
      <c r="F205"/>
      <c r="G205"/>
      <c r="H205"/>
      <c r="I205"/>
      <c r="J205"/>
      <c r="K205"/>
    </row>
    <row r="206" spans="1:11" ht="12.75" x14ac:dyDescent="0.35">
      <c r="A206"/>
      <c r="B206"/>
      <c r="C206"/>
      <c r="D206"/>
      <c r="E206"/>
      <c r="F206"/>
      <c r="G206"/>
      <c r="H206"/>
      <c r="I206"/>
      <c r="J206"/>
      <c r="K206"/>
    </row>
    <row r="207" spans="1:11" ht="12.75" x14ac:dyDescent="0.35">
      <c r="A207"/>
      <c r="B207"/>
      <c r="C207"/>
      <c r="D207"/>
      <c r="E207"/>
      <c r="F207"/>
      <c r="G207"/>
      <c r="H207"/>
      <c r="I207"/>
      <c r="J207"/>
      <c r="K207"/>
    </row>
    <row r="208" spans="1:11" ht="12.75" x14ac:dyDescent="0.35">
      <c r="A208"/>
      <c r="B208"/>
      <c r="C208"/>
      <c r="D208"/>
      <c r="E208"/>
      <c r="F208"/>
      <c r="G208"/>
      <c r="H208"/>
      <c r="I208"/>
      <c r="J208"/>
      <c r="K208"/>
    </row>
    <row r="209" spans="1:11" ht="12.75" x14ac:dyDescent="0.35">
      <c r="A209"/>
      <c r="B209"/>
      <c r="C209"/>
      <c r="D209"/>
      <c r="E209"/>
      <c r="F209"/>
      <c r="G209"/>
      <c r="H209"/>
      <c r="I209"/>
      <c r="J209"/>
      <c r="K209"/>
    </row>
    <row r="210" spans="1:11" ht="12.75" x14ac:dyDescent="0.35">
      <c r="A210"/>
      <c r="B210"/>
      <c r="C210"/>
      <c r="D210"/>
      <c r="E210"/>
      <c r="F210"/>
      <c r="G210"/>
      <c r="H210"/>
      <c r="I210"/>
      <c r="J210"/>
      <c r="K210"/>
    </row>
    <row r="211" spans="1:11" ht="12.75" x14ac:dyDescent="0.35">
      <c r="A211"/>
      <c r="B211"/>
      <c r="C211"/>
      <c r="D211"/>
      <c r="E211"/>
      <c r="F211"/>
      <c r="G211"/>
      <c r="H211"/>
      <c r="I211"/>
      <c r="J211"/>
      <c r="K211"/>
    </row>
    <row r="212" spans="1:11" ht="12.75" x14ac:dyDescent="0.35">
      <c r="A212"/>
      <c r="B212"/>
      <c r="C212"/>
      <c r="D212"/>
      <c r="E212"/>
      <c r="F212"/>
      <c r="G212"/>
      <c r="H212"/>
      <c r="I212"/>
      <c r="J212"/>
      <c r="K212"/>
    </row>
    <row r="213" spans="1:11" ht="12.75" x14ac:dyDescent="0.35">
      <c r="A213"/>
      <c r="B213"/>
      <c r="C213"/>
      <c r="D213"/>
      <c r="E213"/>
      <c r="F213"/>
      <c r="G213"/>
      <c r="H213"/>
      <c r="I213"/>
      <c r="J213"/>
      <c r="K213"/>
    </row>
    <row r="214" spans="1:11" ht="12.75" x14ac:dyDescent="0.35">
      <c r="A214"/>
      <c r="B214"/>
      <c r="C214"/>
      <c r="D214"/>
      <c r="E214"/>
      <c r="F214"/>
      <c r="G214"/>
      <c r="H214"/>
      <c r="I214"/>
      <c r="J214"/>
      <c r="K214"/>
    </row>
    <row r="215" spans="1:11" ht="12.75" x14ac:dyDescent="0.35">
      <c r="A215"/>
      <c r="B215"/>
      <c r="C215"/>
      <c r="D215"/>
      <c r="E215"/>
      <c r="F215"/>
      <c r="G215"/>
      <c r="H215"/>
      <c r="I215"/>
      <c r="J215"/>
      <c r="K215"/>
    </row>
    <row r="216" spans="1:11" ht="12.75" x14ac:dyDescent="0.35">
      <c r="A216"/>
      <c r="B216"/>
      <c r="C216"/>
      <c r="D216"/>
      <c r="E216"/>
      <c r="F216"/>
      <c r="G216"/>
      <c r="H216"/>
      <c r="I216"/>
      <c r="J216"/>
      <c r="K216"/>
    </row>
    <row r="217" spans="1:11" ht="12.75" x14ac:dyDescent="0.35">
      <c r="A217"/>
      <c r="B217"/>
      <c r="C217"/>
      <c r="D217"/>
      <c r="E217"/>
      <c r="F217"/>
      <c r="G217"/>
      <c r="H217"/>
      <c r="I217"/>
      <c r="J217"/>
      <c r="K217"/>
    </row>
    <row r="218" spans="1:11" ht="12.75" x14ac:dyDescent="0.35">
      <c r="A218"/>
      <c r="B218"/>
      <c r="C218"/>
      <c r="D218"/>
      <c r="E218"/>
      <c r="F218"/>
      <c r="G218"/>
      <c r="H218"/>
      <c r="I218"/>
      <c r="J218"/>
      <c r="K218"/>
    </row>
    <row r="219" spans="1:11" ht="12.75" x14ac:dyDescent="0.35">
      <c r="A219"/>
      <c r="B219"/>
      <c r="C219"/>
      <c r="D219"/>
      <c r="E219"/>
      <c r="F219"/>
      <c r="G219"/>
      <c r="H219"/>
      <c r="I219"/>
      <c r="J219"/>
      <c r="K219"/>
    </row>
    <row r="220" spans="1:11" ht="12.75" x14ac:dyDescent="0.35">
      <c r="A220"/>
      <c r="B220"/>
      <c r="C220"/>
      <c r="D220"/>
      <c r="E220"/>
      <c r="F220"/>
      <c r="G220"/>
      <c r="H220"/>
      <c r="I220"/>
      <c r="J220"/>
      <c r="K220"/>
    </row>
    <row r="221" spans="1:11" ht="12.75" x14ac:dyDescent="0.35">
      <c r="A221"/>
      <c r="B221"/>
      <c r="C221"/>
      <c r="D221"/>
      <c r="E221"/>
      <c r="F221"/>
      <c r="G221"/>
      <c r="H221"/>
      <c r="I221"/>
      <c r="J221"/>
      <c r="K221"/>
    </row>
    <row r="222" spans="1:11" ht="12.75" x14ac:dyDescent="0.35">
      <c r="A222"/>
      <c r="B222"/>
      <c r="C222"/>
      <c r="D222"/>
      <c r="E222"/>
      <c r="F222"/>
      <c r="G222"/>
      <c r="H222"/>
      <c r="I222"/>
      <c r="J222"/>
      <c r="K222"/>
    </row>
    <row r="223" spans="1:11" ht="12.75" x14ac:dyDescent="0.35">
      <c r="A223"/>
      <c r="B223"/>
      <c r="C223"/>
      <c r="D223"/>
      <c r="E223"/>
      <c r="F223"/>
      <c r="G223"/>
      <c r="H223"/>
      <c r="I223"/>
      <c r="J223"/>
      <c r="K223"/>
    </row>
    <row r="224" spans="1:11" ht="12.75" x14ac:dyDescent="0.35">
      <c r="A224"/>
      <c r="B224"/>
      <c r="C224"/>
      <c r="D224"/>
      <c r="E224"/>
      <c r="F224"/>
      <c r="G224"/>
      <c r="H224"/>
      <c r="I224"/>
      <c r="J224"/>
      <c r="K224"/>
    </row>
    <row r="225" spans="1:11" ht="12.75" x14ac:dyDescent="0.35">
      <c r="A225"/>
      <c r="B225"/>
      <c r="C225"/>
      <c r="D225"/>
      <c r="E225"/>
      <c r="F225"/>
      <c r="G225"/>
      <c r="H225"/>
      <c r="I225"/>
      <c r="J225"/>
      <c r="K225"/>
    </row>
    <row r="226" spans="1:11" ht="12.75" x14ac:dyDescent="0.35">
      <c r="A226"/>
      <c r="B226"/>
      <c r="C226"/>
      <c r="D226"/>
      <c r="E226"/>
      <c r="F226"/>
      <c r="G226"/>
      <c r="H226"/>
      <c r="I226"/>
      <c r="J226"/>
      <c r="K226"/>
    </row>
    <row r="227" spans="1:11" ht="12.75" x14ac:dyDescent="0.35">
      <c r="A227"/>
      <c r="B227"/>
      <c r="C227"/>
      <c r="D227"/>
      <c r="E227"/>
      <c r="F227"/>
      <c r="G227"/>
      <c r="H227"/>
      <c r="I227"/>
      <c r="J227"/>
      <c r="K227"/>
    </row>
    <row r="228" spans="1:11" ht="12.75" x14ac:dyDescent="0.35">
      <c r="A228"/>
      <c r="B228"/>
      <c r="C228"/>
      <c r="D228"/>
      <c r="E228"/>
      <c r="F228"/>
      <c r="G228"/>
      <c r="H228"/>
      <c r="I228"/>
      <c r="J228"/>
      <c r="K228"/>
    </row>
    <row r="229" spans="1:11" ht="12.75" x14ac:dyDescent="0.35">
      <c r="A229"/>
      <c r="B229"/>
      <c r="C229"/>
      <c r="D229"/>
      <c r="E229"/>
      <c r="F229"/>
      <c r="G229"/>
      <c r="H229"/>
      <c r="I229"/>
      <c r="J229"/>
      <c r="K229"/>
    </row>
    <row r="230" spans="1:11" ht="12.75" x14ac:dyDescent="0.35">
      <c r="A230"/>
      <c r="B230"/>
      <c r="C230"/>
      <c r="D230"/>
      <c r="E230"/>
      <c r="F230"/>
      <c r="G230"/>
      <c r="H230"/>
      <c r="I230"/>
      <c r="J230"/>
      <c r="K230"/>
    </row>
    <row r="231" spans="1:11" ht="12.75" x14ac:dyDescent="0.35">
      <c r="A231"/>
      <c r="B231"/>
      <c r="C231"/>
      <c r="D231"/>
      <c r="E231"/>
      <c r="F231"/>
      <c r="G231"/>
      <c r="H231"/>
      <c r="I231"/>
      <c r="J231"/>
      <c r="K231"/>
    </row>
    <row r="232" spans="1:11" ht="12.75" x14ac:dyDescent="0.35">
      <c r="A232"/>
      <c r="B232"/>
      <c r="C232"/>
      <c r="D232"/>
      <c r="E232"/>
      <c r="F232"/>
      <c r="G232"/>
      <c r="H232"/>
      <c r="I232"/>
      <c r="J232"/>
      <c r="K232"/>
    </row>
    <row r="233" spans="1:11" ht="12.75" x14ac:dyDescent="0.35">
      <c r="A233"/>
      <c r="B233"/>
      <c r="C233"/>
      <c r="D233"/>
      <c r="E233"/>
      <c r="F233"/>
      <c r="G233"/>
      <c r="H233"/>
      <c r="I233"/>
      <c r="J233"/>
      <c r="K233"/>
    </row>
    <row r="234" spans="1:11" ht="12.75" x14ac:dyDescent="0.35">
      <c r="A234"/>
      <c r="B234"/>
      <c r="C234"/>
      <c r="D234"/>
      <c r="E234"/>
      <c r="F234"/>
      <c r="G234"/>
      <c r="H234"/>
      <c r="I234"/>
      <c r="J234"/>
      <c r="K234"/>
    </row>
    <row r="235" spans="1:11" ht="12.75" x14ac:dyDescent="0.35">
      <c r="A235"/>
      <c r="B235"/>
      <c r="C235"/>
      <c r="D235"/>
      <c r="E235"/>
      <c r="F235"/>
      <c r="G235"/>
      <c r="H235"/>
      <c r="I235"/>
      <c r="J235"/>
      <c r="K235"/>
    </row>
    <row r="236" spans="1:11" ht="12.75" x14ac:dyDescent="0.35">
      <c r="A236"/>
      <c r="B236"/>
      <c r="C236"/>
      <c r="D236"/>
      <c r="E236"/>
      <c r="F236"/>
      <c r="G236"/>
      <c r="H236"/>
      <c r="I236"/>
      <c r="J236"/>
      <c r="K236"/>
    </row>
    <row r="237" spans="1:11" ht="12.75" x14ac:dyDescent="0.35">
      <c r="A237"/>
      <c r="B237"/>
      <c r="C237"/>
      <c r="D237"/>
      <c r="E237"/>
      <c r="F237"/>
      <c r="G237"/>
      <c r="H237"/>
      <c r="I237"/>
      <c r="J237"/>
      <c r="K237"/>
    </row>
    <row r="238" spans="1:11" ht="12.75" x14ac:dyDescent="0.35">
      <c r="A238"/>
      <c r="B238"/>
      <c r="C238"/>
      <c r="D238"/>
      <c r="E238"/>
      <c r="F238"/>
      <c r="G238"/>
      <c r="H238"/>
      <c r="I238"/>
      <c r="J238"/>
      <c r="K238"/>
    </row>
    <row r="239" spans="1:11" ht="12.75" x14ac:dyDescent="0.35">
      <c r="A239"/>
      <c r="B239"/>
      <c r="C239"/>
      <c r="D239"/>
      <c r="E239"/>
      <c r="F239"/>
      <c r="G239"/>
      <c r="H239"/>
      <c r="I239"/>
      <c r="J239"/>
      <c r="K239"/>
    </row>
    <row r="240" spans="1:11" ht="12.75" x14ac:dyDescent="0.35">
      <c r="A240"/>
      <c r="B240"/>
      <c r="C240"/>
      <c r="D240"/>
      <c r="E240"/>
      <c r="F240"/>
      <c r="G240"/>
      <c r="H240"/>
      <c r="I240"/>
      <c r="J240"/>
      <c r="K240"/>
    </row>
    <row r="241" spans="1:11" ht="12.75" x14ac:dyDescent="0.35">
      <c r="A241"/>
      <c r="B241"/>
      <c r="C241"/>
      <c r="D241"/>
      <c r="E241"/>
      <c r="F241"/>
      <c r="G241"/>
      <c r="H241"/>
      <c r="I241"/>
      <c r="J241"/>
      <c r="K241"/>
    </row>
    <row r="242" spans="1:11" ht="12.75" x14ac:dyDescent="0.35">
      <c r="A242"/>
      <c r="B242"/>
      <c r="C242"/>
      <c r="D242"/>
      <c r="E242"/>
      <c r="F242"/>
      <c r="G242"/>
      <c r="H242"/>
      <c r="I242"/>
      <c r="J242"/>
      <c r="K242"/>
    </row>
    <row r="243" spans="1:11" ht="12.75" x14ac:dyDescent="0.35">
      <c r="A243"/>
      <c r="B243"/>
      <c r="C243"/>
      <c r="D243"/>
      <c r="E243"/>
      <c r="F243"/>
      <c r="G243"/>
      <c r="H243"/>
      <c r="I243"/>
      <c r="J243"/>
      <c r="K243"/>
    </row>
    <row r="244" spans="1:11" ht="12.75" x14ac:dyDescent="0.35">
      <c r="A244"/>
      <c r="B244"/>
      <c r="C244"/>
      <c r="D244"/>
      <c r="E244"/>
      <c r="F244"/>
      <c r="G244"/>
      <c r="H244"/>
      <c r="I244"/>
      <c r="J244"/>
      <c r="K244"/>
    </row>
    <row r="245" spans="1:11" ht="12.75" x14ac:dyDescent="0.35">
      <c r="A245"/>
      <c r="B245"/>
      <c r="C245"/>
      <c r="D245"/>
      <c r="E245"/>
      <c r="F245"/>
      <c r="G245"/>
      <c r="H245"/>
      <c r="I245"/>
      <c r="J245"/>
      <c r="K245"/>
    </row>
    <row r="246" spans="1:11" ht="12.75" x14ac:dyDescent="0.35">
      <c r="A246"/>
      <c r="B246"/>
      <c r="C246"/>
      <c r="D246"/>
      <c r="E246"/>
      <c r="F246"/>
      <c r="G246"/>
      <c r="H246"/>
      <c r="I246"/>
      <c r="J246"/>
      <c r="K246"/>
    </row>
    <row r="247" spans="1:11" ht="12.75" x14ac:dyDescent="0.35">
      <c r="A247"/>
      <c r="B247"/>
      <c r="C247"/>
      <c r="D247"/>
      <c r="E247"/>
      <c r="F247"/>
      <c r="G247"/>
      <c r="H247"/>
      <c r="I247"/>
      <c r="J247"/>
      <c r="K247"/>
    </row>
    <row r="248" spans="1:11" ht="12.75" x14ac:dyDescent="0.35">
      <c r="A248"/>
      <c r="B248"/>
      <c r="C248"/>
      <c r="D248"/>
      <c r="E248"/>
      <c r="F248"/>
      <c r="G248"/>
      <c r="H248"/>
      <c r="I248"/>
      <c r="J248"/>
      <c r="K248"/>
    </row>
    <row r="249" spans="1:11" ht="12.75" x14ac:dyDescent="0.35">
      <c r="A249"/>
      <c r="B249"/>
      <c r="C249"/>
      <c r="D249"/>
      <c r="E249"/>
      <c r="F249"/>
      <c r="G249"/>
      <c r="H249"/>
      <c r="I249"/>
      <c r="J249"/>
      <c r="K249"/>
    </row>
    <row r="250" spans="1:11" ht="12.75" x14ac:dyDescent="0.35">
      <c r="A250"/>
      <c r="B250"/>
      <c r="C250"/>
      <c r="D250"/>
      <c r="E250"/>
      <c r="F250"/>
      <c r="G250"/>
      <c r="H250"/>
      <c r="I250"/>
      <c r="J250"/>
      <c r="K250"/>
    </row>
    <row r="251" spans="1:11" ht="12.75" x14ac:dyDescent="0.35">
      <c r="A251"/>
      <c r="B251"/>
      <c r="C251"/>
      <c r="D251"/>
      <c r="E251"/>
      <c r="F251"/>
      <c r="G251"/>
      <c r="H251"/>
      <c r="I251"/>
      <c r="J251"/>
      <c r="K251"/>
    </row>
    <row r="252" spans="1:11" ht="12.75" x14ac:dyDescent="0.35">
      <c r="A252"/>
      <c r="B252"/>
      <c r="C252"/>
      <c r="D252"/>
      <c r="E252"/>
      <c r="F252"/>
      <c r="G252"/>
      <c r="H252"/>
      <c r="I252"/>
      <c r="J252"/>
      <c r="K252"/>
    </row>
    <row r="253" spans="1:11" ht="12.75" x14ac:dyDescent="0.35">
      <c r="A253"/>
      <c r="B253"/>
      <c r="C253"/>
      <c r="D253"/>
      <c r="E253"/>
      <c r="F253"/>
      <c r="G253"/>
      <c r="H253"/>
      <c r="I253"/>
      <c r="J253"/>
      <c r="K253"/>
    </row>
    <row r="254" spans="1:11" ht="12.75" x14ac:dyDescent="0.35">
      <c r="A254"/>
      <c r="B254"/>
      <c r="C254"/>
      <c r="D254"/>
      <c r="E254"/>
      <c r="F254"/>
      <c r="G254"/>
      <c r="H254"/>
      <c r="I254"/>
      <c r="J254"/>
      <c r="K254"/>
    </row>
    <row r="255" spans="1:11" ht="12.75" x14ac:dyDescent="0.35">
      <c r="A255"/>
      <c r="B255"/>
      <c r="C255"/>
      <c r="D255"/>
      <c r="E255"/>
      <c r="F255"/>
      <c r="G255"/>
      <c r="H255"/>
      <c r="I255"/>
      <c r="J255"/>
      <c r="K255"/>
    </row>
    <row r="256" spans="1:11" ht="12.75" x14ac:dyDescent="0.35">
      <c r="A256"/>
      <c r="B256"/>
      <c r="C256"/>
      <c r="D256"/>
      <c r="E256"/>
      <c r="F256"/>
      <c r="G256"/>
      <c r="H256"/>
      <c r="I256"/>
      <c r="J256"/>
      <c r="K256"/>
    </row>
    <row r="257" spans="1:11" ht="12.75" x14ac:dyDescent="0.35">
      <c r="A257"/>
      <c r="B257"/>
      <c r="C257"/>
      <c r="D257"/>
      <c r="E257"/>
      <c r="F257"/>
      <c r="G257"/>
      <c r="H257"/>
      <c r="I257"/>
      <c r="J257"/>
      <c r="K257"/>
    </row>
    <row r="258" spans="1:11" ht="12.75" x14ac:dyDescent="0.35">
      <c r="A258"/>
      <c r="B258"/>
      <c r="C258"/>
      <c r="D258"/>
      <c r="E258"/>
      <c r="F258"/>
      <c r="G258"/>
      <c r="H258"/>
      <c r="I258"/>
      <c r="J258"/>
      <c r="K258"/>
    </row>
    <row r="259" spans="1:11" ht="12.75" x14ac:dyDescent="0.35">
      <c r="A259"/>
      <c r="B259"/>
      <c r="C259"/>
      <c r="D259"/>
      <c r="E259"/>
      <c r="F259"/>
      <c r="G259"/>
      <c r="H259"/>
      <c r="I259"/>
      <c r="J259"/>
      <c r="K259"/>
    </row>
    <row r="260" spans="1:11" ht="12.75" x14ac:dyDescent="0.35">
      <c r="A260"/>
      <c r="B260"/>
      <c r="C260"/>
      <c r="D260"/>
      <c r="E260"/>
      <c r="F260"/>
      <c r="G260"/>
      <c r="H260"/>
      <c r="I260"/>
      <c r="J260"/>
      <c r="K260"/>
    </row>
    <row r="261" spans="1:11" ht="12.75" x14ac:dyDescent="0.35">
      <c r="A261"/>
      <c r="B261"/>
      <c r="C261"/>
      <c r="D261"/>
      <c r="E261"/>
      <c r="F261"/>
      <c r="G261"/>
      <c r="H261"/>
      <c r="I261"/>
      <c r="J261"/>
      <c r="K261"/>
    </row>
    <row r="262" spans="1:11" ht="12.75" x14ac:dyDescent="0.35">
      <c r="A262"/>
      <c r="B262"/>
      <c r="C262"/>
      <c r="D262"/>
      <c r="E262"/>
      <c r="F262"/>
      <c r="G262"/>
      <c r="H262"/>
      <c r="I262"/>
      <c r="J262"/>
      <c r="K262"/>
    </row>
    <row r="263" spans="1:11" ht="12.75" x14ac:dyDescent="0.35">
      <c r="A263"/>
      <c r="B263"/>
      <c r="C263"/>
      <c r="D263"/>
      <c r="E263"/>
      <c r="F263"/>
      <c r="G263"/>
      <c r="H263"/>
      <c r="I263"/>
      <c r="J263"/>
      <c r="K263"/>
    </row>
    <row r="264" spans="1:11" ht="12.75" x14ac:dyDescent="0.35">
      <c r="A264"/>
      <c r="B264"/>
      <c r="C264"/>
      <c r="D264"/>
      <c r="E264"/>
      <c r="F264"/>
      <c r="G264"/>
      <c r="H264"/>
      <c r="I264"/>
      <c r="J264"/>
      <c r="K264"/>
    </row>
    <row r="265" spans="1:11" ht="12.75" x14ac:dyDescent="0.35">
      <c r="A265"/>
      <c r="B265"/>
      <c r="C265"/>
      <c r="D265"/>
      <c r="E265"/>
      <c r="F265"/>
      <c r="G265"/>
      <c r="H265"/>
      <c r="I265"/>
      <c r="J265"/>
      <c r="K265"/>
    </row>
    <row r="266" spans="1:11" ht="12.75" x14ac:dyDescent="0.35">
      <c r="A266"/>
      <c r="B266"/>
      <c r="C266"/>
      <c r="D266"/>
      <c r="E266"/>
      <c r="F266"/>
      <c r="G266"/>
      <c r="H266"/>
      <c r="I266"/>
      <c r="J266"/>
      <c r="K266"/>
    </row>
    <row r="267" spans="1:11" ht="12.75" x14ac:dyDescent="0.35">
      <c r="A267"/>
      <c r="B267"/>
      <c r="C267"/>
      <c r="D267"/>
      <c r="E267"/>
      <c r="F267"/>
      <c r="G267"/>
      <c r="H267"/>
      <c r="I267"/>
      <c r="J267"/>
      <c r="K267"/>
    </row>
    <row r="268" spans="1:11" ht="12.75" x14ac:dyDescent="0.35">
      <c r="A268"/>
      <c r="B268"/>
      <c r="C268"/>
      <c r="D268"/>
      <c r="E268"/>
      <c r="F268"/>
      <c r="G268"/>
      <c r="H268"/>
      <c r="I268"/>
      <c r="J268"/>
      <c r="K268"/>
    </row>
    <row r="269" spans="1:11" ht="12.75" x14ac:dyDescent="0.35">
      <c r="A269"/>
      <c r="B269"/>
      <c r="C269"/>
      <c r="D269"/>
      <c r="E269"/>
      <c r="F269"/>
      <c r="G269"/>
      <c r="H269"/>
      <c r="I269"/>
      <c r="J269"/>
      <c r="K269"/>
    </row>
    <row r="270" spans="1:11" ht="12.75" x14ac:dyDescent="0.35">
      <c r="A270"/>
      <c r="B270"/>
      <c r="C270"/>
      <c r="D270"/>
      <c r="E270"/>
      <c r="F270"/>
      <c r="G270"/>
      <c r="H270"/>
      <c r="I270"/>
      <c r="J270"/>
      <c r="K270"/>
    </row>
    <row r="271" spans="1:11" ht="12.75" x14ac:dyDescent="0.35">
      <c r="A271"/>
      <c r="B271"/>
      <c r="C271"/>
      <c r="D271"/>
      <c r="E271"/>
      <c r="F271"/>
      <c r="G271"/>
      <c r="H271"/>
      <c r="I271"/>
      <c r="J271"/>
      <c r="K271"/>
    </row>
    <row r="272" spans="1:11" ht="12.75" x14ac:dyDescent="0.35">
      <c r="A272"/>
      <c r="B272"/>
      <c r="C272"/>
      <c r="D272"/>
      <c r="E272"/>
      <c r="F272"/>
      <c r="G272"/>
      <c r="H272"/>
      <c r="I272"/>
      <c r="J272"/>
      <c r="K272"/>
    </row>
    <row r="273" spans="1:11" ht="12.75" x14ac:dyDescent="0.35">
      <c r="A273"/>
      <c r="B273"/>
      <c r="C273"/>
      <c r="D273"/>
      <c r="E273"/>
      <c r="F273"/>
      <c r="G273"/>
      <c r="H273"/>
      <c r="I273"/>
      <c r="J273"/>
      <c r="K273"/>
    </row>
    <row r="274" spans="1:11" ht="12.75" x14ac:dyDescent="0.35">
      <c r="A274"/>
      <c r="B274"/>
      <c r="C274"/>
      <c r="D274"/>
      <c r="E274"/>
      <c r="F274"/>
      <c r="G274"/>
      <c r="H274"/>
      <c r="I274"/>
      <c r="J274"/>
      <c r="K274"/>
    </row>
    <row r="275" spans="1:11" ht="12.75" x14ac:dyDescent="0.35">
      <c r="A275"/>
      <c r="B275"/>
      <c r="C275"/>
      <c r="D275"/>
      <c r="E275"/>
      <c r="F275"/>
      <c r="G275"/>
      <c r="H275"/>
      <c r="I275"/>
      <c r="J275"/>
      <c r="K275"/>
    </row>
    <row r="276" spans="1:11" ht="12.75" x14ac:dyDescent="0.35">
      <c r="A276"/>
      <c r="B276"/>
      <c r="C276"/>
      <c r="D276"/>
      <c r="E276"/>
      <c r="F276"/>
      <c r="G276"/>
      <c r="H276"/>
      <c r="I276"/>
      <c r="J276"/>
      <c r="K276"/>
    </row>
    <row r="277" spans="1:11" ht="12.75" x14ac:dyDescent="0.35">
      <c r="A277"/>
      <c r="B277"/>
      <c r="C277"/>
      <c r="D277"/>
      <c r="E277"/>
      <c r="F277"/>
      <c r="G277"/>
      <c r="H277"/>
      <c r="I277"/>
      <c r="J277"/>
      <c r="K277"/>
    </row>
    <row r="278" spans="1:11" ht="12.75" x14ac:dyDescent="0.35">
      <c r="A278"/>
      <c r="B278"/>
      <c r="C278"/>
      <c r="D278"/>
      <c r="E278"/>
      <c r="F278"/>
      <c r="G278"/>
      <c r="H278"/>
      <c r="I278"/>
      <c r="J278"/>
      <c r="K278"/>
    </row>
    <row r="279" spans="1:11" ht="12.75" x14ac:dyDescent="0.35">
      <c r="A279"/>
      <c r="B279"/>
      <c r="C279"/>
      <c r="D279"/>
      <c r="E279"/>
      <c r="F279"/>
      <c r="G279"/>
      <c r="H279"/>
      <c r="I279"/>
      <c r="J279"/>
      <c r="K279"/>
    </row>
    <row r="280" spans="1:11" ht="12.75" x14ac:dyDescent="0.35">
      <c r="A280"/>
      <c r="B280"/>
      <c r="C280"/>
      <c r="D280"/>
      <c r="E280"/>
      <c r="F280"/>
      <c r="G280"/>
      <c r="H280"/>
      <c r="I280"/>
      <c r="J280"/>
      <c r="K280"/>
    </row>
    <row r="281" spans="1:11" ht="12.75" x14ac:dyDescent="0.35">
      <c r="A281"/>
      <c r="B281"/>
      <c r="C281"/>
      <c r="D281"/>
      <c r="E281"/>
      <c r="F281"/>
      <c r="G281"/>
      <c r="H281"/>
      <c r="I281"/>
      <c r="J281"/>
      <c r="K281"/>
    </row>
    <row r="282" spans="1:11" ht="12.75" x14ac:dyDescent="0.35">
      <c r="A282"/>
      <c r="B282"/>
      <c r="C282"/>
      <c r="D282"/>
      <c r="E282"/>
      <c r="F282"/>
      <c r="G282"/>
      <c r="H282"/>
      <c r="I282"/>
      <c r="J282"/>
      <c r="K282"/>
    </row>
    <row r="283" spans="1:11" ht="12.75" x14ac:dyDescent="0.35">
      <c r="A283"/>
      <c r="B283"/>
      <c r="C283"/>
      <c r="D283"/>
      <c r="E283"/>
      <c r="F283"/>
      <c r="G283"/>
      <c r="H283"/>
      <c r="I283"/>
      <c r="J283"/>
      <c r="K283"/>
    </row>
    <row r="284" spans="1:11" ht="12.75" x14ac:dyDescent="0.35">
      <c r="A284"/>
      <c r="B284"/>
      <c r="C284"/>
      <c r="D284"/>
      <c r="E284"/>
      <c r="F284"/>
      <c r="G284"/>
      <c r="H284"/>
      <c r="I284"/>
      <c r="J284"/>
      <c r="K284"/>
    </row>
    <row r="285" spans="1:11" ht="12.75" x14ac:dyDescent="0.35">
      <c r="A285"/>
      <c r="B285"/>
      <c r="C285"/>
      <c r="D285"/>
      <c r="E285"/>
      <c r="F285"/>
      <c r="G285"/>
      <c r="H285"/>
      <c r="I285"/>
      <c r="J285"/>
      <c r="K285"/>
    </row>
    <row r="286" spans="1:11" ht="12.75" x14ac:dyDescent="0.35">
      <c r="A286"/>
      <c r="B286"/>
      <c r="C286"/>
      <c r="D286"/>
      <c r="E286"/>
      <c r="F286"/>
      <c r="G286"/>
      <c r="H286"/>
      <c r="I286"/>
      <c r="J286"/>
      <c r="K286"/>
    </row>
    <row r="287" spans="1:11" ht="12.75" x14ac:dyDescent="0.35">
      <c r="A287"/>
      <c r="B287"/>
      <c r="C287"/>
      <c r="D287"/>
      <c r="E287"/>
      <c r="F287"/>
      <c r="G287"/>
      <c r="H287"/>
      <c r="I287"/>
      <c r="J287"/>
      <c r="K287"/>
    </row>
    <row r="288" spans="1:11" ht="12.75" x14ac:dyDescent="0.35">
      <c r="A288"/>
      <c r="B288"/>
      <c r="C288"/>
      <c r="D288"/>
      <c r="E288"/>
      <c r="F288"/>
      <c r="G288"/>
      <c r="H288"/>
      <c r="I288"/>
      <c r="J288"/>
      <c r="K288"/>
    </row>
    <row r="289" spans="1:11" ht="12.75" x14ac:dyDescent="0.35">
      <c r="A289"/>
      <c r="B289"/>
      <c r="C289"/>
      <c r="D289"/>
      <c r="E289"/>
      <c r="F289"/>
      <c r="G289"/>
      <c r="H289"/>
      <c r="I289"/>
      <c r="J289"/>
      <c r="K289"/>
    </row>
    <row r="290" spans="1:11" ht="12.75" x14ac:dyDescent="0.35">
      <c r="A290"/>
      <c r="B290"/>
      <c r="C290"/>
      <c r="D290"/>
      <c r="E290"/>
      <c r="F290"/>
      <c r="G290"/>
      <c r="H290"/>
      <c r="I290"/>
      <c r="J290"/>
      <c r="K290"/>
    </row>
    <row r="291" spans="1:11" ht="12.75" x14ac:dyDescent="0.35">
      <c r="A291"/>
      <c r="B291"/>
      <c r="C291"/>
      <c r="D291"/>
      <c r="E291"/>
      <c r="F291"/>
      <c r="G291"/>
      <c r="H291"/>
      <c r="I291"/>
      <c r="J291"/>
      <c r="K291"/>
    </row>
    <row r="292" spans="1:11" ht="12.75" x14ac:dyDescent="0.35">
      <c r="A292"/>
      <c r="B292"/>
      <c r="C292"/>
      <c r="D292"/>
      <c r="E292"/>
      <c r="F292"/>
      <c r="G292"/>
      <c r="H292"/>
      <c r="I292"/>
      <c r="J292"/>
      <c r="K292"/>
    </row>
    <row r="293" spans="1:11" ht="12.75" x14ac:dyDescent="0.35">
      <c r="A293"/>
      <c r="B293"/>
      <c r="C293"/>
      <c r="D293"/>
      <c r="E293"/>
      <c r="F293"/>
      <c r="G293"/>
      <c r="H293"/>
      <c r="I293"/>
      <c r="J293"/>
      <c r="K293"/>
    </row>
    <row r="294" spans="1:11" ht="12.75" x14ac:dyDescent="0.35">
      <c r="A294"/>
      <c r="B294"/>
      <c r="C294"/>
      <c r="D294"/>
      <c r="E294"/>
      <c r="F294"/>
      <c r="G294"/>
      <c r="H294"/>
      <c r="I294"/>
      <c r="J294"/>
      <c r="K294"/>
    </row>
    <row r="295" spans="1:11" ht="12.75" x14ac:dyDescent="0.35">
      <c r="A295"/>
      <c r="B295"/>
      <c r="C295"/>
      <c r="D295"/>
      <c r="E295"/>
      <c r="F295"/>
      <c r="G295"/>
      <c r="H295"/>
      <c r="I295"/>
      <c r="J295"/>
      <c r="K295"/>
    </row>
    <row r="296" spans="1:11" ht="12.75" x14ac:dyDescent="0.35">
      <c r="A296"/>
      <c r="B296"/>
      <c r="C296"/>
      <c r="D296"/>
      <c r="E296"/>
      <c r="F296"/>
      <c r="G296"/>
      <c r="H296"/>
      <c r="I296"/>
      <c r="J296"/>
      <c r="K296"/>
    </row>
    <row r="297" spans="1:11" ht="12.75" x14ac:dyDescent="0.35">
      <c r="A297"/>
      <c r="B297"/>
      <c r="C297"/>
      <c r="D297"/>
      <c r="E297"/>
      <c r="F297"/>
      <c r="G297"/>
      <c r="H297"/>
      <c r="I297"/>
      <c r="J297"/>
      <c r="K297"/>
    </row>
    <row r="298" spans="1:11" ht="12.75" x14ac:dyDescent="0.35">
      <c r="A298"/>
      <c r="B298"/>
      <c r="C298"/>
      <c r="D298"/>
      <c r="E298"/>
      <c r="F298"/>
      <c r="G298"/>
      <c r="H298"/>
      <c r="I298"/>
      <c r="J298"/>
      <c r="K298"/>
    </row>
    <row r="299" spans="1:11" ht="12.75" x14ac:dyDescent="0.35">
      <c r="A299"/>
      <c r="B299"/>
      <c r="C299"/>
      <c r="D299"/>
      <c r="E299"/>
      <c r="F299"/>
      <c r="G299"/>
      <c r="H299"/>
      <c r="I299"/>
      <c r="J299"/>
      <c r="K299"/>
    </row>
    <row r="300" spans="1:11" ht="12.75" x14ac:dyDescent="0.35">
      <c r="A300"/>
      <c r="B300"/>
      <c r="C300"/>
      <c r="D300"/>
      <c r="E300"/>
      <c r="F300"/>
      <c r="G300"/>
      <c r="H300"/>
      <c r="I300"/>
      <c r="J300"/>
      <c r="K300"/>
    </row>
    <row r="301" spans="1:11" ht="12.75" x14ac:dyDescent="0.35">
      <c r="A301"/>
      <c r="B301"/>
      <c r="C301"/>
      <c r="D301"/>
      <c r="E301"/>
      <c r="F301"/>
      <c r="G301"/>
      <c r="H301"/>
      <c r="I301"/>
      <c r="J301"/>
      <c r="K301"/>
    </row>
    <row r="302" spans="1:11" ht="12.75" x14ac:dyDescent="0.35">
      <c r="A302"/>
      <c r="B302"/>
      <c r="C302"/>
      <c r="D302"/>
      <c r="E302"/>
      <c r="F302"/>
      <c r="G302"/>
      <c r="H302"/>
      <c r="I302"/>
      <c r="J302"/>
      <c r="K302"/>
    </row>
    <row r="303" spans="1:11" ht="12.75" x14ac:dyDescent="0.35">
      <c r="A303"/>
      <c r="B303"/>
      <c r="C303"/>
      <c r="D303"/>
      <c r="E303"/>
      <c r="F303"/>
      <c r="G303"/>
      <c r="H303"/>
      <c r="I303"/>
      <c r="J303"/>
      <c r="K303"/>
    </row>
    <row r="304" spans="1:11" ht="12.75" x14ac:dyDescent="0.35">
      <c r="A304"/>
      <c r="B304"/>
      <c r="C304"/>
      <c r="D304"/>
      <c r="E304"/>
      <c r="F304"/>
      <c r="G304"/>
      <c r="H304"/>
      <c r="I304"/>
      <c r="J304"/>
      <c r="K304"/>
    </row>
    <row r="305" spans="1:11" ht="12.75" x14ac:dyDescent="0.35">
      <c r="A305"/>
      <c r="B305"/>
      <c r="C305"/>
      <c r="D305"/>
      <c r="E305"/>
      <c r="F305"/>
      <c r="G305"/>
      <c r="H305"/>
      <c r="I305"/>
      <c r="J305"/>
      <c r="K305"/>
    </row>
    <row r="306" spans="1:11" ht="12.75" x14ac:dyDescent="0.35">
      <c r="A306"/>
      <c r="B306"/>
      <c r="C306"/>
      <c r="D306"/>
      <c r="E306"/>
      <c r="F306"/>
      <c r="G306"/>
      <c r="H306"/>
      <c r="I306"/>
      <c r="J306"/>
      <c r="K306"/>
    </row>
    <row r="307" spans="1:11" ht="12.75" x14ac:dyDescent="0.35">
      <c r="A307"/>
      <c r="B307"/>
      <c r="C307"/>
      <c r="D307"/>
      <c r="E307"/>
      <c r="F307"/>
      <c r="G307"/>
      <c r="H307"/>
      <c r="I307"/>
      <c r="J307"/>
      <c r="K307"/>
    </row>
    <row r="308" spans="1:11" ht="12.75" x14ac:dyDescent="0.35">
      <c r="A308"/>
      <c r="B308"/>
      <c r="C308"/>
      <c r="D308"/>
      <c r="E308"/>
      <c r="F308"/>
      <c r="G308"/>
      <c r="H308"/>
      <c r="I308"/>
      <c r="J308"/>
      <c r="K308"/>
    </row>
    <row r="309" spans="1:11" ht="12.75" x14ac:dyDescent="0.35">
      <c r="A309"/>
      <c r="B309"/>
      <c r="C309"/>
      <c r="D309"/>
      <c r="E309"/>
      <c r="F309"/>
      <c r="G309"/>
      <c r="H309"/>
      <c r="I309"/>
      <c r="J309"/>
      <c r="K309"/>
    </row>
    <row r="310" spans="1:11" ht="12.75" x14ac:dyDescent="0.35">
      <c r="A310"/>
      <c r="B310"/>
      <c r="C310"/>
      <c r="D310"/>
      <c r="E310"/>
      <c r="F310"/>
      <c r="G310"/>
      <c r="H310"/>
      <c r="I310"/>
      <c r="J310"/>
      <c r="K310"/>
    </row>
    <row r="311" spans="1:11" ht="12.75" x14ac:dyDescent="0.35">
      <c r="A311"/>
      <c r="B311"/>
      <c r="C311"/>
      <c r="D311"/>
      <c r="E311"/>
      <c r="F311"/>
      <c r="G311"/>
      <c r="H311"/>
      <c r="I311"/>
      <c r="J311"/>
      <c r="K311"/>
    </row>
    <row r="312" spans="1:11" ht="12.75" x14ac:dyDescent="0.35">
      <c r="A312"/>
      <c r="B312"/>
      <c r="C312"/>
      <c r="D312"/>
      <c r="E312"/>
      <c r="F312"/>
      <c r="G312"/>
      <c r="H312"/>
      <c r="I312"/>
      <c r="J312"/>
      <c r="K312"/>
    </row>
    <row r="313" spans="1:11" ht="12.75" x14ac:dyDescent="0.35">
      <c r="A313"/>
      <c r="B313"/>
      <c r="C313"/>
      <c r="D313"/>
      <c r="E313"/>
      <c r="F313"/>
      <c r="G313"/>
      <c r="H313"/>
      <c r="I313"/>
      <c r="J313"/>
      <c r="K313"/>
    </row>
    <row r="314" spans="1:11" ht="12.75" x14ac:dyDescent="0.35">
      <c r="A314"/>
      <c r="B314"/>
      <c r="C314"/>
      <c r="D314"/>
      <c r="E314"/>
      <c r="F314"/>
      <c r="G314"/>
      <c r="H314"/>
      <c r="I314"/>
      <c r="J314"/>
      <c r="K314"/>
    </row>
    <row r="315" spans="1:11" ht="12.75" x14ac:dyDescent="0.35">
      <c r="A315"/>
      <c r="B315"/>
      <c r="C315"/>
      <c r="D315"/>
      <c r="E315"/>
      <c r="F315"/>
      <c r="G315"/>
      <c r="H315"/>
      <c r="I315"/>
      <c r="J315"/>
      <c r="K315"/>
    </row>
    <row r="316" spans="1:11" ht="12.75" x14ac:dyDescent="0.35">
      <c r="A316"/>
      <c r="B316"/>
      <c r="C316"/>
      <c r="D316"/>
      <c r="E316"/>
      <c r="F316"/>
      <c r="G316"/>
      <c r="H316"/>
      <c r="I316"/>
      <c r="J316"/>
      <c r="K316"/>
    </row>
    <row r="317" spans="1:11" ht="12.75" x14ac:dyDescent="0.35">
      <c r="A317"/>
      <c r="B317"/>
      <c r="C317"/>
      <c r="D317"/>
      <c r="E317"/>
      <c r="F317"/>
      <c r="G317"/>
      <c r="H317"/>
      <c r="I317"/>
      <c r="J317"/>
      <c r="K317"/>
    </row>
    <row r="318" spans="1:11" ht="12.75" x14ac:dyDescent="0.35">
      <c r="A318"/>
      <c r="B318"/>
      <c r="C318"/>
      <c r="D318"/>
      <c r="E318"/>
      <c r="F318"/>
      <c r="G318"/>
      <c r="H318"/>
      <c r="I318"/>
      <c r="J318"/>
      <c r="K318"/>
    </row>
    <row r="319" spans="1:11" ht="12.75" x14ac:dyDescent="0.35">
      <c r="A319"/>
      <c r="B319"/>
      <c r="C319"/>
      <c r="D319"/>
      <c r="E319"/>
      <c r="F319"/>
      <c r="G319"/>
      <c r="H319"/>
      <c r="I319"/>
      <c r="J319"/>
      <c r="K319"/>
    </row>
    <row r="320" spans="1:11" ht="12.75" x14ac:dyDescent="0.35">
      <c r="A320"/>
      <c r="B320"/>
      <c r="C320"/>
      <c r="D320"/>
      <c r="E320"/>
      <c r="F320"/>
      <c r="G320"/>
      <c r="H320"/>
      <c r="I320"/>
      <c r="J320"/>
      <c r="K320"/>
    </row>
    <row r="321" spans="1:11" ht="12.75" x14ac:dyDescent="0.35">
      <c r="A321"/>
      <c r="B321"/>
      <c r="C321"/>
      <c r="D321"/>
      <c r="E321"/>
      <c r="F321"/>
      <c r="G321"/>
      <c r="H321"/>
      <c r="I321"/>
      <c r="J321"/>
      <c r="K321"/>
    </row>
    <row r="322" spans="1:11" ht="12.75" x14ac:dyDescent="0.35">
      <c r="A322"/>
      <c r="B322"/>
      <c r="C322"/>
      <c r="D322"/>
      <c r="E322"/>
      <c r="F322"/>
      <c r="G322"/>
      <c r="H322"/>
      <c r="I322"/>
      <c r="J322"/>
      <c r="K322"/>
    </row>
    <row r="323" spans="1:11" ht="12.75" x14ac:dyDescent="0.35">
      <c r="A323"/>
      <c r="B323"/>
      <c r="C323"/>
      <c r="D323"/>
      <c r="E323"/>
      <c r="F323"/>
      <c r="G323"/>
      <c r="H323"/>
      <c r="I323"/>
      <c r="J323"/>
      <c r="K323"/>
    </row>
    <row r="324" spans="1:11" ht="12.75" x14ac:dyDescent="0.35">
      <c r="A324"/>
      <c r="B324"/>
      <c r="C324"/>
      <c r="D324"/>
      <c r="E324"/>
      <c r="F324"/>
      <c r="G324"/>
      <c r="H324"/>
      <c r="I324"/>
      <c r="J324"/>
      <c r="K324"/>
    </row>
    <row r="325" spans="1:11" ht="12.75" x14ac:dyDescent="0.35">
      <c r="A325"/>
      <c r="B325"/>
      <c r="C325"/>
      <c r="D325"/>
      <c r="E325"/>
      <c r="F325"/>
      <c r="G325"/>
      <c r="H325"/>
      <c r="I325"/>
      <c r="J325"/>
      <c r="K325"/>
    </row>
    <row r="326" spans="1:11" ht="12.75" x14ac:dyDescent="0.35">
      <c r="A326"/>
      <c r="B326"/>
      <c r="C326"/>
      <c r="D326"/>
      <c r="E326"/>
      <c r="F326"/>
      <c r="G326"/>
      <c r="H326"/>
      <c r="I326"/>
      <c r="J326"/>
      <c r="K326"/>
    </row>
    <row r="327" spans="1:11" ht="12.75" x14ac:dyDescent="0.35">
      <c r="A327"/>
      <c r="B327"/>
      <c r="C327"/>
      <c r="D327"/>
      <c r="E327"/>
      <c r="F327"/>
      <c r="G327"/>
      <c r="H327"/>
      <c r="I327"/>
      <c r="J327"/>
      <c r="K327"/>
    </row>
    <row r="328" spans="1:11" ht="12.75" x14ac:dyDescent="0.35">
      <c r="A328"/>
      <c r="B328"/>
      <c r="C328"/>
      <c r="D328"/>
      <c r="E328"/>
      <c r="F328"/>
      <c r="G328"/>
      <c r="H328"/>
      <c r="I328"/>
      <c r="J328"/>
      <c r="K328"/>
    </row>
    <row r="329" spans="1:11" ht="12.75" x14ac:dyDescent="0.35">
      <c r="A329"/>
      <c r="B329"/>
      <c r="C329"/>
      <c r="D329"/>
      <c r="E329"/>
      <c r="F329"/>
      <c r="G329"/>
      <c r="H329"/>
      <c r="I329"/>
      <c r="J329"/>
      <c r="K329"/>
    </row>
    <row r="330" spans="1:11" ht="12.75" x14ac:dyDescent="0.35">
      <c r="A330"/>
      <c r="B330"/>
      <c r="C330"/>
      <c r="D330"/>
      <c r="E330"/>
      <c r="F330"/>
      <c r="G330"/>
      <c r="H330"/>
      <c r="I330"/>
      <c r="J330"/>
      <c r="K330"/>
    </row>
    <row r="331" spans="1:11" ht="12.75" x14ac:dyDescent="0.35">
      <c r="A331"/>
      <c r="B331"/>
      <c r="C331"/>
      <c r="D331"/>
      <c r="E331"/>
      <c r="F331"/>
      <c r="G331"/>
      <c r="H331"/>
      <c r="I331"/>
      <c r="J331"/>
      <c r="K331"/>
    </row>
    <row r="332" spans="1:11" ht="12.75" x14ac:dyDescent="0.35">
      <c r="A332"/>
      <c r="B332"/>
      <c r="C332"/>
      <c r="D332"/>
      <c r="E332"/>
      <c r="F332"/>
      <c r="G332"/>
      <c r="H332"/>
      <c r="I332"/>
      <c r="J332"/>
      <c r="K332"/>
    </row>
    <row r="333" spans="1:11" ht="12.75" x14ac:dyDescent="0.35">
      <c r="A333"/>
      <c r="B333"/>
      <c r="C333"/>
      <c r="D333"/>
      <c r="E333"/>
      <c r="F333"/>
      <c r="G333"/>
      <c r="H333"/>
      <c r="I333"/>
      <c r="J333"/>
      <c r="K333"/>
    </row>
    <row r="334" spans="1:11" ht="12.75" x14ac:dyDescent="0.35">
      <c r="A334"/>
      <c r="B334"/>
      <c r="C334"/>
      <c r="D334"/>
      <c r="E334"/>
      <c r="F334"/>
      <c r="G334"/>
      <c r="H334"/>
      <c r="I334"/>
      <c r="J334"/>
      <c r="K334"/>
    </row>
    <row r="335" spans="1:11" ht="12.75" x14ac:dyDescent="0.35">
      <c r="A335"/>
      <c r="B335"/>
      <c r="C335"/>
      <c r="D335"/>
      <c r="E335"/>
      <c r="F335"/>
      <c r="G335"/>
      <c r="H335"/>
      <c r="I335"/>
      <c r="J335"/>
      <c r="K335"/>
    </row>
    <row r="336" spans="1:11" ht="12.75" x14ac:dyDescent="0.35">
      <c r="A336"/>
      <c r="B336"/>
      <c r="C336"/>
      <c r="D336"/>
      <c r="E336"/>
      <c r="F336"/>
      <c r="G336"/>
      <c r="H336"/>
      <c r="I336"/>
      <c r="J336"/>
      <c r="K336"/>
    </row>
    <row r="337" spans="1:11" ht="12.75" x14ac:dyDescent="0.35">
      <c r="A337"/>
      <c r="B337"/>
      <c r="C337"/>
      <c r="D337"/>
      <c r="E337"/>
      <c r="F337"/>
      <c r="G337"/>
      <c r="H337"/>
      <c r="I337"/>
      <c r="J337"/>
      <c r="K337"/>
    </row>
    <row r="338" spans="1:11" ht="12.75" x14ac:dyDescent="0.35">
      <c r="A338"/>
      <c r="B338"/>
      <c r="C338"/>
      <c r="D338"/>
      <c r="E338"/>
      <c r="F338"/>
      <c r="G338"/>
      <c r="H338"/>
      <c r="I338"/>
      <c r="J338"/>
      <c r="K338"/>
    </row>
    <row r="339" spans="1:11" ht="12.75" x14ac:dyDescent="0.35">
      <c r="A339"/>
      <c r="B339"/>
      <c r="C339"/>
      <c r="D339"/>
      <c r="E339"/>
      <c r="F339"/>
      <c r="G339"/>
      <c r="H339"/>
      <c r="I339"/>
      <c r="J339"/>
      <c r="K339"/>
    </row>
    <row r="340" spans="1:11" ht="12.75" x14ac:dyDescent="0.35">
      <c r="A340"/>
      <c r="B340"/>
      <c r="C340"/>
      <c r="D340"/>
      <c r="E340"/>
      <c r="F340"/>
      <c r="G340"/>
      <c r="H340"/>
      <c r="I340"/>
      <c r="J340"/>
      <c r="K340"/>
    </row>
    <row r="341" spans="1:11" ht="12.75" x14ac:dyDescent="0.35">
      <c r="A341"/>
      <c r="B341"/>
      <c r="C341"/>
      <c r="D341"/>
      <c r="E341"/>
      <c r="F341"/>
      <c r="G341"/>
      <c r="H341"/>
      <c r="I341"/>
      <c r="J341"/>
      <c r="K341"/>
    </row>
    <row r="342" spans="1:11" ht="12.75" x14ac:dyDescent="0.35">
      <c r="A342"/>
      <c r="B342"/>
      <c r="C342"/>
      <c r="D342"/>
      <c r="E342"/>
      <c r="F342"/>
      <c r="G342"/>
      <c r="H342"/>
      <c r="I342"/>
      <c r="J342"/>
      <c r="K342"/>
    </row>
    <row r="343" spans="1:11" ht="12.75" x14ac:dyDescent="0.35">
      <c r="A343"/>
      <c r="B343"/>
      <c r="C343"/>
      <c r="D343"/>
      <c r="E343"/>
      <c r="F343"/>
      <c r="G343"/>
      <c r="H343"/>
      <c r="I343"/>
      <c r="J343"/>
      <c r="K343"/>
    </row>
    <row r="344" spans="1:11" ht="12.75" x14ac:dyDescent="0.35">
      <c r="A344"/>
      <c r="B344"/>
      <c r="C344"/>
      <c r="D344"/>
      <c r="E344"/>
      <c r="F344"/>
      <c r="G344"/>
      <c r="H344"/>
      <c r="I344"/>
      <c r="J344"/>
      <c r="K344"/>
    </row>
    <row r="345" spans="1:11" ht="12.75" x14ac:dyDescent="0.35">
      <c r="A345"/>
      <c r="B345"/>
      <c r="C345"/>
      <c r="D345"/>
      <c r="E345"/>
      <c r="F345"/>
      <c r="G345"/>
      <c r="H345"/>
      <c r="I345"/>
      <c r="J345"/>
      <c r="K345"/>
    </row>
    <row r="346" spans="1:11" ht="12.75" x14ac:dyDescent="0.35">
      <c r="A346"/>
      <c r="B346"/>
      <c r="C346"/>
      <c r="D346"/>
      <c r="E346"/>
      <c r="F346"/>
      <c r="G346"/>
      <c r="H346"/>
      <c r="I346"/>
      <c r="J346"/>
      <c r="K346"/>
    </row>
    <row r="347" spans="1:11" ht="12.75" x14ac:dyDescent="0.35">
      <c r="A347"/>
      <c r="B347"/>
      <c r="C347"/>
      <c r="D347"/>
      <c r="E347"/>
      <c r="F347"/>
      <c r="G347"/>
      <c r="H347"/>
      <c r="I347"/>
      <c r="J347"/>
      <c r="K347"/>
    </row>
    <row r="348" spans="1:11" ht="12.75" x14ac:dyDescent="0.35">
      <c r="A348"/>
      <c r="B348"/>
      <c r="C348"/>
      <c r="D348"/>
      <c r="E348"/>
      <c r="F348"/>
      <c r="G348"/>
      <c r="H348"/>
      <c r="I348"/>
      <c r="J348"/>
      <c r="K348"/>
    </row>
    <row r="349" spans="1:11" ht="12.75" x14ac:dyDescent="0.35">
      <c r="A349"/>
      <c r="B349"/>
      <c r="C349"/>
      <c r="D349"/>
      <c r="E349"/>
      <c r="F349"/>
      <c r="G349"/>
      <c r="H349"/>
      <c r="I349"/>
      <c r="J349"/>
      <c r="K349"/>
    </row>
    <row r="350" spans="1:11" ht="12.75" x14ac:dyDescent="0.35">
      <c r="A350"/>
      <c r="B350"/>
      <c r="C350"/>
      <c r="D350"/>
      <c r="E350"/>
      <c r="F350"/>
      <c r="G350"/>
      <c r="H350"/>
      <c r="I350"/>
      <c r="J350"/>
      <c r="K350"/>
    </row>
    <row r="351" spans="1:11" ht="12.75" x14ac:dyDescent="0.35">
      <c r="A351"/>
      <c r="B351"/>
      <c r="C351"/>
      <c r="D351"/>
      <c r="E351"/>
      <c r="F351"/>
      <c r="G351"/>
      <c r="H351"/>
      <c r="I351"/>
      <c r="J351"/>
      <c r="K351"/>
    </row>
    <row r="352" spans="1:11" ht="12.75" x14ac:dyDescent="0.35">
      <c r="A352"/>
      <c r="B352"/>
      <c r="C352"/>
      <c r="D352"/>
      <c r="E352"/>
      <c r="F352"/>
      <c r="G352"/>
      <c r="H352"/>
      <c r="I352"/>
      <c r="J352"/>
      <c r="K352"/>
    </row>
    <row r="353" spans="1:11" ht="12.75" x14ac:dyDescent="0.35">
      <c r="A353"/>
      <c r="B353"/>
      <c r="C353"/>
      <c r="D353"/>
      <c r="E353"/>
      <c r="F353"/>
      <c r="G353"/>
      <c r="H353"/>
      <c r="I353"/>
      <c r="J353"/>
      <c r="K353"/>
    </row>
    <row r="354" spans="1:11" ht="12.75" x14ac:dyDescent="0.35">
      <c r="A354"/>
      <c r="B354"/>
      <c r="C354"/>
      <c r="D354"/>
      <c r="E354"/>
      <c r="F354"/>
      <c r="G354"/>
      <c r="H354"/>
      <c r="I354"/>
      <c r="J354"/>
      <c r="K354"/>
    </row>
    <row r="355" spans="1:11" ht="12.75" x14ac:dyDescent="0.35">
      <c r="A355"/>
      <c r="B355"/>
      <c r="C355"/>
      <c r="D355"/>
      <c r="E355"/>
      <c r="F355"/>
      <c r="G355"/>
      <c r="H355"/>
      <c r="I355"/>
      <c r="J355"/>
      <c r="K355"/>
    </row>
    <row r="356" spans="1:11" ht="12.75" x14ac:dyDescent="0.35">
      <c r="A356"/>
      <c r="B356"/>
      <c r="C356"/>
      <c r="D356"/>
      <c r="E356"/>
      <c r="F356"/>
      <c r="G356"/>
      <c r="H356"/>
      <c r="I356"/>
      <c r="J356"/>
      <c r="K356"/>
    </row>
    <row r="357" spans="1:11" ht="12.75" x14ac:dyDescent="0.35">
      <c r="A357"/>
      <c r="B357"/>
      <c r="C357"/>
      <c r="D357"/>
      <c r="E357"/>
      <c r="F357"/>
      <c r="G357"/>
      <c r="H357"/>
      <c r="I357"/>
      <c r="J357"/>
      <c r="K357"/>
    </row>
    <row r="358" spans="1:11" ht="12.75" x14ac:dyDescent="0.35">
      <c r="A358"/>
      <c r="B358"/>
      <c r="C358"/>
      <c r="D358"/>
      <c r="E358"/>
      <c r="F358"/>
      <c r="G358"/>
      <c r="H358"/>
      <c r="I358"/>
      <c r="J358"/>
      <c r="K358"/>
    </row>
    <row r="359" spans="1:11" ht="12.75" x14ac:dyDescent="0.35">
      <c r="A359"/>
      <c r="B359"/>
      <c r="C359"/>
      <c r="D359"/>
      <c r="E359"/>
      <c r="F359"/>
      <c r="G359"/>
      <c r="H359"/>
      <c r="I359"/>
      <c r="J359"/>
      <c r="K359"/>
    </row>
    <row r="360" spans="1:11" ht="12.75" x14ac:dyDescent="0.35">
      <c r="A360"/>
      <c r="B360"/>
      <c r="C360"/>
      <c r="D360"/>
      <c r="E360"/>
      <c r="F360"/>
      <c r="G360"/>
      <c r="H360"/>
      <c r="I360"/>
      <c r="J360"/>
      <c r="K360"/>
    </row>
    <row r="361" spans="1:11" ht="12.75" x14ac:dyDescent="0.35">
      <c r="A361"/>
      <c r="B361"/>
      <c r="C361"/>
      <c r="D361"/>
      <c r="E361"/>
      <c r="F361"/>
      <c r="G361"/>
      <c r="H361"/>
      <c r="I361"/>
      <c r="J361"/>
      <c r="K361"/>
    </row>
    <row r="362" spans="1:11" ht="12.75" x14ac:dyDescent="0.35">
      <c r="A362"/>
      <c r="B362"/>
      <c r="C362"/>
      <c r="D362"/>
      <c r="E362"/>
      <c r="F362"/>
      <c r="G362"/>
      <c r="H362"/>
      <c r="I362"/>
      <c r="J362"/>
      <c r="K362"/>
    </row>
    <row r="363" spans="1:11" ht="12.75" x14ac:dyDescent="0.35">
      <c r="A363"/>
      <c r="B363"/>
      <c r="C363"/>
      <c r="D363"/>
      <c r="E363"/>
      <c r="F363"/>
      <c r="G363"/>
      <c r="H363"/>
      <c r="I363"/>
      <c r="J363"/>
      <c r="K363"/>
    </row>
    <row r="364" spans="1:11" ht="12.75" x14ac:dyDescent="0.35">
      <c r="A364"/>
      <c r="B364"/>
      <c r="C364"/>
      <c r="D364"/>
      <c r="E364"/>
      <c r="F364"/>
      <c r="G364"/>
      <c r="H364"/>
      <c r="I364"/>
      <c r="J364"/>
      <c r="K364"/>
    </row>
    <row r="365" spans="1:11" ht="12.75" x14ac:dyDescent="0.35">
      <c r="A365"/>
      <c r="B365"/>
      <c r="C365"/>
      <c r="D365"/>
      <c r="E365"/>
      <c r="F365"/>
      <c r="G365"/>
      <c r="H365"/>
      <c r="I365"/>
      <c r="J365"/>
      <c r="K365"/>
    </row>
    <row r="366" spans="1:11" ht="12.75" x14ac:dyDescent="0.35">
      <c r="A366"/>
      <c r="B366"/>
      <c r="C366"/>
      <c r="D366"/>
      <c r="E366"/>
      <c r="F366"/>
      <c r="G366"/>
      <c r="H366"/>
      <c r="I366"/>
      <c r="J366"/>
      <c r="K366"/>
    </row>
    <row r="367" spans="1:11" ht="12.75" x14ac:dyDescent="0.35">
      <c r="A367"/>
      <c r="B367"/>
      <c r="C367"/>
      <c r="D367"/>
      <c r="E367"/>
      <c r="F367"/>
      <c r="G367"/>
      <c r="H367"/>
      <c r="I367"/>
      <c r="J367"/>
      <c r="K367"/>
    </row>
    <row r="368" spans="1:11" ht="12.75" x14ac:dyDescent="0.35">
      <c r="A368"/>
      <c r="B368"/>
      <c r="C368"/>
      <c r="D368"/>
      <c r="E368"/>
      <c r="F368"/>
      <c r="G368"/>
      <c r="H368"/>
      <c r="I368"/>
      <c r="J368"/>
      <c r="K368"/>
    </row>
    <row r="369" spans="1:11" ht="12.75" x14ac:dyDescent="0.35">
      <c r="A369"/>
      <c r="B369"/>
      <c r="C369"/>
      <c r="D369"/>
      <c r="E369"/>
      <c r="F369"/>
      <c r="G369"/>
      <c r="H369"/>
      <c r="I369"/>
      <c r="J369"/>
      <c r="K369"/>
    </row>
    <row r="370" spans="1:11" ht="12.75" x14ac:dyDescent="0.35">
      <c r="A370"/>
      <c r="B370"/>
      <c r="C370"/>
      <c r="D370"/>
      <c r="E370"/>
      <c r="F370"/>
      <c r="G370"/>
      <c r="H370"/>
      <c r="I370"/>
      <c r="J370"/>
      <c r="K370"/>
    </row>
    <row r="371" spans="1:11" ht="12.75" x14ac:dyDescent="0.35">
      <c r="A371"/>
      <c r="B371"/>
      <c r="C371"/>
      <c r="D371"/>
      <c r="E371"/>
      <c r="F371"/>
      <c r="G371"/>
      <c r="H371"/>
      <c r="I371"/>
      <c r="J371"/>
      <c r="K371"/>
    </row>
    <row r="372" spans="1:11" ht="12.75" x14ac:dyDescent="0.35">
      <c r="A372"/>
      <c r="B372"/>
      <c r="C372"/>
      <c r="D372"/>
      <c r="E372"/>
      <c r="F372"/>
      <c r="G372"/>
      <c r="H372"/>
      <c r="I372"/>
      <c r="J372"/>
      <c r="K372"/>
    </row>
    <row r="373" spans="1:11" ht="12.75" x14ac:dyDescent="0.35">
      <c r="A373"/>
      <c r="B373"/>
      <c r="C373"/>
      <c r="D373"/>
      <c r="E373"/>
      <c r="F373"/>
      <c r="G373"/>
      <c r="H373"/>
      <c r="I373"/>
      <c r="J373"/>
      <c r="K373"/>
    </row>
    <row r="374" spans="1:11" ht="12.75" x14ac:dyDescent="0.35">
      <c r="A374"/>
      <c r="B374"/>
      <c r="C374"/>
      <c r="D374"/>
      <c r="E374"/>
      <c r="F374"/>
      <c r="G374"/>
      <c r="H374"/>
      <c r="I374"/>
      <c r="J374"/>
      <c r="K374"/>
    </row>
    <row r="375" spans="1:11" ht="12.75" x14ac:dyDescent="0.35">
      <c r="A375"/>
      <c r="B375"/>
      <c r="C375"/>
      <c r="D375"/>
      <c r="E375"/>
      <c r="F375"/>
      <c r="G375"/>
      <c r="H375"/>
      <c r="I375"/>
      <c r="J375"/>
      <c r="K375"/>
    </row>
    <row r="376" spans="1:11" ht="12.75" x14ac:dyDescent="0.35">
      <c r="A376"/>
      <c r="B376"/>
      <c r="C376"/>
      <c r="D376"/>
      <c r="E376"/>
      <c r="F376"/>
      <c r="G376"/>
      <c r="H376"/>
      <c r="I376"/>
      <c r="J376"/>
      <c r="K376"/>
    </row>
    <row r="377" spans="1:11" ht="12.75" x14ac:dyDescent="0.35">
      <c r="A377"/>
      <c r="B377"/>
      <c r="C377"/>
      <c r="D377"/>
      <c r="E377"/>
      <c r="F377"/>
      <c r="G377"/>
      <c r="H377"/>
      <c r="I377"/>
      <c r="J377"/>
      <c r="K377"/>
    </row>
    <row r="378" spans="1:11" ht="12.75" x14ac:dyDescent="0.35">
      <c r="A378"/>
      <c r="B378"/>
      <c r="C378"/>
      <c r="D378"/>
      <c r="E378"/>
      <c r="F378"/>
      <c r="G378"/>
      <c r="H378"/>
      <c r="I378"/>
      <c r="J378"/>
      <c r="K378"/>
    </row>
    <row r="379" spans="1:11" ht="12.75" x14ac:dyDescent="0.35">
      <c r="A379"/>
      <c r="B379"/>
      <c r="C379"/>
      <c r="D379"/>
      <c r="E379"/>
      <c r="F379"/>
      <c r="G379"/>
      <c r="H379"/>
      <c r="I379"/>
      <c r="J379"/>
      <c r="K379"/>
    </row>
    <row r="380" spans="1:11" ht="12.75" x14ac:dyDescent="0.35">
      <c r="A380"/>
      <c r="B380"/>
      <c r="C380"/>
      <c r="D380"/>
      <c r="E380"/>
      <c r="F380"/>
      <c r="G380"/>
      <c r="H380"/>
      <c r="I380"/>
      <c r="J380"/>
      <c r="K380"/>
    </row>
    <row r="381" spans="1:11" ht="12.75" x14ac:dyDescent="0.35">
      <c r="A381"/>
      <c r="B381"/>
      <c r="C381"/>
      <c r="D381"/>
      <c r="E381"/>
      <c r="F381"/>
      <c r="G381"/>
      <c r="H381"/>
      <c r="I381"/>
      <c r="J381"/>
      <c r="K381"/>
    </row>
    <row r="382" spans="1:11" ht="12.75" x14ac:dyDescent="0.35">
      <c r="A382"/>
      <c r="B382"/>
      <c r="C382"/>
      <c r="D382"/>
      <c r="E382"/>
      <c r="F382"/>
      <c r="G382"/>
      <c r="H382"/>
      <c r="I382"/>
      <c r="J382"/>
      <c r="K382"/>
    </row>
    <row r="383" spans="1:11" ht="12.75" x14ac:dyDescent="0.35">
      <c r="A383"/>
      <c r="B383"/>
      <c r="C383"/>
      <c r="D383"/>
      <c r="E383"/>
      <c r="F383"/>
      <c r="G383"/>
      <c r="H383"/>
      <c r="I383"/>
      <c r="J383"/>
      <c r="K383"/>
    </row>
    <row r="384" spans="1:11" ht="12.75" x14ac:dyDescent="0.35">
      <c r="A384"/>
      <c r="B384"/>
      <c r="C384"/>
      <c r="D384"/>
      <c r="E384"/>
      <c r="F384"/>
      <c r="G384"/>
      <c r="H384"/>
      <c r="I384"/>
      <c r="J384"/>
      <c r="K384"/>
    </row>
    <row r="385" spans="1:11" ht="12.75" x14ac:dyDescent="0.35">
      <c r="A385"/>
      <c r="B385"/>
      <c r="C385"/>
      <c r="D385"/>
      <c r="E385"/>
      <c r="F385"/>
      <c r="G385"/>
      <c r="H385"/>
      <c r="I385"/>
      <c r="J385"/>
      <c r="K385"/>
    </row>
    <row r="386" spans="1:11" ht="12.75" x14ac:dyDescent="0.35">
      <c r="A386"/>
      <c r="B386"/>
      <c r="C386"/>
      <c r="D386"/>
      <c r="E386"/>
      <c r="F386"/>
      <c r="G386"/>
      <c r="H386"/>
      <c r="I386"/>
      <c r="J386"/>
      <c r="K386"/>
    </row>
    <row r="387" spans="1:11" ht="12.75" x14ac:dyDescent="0.35">
      <c r="A387"/>
      <c r="B387"/>
      <c r="C387"/>
      <c r="D387"/>
      <c r="E387"/>
      <c r="F387"/>
      <c r="G387"/>
      <c r="H387"/>
      <c r="I387"/>
      <c r="J387"/>
      <c r="K387"/>
    </row>
    <row r="388" spans="1:11" ht="12.75" x14ac:dyDescent="0.35">
      <c r="A388"/>
      <c r="B388"/>
      <c r="C388"/>
      <c r="D388"/>
      <c r="E388"/>
      <c r="F388"/>
      <c r="G388"/>
      <c r="H388"/>
      <c r="I388"/>
      <c r="J388"/>
      <c r="K388"/>
    </row>
    <row r="389" spans="1:11" ht="12.75" x14ac:dyDescent="0.35">
      <c r="A389"/>
      <c r="B389"/>
      <c r="C389"/>
      <c r="D389"/>
      <c r="E389"/>
      <c r="F389"/>
      <c r="G389"/>
      <c r="H389"/>
      <c r="I389"/>
      <c r="J389"/>
      <c r="K389"/>
    </row>
    <row r="390" spans="1:11" ht="12.75" x14ac:dyDescent="0.35">
      <c r="A390"/>
      <c r="B390"/>
      <c r="C390"/>
      <c r="D390"/>
      <c r="E390"/>
      <c r="F390"/>
      <c r="G390"/>
      <c r="H390"/>
      <c r="I390"/>
      <c r="J390"/>
      <c r="K390"/>
    </row>
    <row r="391" spans="1:11" ht="12.75" x14ac:dyDescent="0.35">
      <c r="A391"/>
      <c r="B391"/>
      <c r="C391"/>
      <c r="D391"/>
      <c r="E391"/>
      <c r="F391"/>
      <c r="G391"/>
      <c r="H391"/>
      <c r="I391"/>
      <c r="J391"/>
      <c r="K391"/>
    </row>
    <row r="392" spans="1:11" ht="12.75" x14ac:dyDescent="0.35">
      <c r="A392"/>
      <c r="B392"/>
      <c r="C392"/>
      <c r="D392"/>
      <c r="E392"/>
      <c r="F392"/>
      <c r="G392"/>
      <c r="H392"/>
      <c r="I392"/>
      <c r="J392"/>
      <c r="K392"/>
    </row>
    <row r="393" spans="1:11" ht="12.75" x14ac:dyDescent="0.35">
      <c r="A393"/>
      <c r="B393"/>
      <c r="C393"/>
      <c r="D393"/>
      <c r="E393"/>
      <c r="F393"/>
      <c r="G393"/>
      <c r="H393"/>
      <c r="I393"/>
      <c r="J393"/>
      <c r="K393"/>
    </row>
    <row r="394" spans="1:11" ht="12.75" x14ac:dyDescent="0.35">
      <c r="A394"/>
      <c r="B394"/>
      <c r="C394"/>
      <c r="D394"/>
      <c r="E394"/>
      <c r="F394"/>
      <c r="G394"/>
      <c r="H394"/>
      <c r="I394"/>
      <c r="J394"/>
      <c r="K394"/>
    </row>
    <row r="395" spans="1:11" ht="12.75" x14ac:dyDescent="0.35">
      <c r="A395"/>
      <c r="B395"/>
      <c r="C395"/>
      <c r="D395"/>
      <c r="E395"/>
      <c r="F395"/>
      <c r="G395"/>
      <c r="H395"/>
      <c r="I395"/>
      <c r="J395"/>
      <c r="K395"/>
    </row>
    <row r="396" spans="1:11" ht="12.75" x14ac:dyDescent="0.35">
      <c r="A396"/>
      <c r="B396"/>
      <c r="C396"/>
      <c r="D396"/>
      <c r="E396"/>
      <c r="F396"/>
      <c r="G396"/>
      <c r="H396"/>
      <c r="I396"/>
      <c r="J396"/>
      <c r="K396"/>
    </row>
    <row r="397" spans="1:11" ht="12.75" x14ac:dyDescent="0.35">
      <c r="A397"/>
      <c r="B397"/>
      <c r="C397"/>
      <c r="D397"/>
      <c r="E397"/>
      <c r="F397"/>
      <c r="G397"/>
      <c r="H397"/>
      <c r="I397"/>
      <c r="J397"/>
      <c r="K397"/>
    </row>
    <row r="398" spans="1:11" ht="12.75" x14ac:dyDescent="0.35">
      <c r="A398"/>
      <c r="B398"/>
      <c r="C398"/>
      <c r="D398"/>
      <c r="E398"/>
      <c r="F398"/>
      <c r="G398"/>
      <c r="H398"/>
      <c r="I398"/>
      <c r="J398"/>
      <c r="K398"/>
    </row>
    <row r="399" spans="1:11" ht="12.75" x14ac:dyDescent="0.35">
      <c r="A399"/>
      <c r="B399"/>
      <c r="C399"/>
      <c r="D399"/>
      <c r="E399"/>
      <c r="F399"/>
      <c r="G399"/>
      <c r="H399"/>
      <c r="I399"/>
      <c r="J399"/>
      <c r="K399"/>
    </row>
    <row r="400" spans="1:11" ht="12.75" x14ac:dyDescent="0.35">
      <c r="A400"/>
      <c r="B400"/>
      <c r="C400"/>
      <c r="D400"/>
      <c r="E400"/>
      <c r="F400"/>
      <c r="G400"/>
      <c r="H400"/>
      <c r="I400"/>
      <c r="J400"/>
      <c r="K400"/>
    </row>
    <row r="401" spans="1:11" ht="12.75" x14ac:dyDescent="0.35">
      <c r="A401"/>
      <c r="B401"/>
      <c r="C401"/>
      <c r="D401"/>
      <c r="E401"/>
      <c r="F401"/>
      <c r="G401"/>
      <c r="H401"/>
      <c r="I401"/>
      <c r="J401"/>
      <c r="K401"/>
    </row>
    <row r="402" spans="1:11" ht="12.75" x14ac:dyDescent="0.35">
      <c r="A402"/>
      <c r="B402"/>
      <c r="C402"/>
      <c r="D402"/>
      <c r="E402"/>
      <c r="F402"/>
      <c r="G402"/>
      <c r="H402"/>
      <c r="I402"/>
      <c r="J402"/>
      <c r="K402"/>
    </row>
    <row r="403" spans="1:11" ht="12.75" x14ac:dyDescent="0.35">
      <c r="A403"/>
      <c r="B403"/>
      <c r="C403"/>
      <c r="D403"/>
      <c r="E403"/>
      <c r="F403"/>
      <c r="G403"/>
      <c r="H403"/>
      <c r="I403"/>
      <c r="J403"/>
      <c r="K403"/>
    </row>
    <row r="404" spans="1:11" ht="12.75" x14ac:dyDescent="0.35">
      <c r="A404"/>
      <c r="B404"/>
      <c r="C404"/>
      <c r="D404"/>
      <c r="E404"/>
      <c r="F404"/>
      <c r="G404"/>
      <c r="H404"/>
      <c r="I404"/>
      <c r="J404"/>
      <c r="K404"/>
    </row>
    <row r="405" spans="1:11" ht="12.75" x14ac:dyDescent="0.35">
      <c r="A405"/>
      <c r="B405"/>
      <c r="C405"/>
      <c r="D405"/>
      <c r="E405"/>
      <c r="F405"/>
      <c r="G405"/>
      <c r="H405"/>
      <c r="I405"/>
      <c r="J405"/>
      <c r="K405"/>
    </row>
    <row r="406" spans="1:11" ht="12.75" x14ac:dyDescent="0.35">
      <c r="A406"/>
      <c r="B406"/>
      <c r="C406"/>
      <c r="D406"/>
      <c r="E406"/>
      <c r="F406"/>
      <c r="G406"/>
      <c r="H406"/>
      <c r="I406"/>
      <c r="J406"/>
      <c r="K406"/>
    </row>
    <row r="407" spans="1:11" ht="12.75" x14ac:dyDescent="0.35">
      <c r="A407"/>
      <c r="B407"/>
      <c r="C407"/>
      <c r="D407"/>
      <c r="E407"/>
      <c r="F407"/>
      <c r="G407"/>
      <c r="H407"/>
      <c r="I407"/>
      <c r="J407"/>
      <c r="K407"/>
    </row>
    <row r="408" spans="1:11" ht="12.75" x14ac:dyDescent="0.35">
      <c r="A408"/>
      <c r="B408"/>
      <c r="C408"/>
      <c r="D408"/>
      <c r="E408"/>
      <c r="F408"/>
      <c r="G408"/>
      <c r="H408"/>
      <c r="I408"/>
      <c r="J408"/>
      <c r="K408"/>
    </row>
    <row r="409" spans="1:11" ht="12.75" x14ac:dyDescent="0.35">
      <c r="A409"/>
      <c r="B409"/>
      <c r="C409"/>
      <c r="D409"/>
      <c r="E409"/>
      <c r="F409"/>
      <c r="G409"/>
      <c r="H409"/>
      <c r="I409"/>
      <c r="J409"/>
      <c r="K409"/>
    </row>
    <row r="410" spans="1:11" ht="12.75" x14ac:dyDescent="0.35">
      <c r="A410"/>
      <c r="B410"/>
      <c r="C410"/>
      <c r="D410"/>
      <c r="E410"/>
      <c r="F410"/>
      <c r="G410"/>
      <c r="H410"/>
      <c r="I410"/>
      <c r="J410"/>
      <c r="K410"/>
    </row>
    <row r="411" spans="1:11" ht="12.75" x14ac:dyDescent="0.35">
      <c r="A411"/>
      <c r="B411"/>
      <c r="C411"/>
      <c r="D411"/>
      <c r="E411"/>
      <c r="F411"/>
      <c r="G411"/>
      <c r="H411"/>
      <c r="I411"/>
      <c r="J411"/>
      <c r="K411"/>
    </row>
    <row r="412" spans="1:11" ht="12.75" x14ac:dyDescent="0.35">
      <c r="A412"/>
      <c r="B412"/>
      <c r="C412"/>
      <c r="D412"/>
      <c r="E412"/>
      <c r="F412"/>
      <c r="G412"/>
      <c r="H412"/>
      <c r="I412"/>
      <c r="J412"/>
      <c r="K412"/>
    </row>
    <row r="413" spans="1:11" ht="12.75" x14ac:dyDescent="0.35">
      <c r="A413"/>
      <c r="B413"/>
      <c r="C413"/>
      <c r="D413"/>
      <c r="E413"/>
      <c r="F413"/>
      <c r="G413"/>
      <c r="H413"/>
      <c r="I413"/>
      <c r="J413"/>
      <c r="K413"/>
    </row>
    <row r="414" spans="1:11" ht="12.75" x14ac:dyDescent="0.35">
      <c r="A414"/>
      <c r="B414"/>
      <c r="C414"/>
      <c r="D414"/>
      <c r="E414"/>
      <c r="F414"/>
      <c r="G414"/>
      <c r="H414"/>
      <c r="I414"/>
      <c r="J414"/>
      <c r="K414"/>
    </row>
    <row r="415" spans="1:11" ht="12.75" x14ac:dyDescent="0.35">
      <c r="A415"/>
      <c r="B415"/>
      <c r="C415"/>
      <c r="D415"/>
      <c r="E415"/>
      <c r="F415"/>
      <c r="G415"/>
      <c r="H415"/>
      <c r="I415"/>
      <c r="J415"/>
      <c r="K415"/>
    </row>
    <row r="416" spans="1:11" ht="12.75" x14ac:dyDescent="0.35">
      <c r="A416"/>
      <c r="B416"/>
      <c r="C416"/>
      <c r="D416"/>
      <c r="E416"/>
      <c r="F416"/>
      <c r="G416"/>
      <c r="H416"/>
      <c r="I416"/>
      <c r="J416"/>
      <c r="K416"/>
    </row>
    <row r="417" spans="1:11" ht="12.75" x14ac:dyDescent="0.35">
      <c r="A417"/>
      <c r="B417"/>
      <c r="C417"/>
      <c r="D417"/>
      <c r="E417"/>
      <c r="F417"/>
      <c r="G417"/>
      <c r="H417"/>
      <c r="I417"/>
      <c r="J417"/>
      <c r="K417"/>
    </row>
    <row r="418" spans="1:11" ht="12.75" x14ac:dyDescent="0.35">
      <c r="A418"/>
      <c r="B418"/>
      <c r="C418"/>
      <c r="D418"/>
      <c r="E418"/>
      <c r="F418"/>
      <c r="G418"/>
      <c r="H418"/>
      <c r="I418"/>
      <c r="J418"/>
      <c r="K418"/>
    </row>
    <row r="419" spans="1:11" ht="12.75" x14ac:dyDescent="0.35">
      <c r="A419"/>
      <c r="B419"/>
      <c r="C419"/>
      <c r="D419"/>
      <c r="E419"/>
      <c r="F419"/>
      <c r="G419"/>
      <c r="H419"/>
      <c r="I419"/>
      <c r="J419"/>
      <c r="K419"/>
    </row>
    <row r="420" spans="1:11" ht="12.75" x14ac:dyDescent="0.35">
      <c r="A420"/>
      <c r="B420"/>
      <c r="C420"/>
      <c r="D420"/>
      <c r="E420"/>
      <c r="F420"/>
      <c r="G420"/>
      <c r="H420"/>
      <c r="I420"/>
      <c r="J420"/>
      <c r="K420"/>
    </row>
    <row r="421" spans="1:11" ht="12.75" x14ac:dyDescent="0.35">
      <c r="A421"/>
      <c r="B421"/>
      <c r="C421"/>
      <c r="D421"/>
      <c r="E421"/>
      <c r="F421"/>
      <c r="G421"/>
      <c r="H421"/>
      <c r="I421"/>
      <c r="J421"/>
      <c r="K421"/>
    </row>
    <row r="422" spans="1:11" ht="12.75" x14ac:dyDescent="0.35">
      <c r="A422"/>
      <c r="B422"/>
      <c r="C422"/>
      <c r="D422"/>
      <c r="E422"/>
      <c r="F422"/>
      <c r="G422"/>
      <c r="H422"/>
      <c r="I422"/>
      <c r="J422"/>
      <c r="K422"/>
    </row>
    <row r="423" spans="1:11" ht="12.75" x14ac:dyDescent="0.35">
      <c r="A423"/>
      <c r="B423"/>
      <c r="C423"/>
      <c r="D423"/>
      <c r="E423"/>
      <c r="F423"/>
      <c r="G423"/>
      <c r="H423"/>
      <c r="I423"/>
      <c r="J423"/>
      <c r="K423"/>
    </row>
    <row r="424" spans="1:11" ht="12.75" x14ac:dyDescent="0.35">
      <c r="A424"/>
      <c r="B424"/>
      <c r="C424"/>
      <c r="D424"/>
      <c r="E424"/>
      <c r="F424"/>
      <c r="G424"/>
      <c r="H424"/>
      <c r="I424"/>
      <c r="J424"/>
      <c r="K424"/>
    </row>
    <row r="425" spans="1:11" ht="12.75" x14ac:dyDescent="0.35">
      <c r="A425"/>
      <c r="B425"/>
      <c r="C425"/>
      <c r="D425"/>
      <c r="E425"/>
      <c r="F425"/>
      <c r="G425"/>
      <c r="H425"/>
      <c r="I425"/>
      <c r="J425"/>
      <c r="K425"/>
    </row>
    <row r="426" spans="1:11" ht="12.75" x14ac:dyDescent="0.35">
      <c r="A426"/>
      <c r="B426"/>
      <c r="C426"/>
      <c r="D426"/>
      <c r="E426"/>
      <c r="F426"/>
      <c r="G426"/>
      <c r="H426"/>
      <c r="I426"/>
      <c r="J426"/>
      <c r="K426"/>
    </row>
    <row r="427" spans="1:11" ht="12.75" x14ac:dyDescent="0.35">
      <c r="A427"/>
      <c r="B427"/>
      <c r="C427"/>
      <c r="D427"/>
      <c r="E427"/>
      <c r="F427"/>
      <c r="G427"/>
      <c r="H427"/>
      <c r="I427"/>
      <c r="J427"/>
      <c r="K427"/>
    </row>
    <row r="428" spans="1:11" ht="12.75" x14ac:dyDescent="0.35">
      <c r="A428"/>
      <c r="B428"/>
      <c r="C428"/>
      <c r="D428"/>
      <c r="E428"/>
      <c r="F428"/>
      <c r="G428"/>
      <c r="H428"/>
      <c r="I428"/>
      <c r="J428"/>
      <c r="K428"/>
    </row>
    <row r="429" spans="1:11" ht="12.75" x14ac:dyDescent="0.35">
      <c r="A429"/>
      <c r="B429"/>
      <c r="C429"/>
      <c r="D429"/>
      <c r="E429"/>
      <c r="F429"/>
      <c r="G429"/>
      <c r="H429"/>
      <c r="I429"/>
      <c r="J429"/>
      <c r="K429"/>
    </row>
    <row r="430" spans="1:11" ht="12.75" x14ac:dyDescent="0.35">
      <c r="A430"/>
      <c r="B430"/>
      <c r="C430"/>
      <c r="D430"/>
      <c r="E430"/>
      <c r="F430"/>
      <c r="G430"/>
      <c r="H430"/>
      <c r="I430"/>
      <c r="J430"/>
      <c r="K430"/>
    </row>
    <row r="431" spans="1:11" ht="12.75" x14ac:dyDescent="0.35">
      <c r="A431"/>
      <c r="B431"/>
      <c r="C431"/>
      <c r="D431"/>
      <c r="E431"/>
      <c r="F431"/>
      <c r="G431"/>
      <c r="H431"/>
      <c r="I431"/>
      <c r="J431"/>
      <c r="K431"/>
    </row>
    <row r="432" spans="1:11" ht="12.75" x14ac:dyDescent="0.35">
      <c r="A432"/>
      <c r="B432"/>
      <c r="C432"/>
      <c r="D432"/>
      <c r="E432"/>
      <c r="F432"/>
      <c r="G432"/>
      <c r="H432"/>
      <c r="I432"/>
      <c r="J432"/>
      <c r="K432"/>
    </row>
    <row r="433" spans="1:11" ht="12.75" x14ac:dyDescent="0.35">
      <c r="A433"/>
      <c r="B433"/>
      <c r="C433"/>
      <c r="D433"/>
      <c r="E433"/>
      <c r="F433"/>
      <c r="G433"/>
      <c r="H433"/>
      <c r="I433"/>
      <c r="J433"/>
      <c r="K433"/>
    </row>
    <row r="434" spans="1:11" ht="12.75" x14ac:dyDescent="0.35">
      <c r="A434"/>
      <c r="B434"/>
      <c r="C434"/>
      <c r="D434"/>
      <c r="E434"/>
      <c r="F434"/>
      <c r="G434"/>
      <c r="H434"/>
      <c r="I434"/>
      <c r="J434"/>
      <c r="K434"/>
    </row>
    <row r="435" spans="1:11" ht="12.75" x14ac:dyDescent="0.35">
      <c r="A435"/>
      <c r="B435"/>
      <c r="C435"/>
      <c r="D435"/>
      <c r="E435"/>
      <c r="F435"/>
      <c r="G435"/>
      <c r="H435"/>
      <c r="I435"/>
      <c r="J435"/>
      <c r="K435"/>
    </row>
    <row r="436" spans="1:11" ht="12.75" x14ac:dyDescent="0.35">
      <c r="A436"/>
      <c r="B436"/>
      <c r="C436"/>
      <c r="D436"/>
      <c r="E436"/>
      <c r="F436"/>
      <c r="G436"/>
      <c r="H436"/>
      <c r="I436"/>
      <c r="J436"/>
      <c r="K436"/>
    </row>
    <row r="437" spans="1:11" ht="12.75" x14ac:dyDescent="0.35">
      <c r="A437"/>
      <c r="B437"/>
      <c r="C437"/>
      <c r="D437"/>
      <c r="E437"/>
      <c r="F437"/>
      <c r="G437"/>
      <c r="H437"/>
      <c r="I437"/>
      <c r="J437"/>
      <c r="K437"/>
    </row>
    <row r="438" spans="1:11" ht="12.75" x14ac:dyDescent="0.35">
      <c r="A438"/>
      <c r="B438"/>
      <c r="C438"/>
      <c r="D438"/>
      <c r="E438"/>
      <c r="F438"/>
      <c r="G438"/>
      <c r="H438"/>
      <c r="I438"/>
      <c r="J438"/>
      <c r="K438"/>
    </row>
    <row r="439" spans="1:11" ht="12.75" x14ac:dyDescent="0.35">
      <c r="A439"/>
      <c r="B439"/>
      <c r="C439"/>
      <c r="D439"/>
      <c r="E439"/>
      <c r="F439"/>
      <c r="G439"/>
      <c r="H439"/>
      <c r="I439"/>
      <c r="J439"/>
      <c r="K439"/>
    </row>
    <row r="440" spans="1:11" ht="12.75" x14ac:dyDescent="0.35">
      <c r="A440"/>
      <c r="B440"/>
      <c r="C440"/>
      <c r="D440"/>
      <c r="E440"/>
      <c r="F440"/>
      <c r="G440"/>
      <c r="H440"/>
      <c r="I440"/>
      <c r="J440"/>
      <c r="K440"/>
    </row>
    <row r="441" spans="1:11" ht="12.75" x14ac:dyDescent="0.35">
      <c r="A441"/>
      <c r="B441"/>
      <c r="C441"/>
      <c r="D441"/>
      <c r="E441"/>
      <c r="F441"/>
      <c r="G441"/>
      <c r="H441"/>
      <c r="I441"/>
      <c r="J441"/>
      <c r="K441"/>
    </row>
    <row r="442" spans="1:11" ht="12.75" x14ac:dyDescent="0.35">
      <c r="A442"/>
      <c r="B442"/>
      <c r="C442"/>
      <c r="D442"/>
      <c r="E442"/>
      <c r="F442"/>
      <c r="G442"/>
      <c r="H442"/>
      <c r="I442"/>
      <c r="J442"/>
      <c r="K442"/>
    </row>
    <row r="443" spans="1:11" ht="12.75" x14ac:dyDescent="0.35">
      <c r="A443"/>
      <c r="B443"/>
      <c r="C443"/>
      <c r="D443"/>
      <c r="E443"/>
      <c r="F443"/>
      <c r="G443"/>
      <c r="H443"/>
      <c r="I443"/>
      <c r="J443"/>
      <c r="K443"/>
    </row>
    <row r="444" spans="1:11" ht="12.75" x14ac:dyDescent="0.35">
      <c r="A444"/>
      <c r="B444"/>
      <c r="C444"/>
      <c r="D444"/>
      <c r="E444"/>
      <c r="F444"/>
      <c r="G444"/>
      <c r="H444"/>
      <c r="I444"/>
      <c r="J444"/>
      <c r="K444"/>
    </row>
    <row r="445" spans="1:11" ht="12.75" x14ac:dyDescent="0.35">
      <c r="A445"/>
      <c r="B445"/>
      <c r="C445"/>
      <c r="D445"/>
      <c r="E445"/>
      <c r="F445"/>
      <c r="G445"/>
      <c r="H445"/>
      <c r="I445"/>
      <c r="J445"/>
      <c r="K445"/>
    </row>
    <row r="446" spans="1:11" ht="12.75" x14ac:dyDescent="0.35">
      <c r="A446"/>
      <c r="B446"/>
      <c r="C446"/>
      <c r="D446"/>
      <c r="E446"/>
      <c r="F446"/>
      <c r="G446"/>
      <c r="H446"/>
      <c r="I446"/>
      <c r="J446"/>
      <c r="K446"/>
    </row>
    <row r="447" spans="1:11" ht="12.75" x14ac:dyDescent="0.35">
      <c r="A447"/>
      <c r="B447"/>
      <c r="C447"/>
      <c r="D447"/>
      <c r="E447"/>
      <c r="F447"/>
      <c r="G447"/>
      <c r="H447"/>
      <c r="I447"/>
      <c r="J447"/>
      <c r="K447"/>
    </row>
    <row r="448" spans="1:11" ht="12.75" x14ac:dyDescent="0.35">
      <c r="A448"/>
      <c r="B448"/>
      <c r="C448"/>
      <c r="D448"/>
      <c r="E448"/>
      <c r="F448"/>
      <c r="G448"/>
      <c r="H448"/>
      <c r="I448"/>
      <c r="J448"/>
      <c r="K448"/>
    </row>
    <row r="449" spans="1:11" ht="12.75" x14ac:dyDescent="0.35">
      <c r="A449"/>
      <c r="B449"/>
      <c r="C449"/>
      <c r="D449"/>
      <c r="E449"/>
      <c r="F449"/>
      <c r="G449"/>
      <c r="H449"/>
      <c r="I449"/>
      <c r="J449"/>
      <c r="K449"/>
    </row>
    <row r="450" spans="1:11" ht="12.75" x14ac:dyDescent="0.35">
      <c r="A450"/>
      <c r="B450"/>
      <c r="C450"/>
      <c r="D450"/>
      <c r="E450"/>
      <c r="F450"/>
      <c r="G450"/>
      <c r="H450"/>
      <c r="I450"/>
      <c r="J450"/>
      <c r="K450"/>
    </row>
    <row r="451" spans="1:11" ht="12.75" x14ac:dyDescent="0.35">
      <c r="A451"/>
      <c r="B451"/>
      <c r="C451"/>
      <c r="D451"/>
      <c r="E451"/>
      <c r="F451"/>
      <c r="G451"/>
      <c r="H451"/>
      <c r="I451"/>
      <c r="J451"/>
      <c r="K451"/>
    </row>
    <row r="452" spans="1:11" ht="12.75" x14ac:dyDescent="0.35">
      <c r="A452"/>
      <c r="B452"/>
      <c r="C452"/>
      <c r="D452"/>
      <c r="E452"/>
      <c r="F452"/>
      <c r="G452"/>
      <c r="H452"/>
      <c r="I452"/>
      <c r="J452"/>
      <c r="K452"/>
    </row>
    <row r="453" spans="1:11" ht="12.75" x14ac:dyDescent="0.35">
      <c r="A453"/>
      <c r="B453"/>
      <c r="C453"/>
      <c r="D453"/>
      <c r="E453"/>
      <c r="F453"/>
      <c r="G453"/>
      <c r="H453"/>
      <c r="I453"/>
      <c r="J453"/>
      <c r="K453"/>
    </row>
    <row r="454" spans="1:11" ht="12.75" x14ac:dyDescent="0.35">
      <c r="A454"/>
      <c r="B454"/>
      <c r="C454"/>
      <c r="D454"/>
      <c r="E454"/>
      <c r="F454"/>
      <c r="G454"/>
      <c r="H454"/>
      <c r="I454"/>
      <c r="J454"/>
      <c r="K454"/>
    </row>
    <row r="455" spans="1:11" ht="12.75" x14ac:dyDescent="0.35">
      <c r="A455"/>
      <c r="B455"/>
      <c r="C455"/>
      <c r="D455"/>
      <c r="E455"/>
      <c r="F455"/>
      <c r="G455"/>
      <c r="H455"/>
      <c r="I455"/>
      <c r="J455"/>
      <c r="K455"/>
    </row>
    <row r="456" spans="1:11" ht="12.75" x14ac:dyDescent="0.35">
      <c r="A456"/>
      <c r="B456"/>
      <c r="C456"/>
      <c r="D456"/>
      <c r="E456"/>
      <c r="F456"/>
      <c r="G456"/>
      <c r="H456"/>
      <c r="I456"/>
      <c r="J456"/>
      <c r="K456"/>
    </row>
    <row r="457" spans="1:11" ht="12.75" x14ac:dyDescent="0.35">
      <c r="A457"/>
      <c r="B457"/>
      <c r="C457"/>
      <c r="D457"/>
      <c r="E457"/>
      <c r="F457"/>
      <c r="G457"/>
      <c r="H457"/>
      <c r="I457"/>
      <c r="J457"/>
      <c r="K457"/>
    </row>
    <row r="458" spans="1:11" ht="12.75" x14ac:dyDescent="0.35">
      <c r="A458"/>
      <c r="B458"/>
      <c r="C458"/>
      <c r="D458"/>
      <c r="E458"/>
      <c r="F458"/>
      <c r="G458"/>
      <c r="H458"/>
      <c r="I458"/>
      <c r="J458"/>
      <c r="K458"/>
    </row>
    <row r="459" spans="1:11" ht="12.75" x14ac:dyDescent="0.35">
      <c r="A459"/>
      <c r="B459"/>
      <c r="C459"/>
      <c r="D459"/>
      <c r="E459"/>
      <c r="F459"/>
      <c r="G459"/>
      <c r="H459"/>
      <c r="I459"/>
      <c r="J459"/>
      <c r="K459"/>
    </row>
    <row r="460" spans="1:11" ht="12.75" x14ac:dyDescent="0.35">
      <c r="A460"/>
      <c r="B460"/>
      <c r="C460"/>
      <c r="D460"/>
      <c r="E460"/>
      <c r="F460"/>
      <c r="G460"/>
      <c r="H460"/>
      <c r="I460"/>
      <c r="J460"/>
      <c r="K460"/>
    </row>
    <row r="461" spans="1:11" ht="12.75" x14ac:dyDescent="0.35">
      <c r="A461"/>
      <c r="B461"/>
      <c r="C461"/>
      <c r="D461"/>
      <c r="E461"/>
      <c r="F461"/>
      <c r="G461"/>
      <c r="H461"/>
      <c r="I461"/>
      <c r="J461"/>
      <c r="K461"/>
    </row>
    <row r="462" spans="1:11" ht="12.75" x14ac:dyDescent="0.35">
      <c r="A462"/>
      <c r="B462"/>
      <c r="C462"/>
      <c r="D462"/>
      <c r="E462"/>
      <c r="F462"/>
      <c r="G462"/>
      <c r="H462"/>
      <c r="I462"/>
      <c r="J462"/>
      <c r="K462"/>
    </row>
    <row r="463" spans="1:11" ht="12.75" x14ac:dyDescent="0.35">
      <c r="A463"/>
      <c r="B463"/>
      <c r="C463"/>
      <c r="D463"/>
      <c r="E463"/>
      <c r="F463"/>
      <c r="G463"/>
      <c r="H463"/>
      <c r="I463"/>
      <c r="J463"/>
      <c r="K463"/>
    </row>
    <row r="464" spans="1:11" ht="12.75" x14ac:dyDescent="0.35">
      <c r="A464"/>
      <c r="B464"/>
      <c r="C464"/>
      <c r="D464"/>
      <c r="E464"/>
      <c r="F464"/>
      <c r="G464"/>
      <c r="H464"/>
      <c r="I464"/>
      <c r="J464"/>
      <c r="K464"/>
    </row>
    <row r="465" spans="1:11" ht="12.75" x14ac:dyDescent="0.35">
      <c r="A465"/>
      <c r="B465"/>
      <c r="C465"/>
      <c r="D465"/>
      <c r="E465"/>
      <c r="F465"/>
      <c r="G465"/>
      <c r="H465"/>
      <c r="I465"/>
      <c r="J465"/>
      <c r="K465"/>
    </row>
    <row r="466" spans="1:11" ht="12.75" x14ac:dyDescent="0.35">
      <c r="A466"/>
      <c r="B466"/>
      <c r="C466"/>
      <c r="D466"/>
      <c r="E466"/>
      <c r="F466"/>
      <c r="G466"/>
      <c r="H466"/>
      <c r="I466"/>
      <c r="J466"/>
      <c r="K466"/>
    </row>
    <row r="467" spans="1:11" ht="12.75" x14ac:dyDescent="0.35">
      <c r="A467"/>
      <c r="B467"/>
      <c r="C467"/>
      <c r="D467"/>
      <c r="E467"/>
      <c r="F467"/>
      <c r="G467"/>
      <c r="H467"/>
      <c r="I467"/>
      <c r="J467"/>
      <c r="K467"/>
    </row>
    <row r="468" spans="1:11" ht="12.75" x14ac:dyDescent="0.35">
      <c r="A468"/>
      <c r="B468"/>
      <c r="C468"/>
      <c r="D468"/>
      <c r="E468"/>
      <c r="F468"/>
      <c r="G468"/>
      <c r="H468"/>
      <c r="I468"/>
      <c r="J468"/>
      <c r="K468"/>
    </row>
    <row r="469" spans="1:11" ht="12.75" x14ac:dyDescent="0.35">
      <c r="A469"/>
      <c r="B469"/>
      <c r="C469"/>
      <c r="D469"/>
      <c r="E469"/>
      <c r="F469"/>
      <c r="G469"/>
      <c r="H469"/>
      <c r="I469"/>
      <c r="J469"/>
      <c r="K469"/>
    </row>
    <row r="470" spans="1:11" ht="12.75" x14ac:dyDescent="0.35">
      <c r="A470"/>
      <c r="B470"/>
      <c r="C470"/>
      <c r="D470"/>
      <c r="E470"/>
      <c r="F470"/>
      <c r="G470"/>
      <c r="H470"/>
      <c r="I470"/>
      <c r="J470"/>
      <c r="K470"/>
    </row>
    <row r="471" spans="1:11" ht="12.75" x14ac:dyDescent="0.35">
      <c r="A471"/>
      <c r="B471"/>
      <c r="C471"/>
      <c r="D471"/>
      <c r="E471"/>
      <c r="F471"/>
      <c r="G471"/>
      <c r="H471"/>
      <c r="I471"/>
      <c r="J471"/>
      <c r="K471"/>
    </row>
    <row r="472" spans="1:11" ht="12.75" x14ac:dyDescent="0.35">
      <c r="A472"/>
      <c r="B472"/>
      <c r="C472"/>
      <c r="D472"/>
      <c r="E472"/>
      <c r="F472"/>
      <c r="G472"/>
      <c r="H472"/>
      <c r="I472"/>
      <c r="J472"/>
      <c r="K472"/>
    </row>
    <row r="473" spans="1:11" ht="12.75" x14ac:dyDescent="0.35">
      <c r="A473"/>
      <c r="B473"/>
      <c r="C473"/>
      <c r="D473"/>
      <c r="E473"/>
      <c r="F473"/>
      <c r="G473"/>
      <c r="H473"/>
      <c r="I473"/>
      <c r="J473"/>
      <c r="K473"/>
    </row>
    <row r="474" spans="1:11" ht="12.75" x14ac:dyDescent="0.35">
      <c r="A474"/>
      <c r="B474"/>
      <c r="C474"/>
      <c r="D474"/>
      <c r="E474"/>
      <c r="F474"/>
      <c r="G474"/>
      <c r="H474"/>
      <c r="I474"/>
      <c r="J474"/>
      <c r="K474"/>
    </row>
    <row r="475" spans="1:11" ht="12.75" x14ac:dyDescent="0.35">
      <c r="A475"/>
      <c r="B475"/>
      <c r="C475"/>
      <c r="D475"/>
      <c r="E475"/>
      <c r="F475"/>
      <c r="G475"/>
      <c r="H475"/>
      <c r="I475"/>
      <c r="J475"/>
      <c r="K475"/>
    </row>
    <row r="476" spans="1:11" ht="12.75" x14ac:dyDescent="0.35">
      <c r="A476"/>
      <c r="B476"/>
      <c r="C476"/>
      <c r="D476"/>
      <c r="E476"/>
      <c r="F476"/>
      <c r="G476"/>
      <c r="H476"/>
      <c r="I476"/>
      <c r="J476"/>
      <c r="K476"/>
    </row>
    <row r="477" spans="1:11" ht="12.75" x14ac:dyDescent="0.35">
      <c r="A477"/>
      <c r="B477"/>
      <c r="C477"/>
      <c r="D477"/>
      <c r="E477"/>
      <c r="F477"/>
      <c r="G477"/>
      <c r="H477"/>
      <c r="I477"/>
      <c r="J477"/>
      <c r="K477"/>
    </row>
    <row r="478" spans="1:11" ht="12.75" x14ac:dyDescent="0.35">
      <c r="A478"/>
      <c r="B478"/>
      <c r="C478"/>
      <c r="D478"/>
      <c r="E478"/>
      <c r="F478"/>
      <c r="G478"/>
      <c r="H478"/>
      <c r="I478"/>
      <c r="J478"/>
      <c r="K478"/>
    </row>
    <row r="479" spans="1:11" ht="12.75" x14ac:dyDescent="0.35">
      <c r="A479"/>
      <c r="B479"/>
      <c r="C479"/>
      <c r="D479"/>
      <c r="E479"/>
      <c r="F479"/>
      <c r="G479"/>
      <c r="H479"/>
      <c r="I479"/>
      <c r="J479"/>
      <c r="K479"/>
    </row>
    <row r="480" spans="1:11" ht="12.75" x14ac:dyDescent="0.35">
      <c r="A480"/>
      <c r="B480"/>
      <c r="C480"/>
      <c r="D480"/>
      <c r="E480"/>
      <c r="F480"/>
      <c r="G480"/>
      <c r="H480"/>
      <c r="I480"/>
      <c r="J480"/>
      <c r="K480"/>
    </row>
    <row r="481" spans="1:11" ht="12.75" x14ac:dyDescent="0.35">
      <c r="A481"/>
      <c r="B481"/>
      <c r="C481"/>
      <c r="D481"/>
      <c r="E481"/>
      <c r="F481"/>
      <c r="G481"/>
      <c r="H481"/>
      <c r="I481"/>
      <c r="J481"/>
      <c r="K481"/>
    </row>
    <row r="482" spans="1:11" ht="12.75" x14ac:dyDescent="0.35">
      <c r="A482"/>
      <c r="B482"/>
      <c r="C482"/>
      <c r="D482"/>
      <c r="E482"/>
      <c r="F482"/>
      <c r="G482"/>
      <c r="H482"/>
      <c r="I482"/>
      <c r="J482"/>
      <c r="K482"/>
    </row>
    <row r="483" spans="1:11" ht="12.75" x14ac:dyDescent="0.35">
      <c r="A483"/>
      <c r="B483"/>
      <c r="C483"/>
      <c r="D483"/>
      <c r="E483"/>
      <c r="F483"/>
      <c r="G483"/>
      <c r="H483"/>
      <c r="I483"/>
      <c r="J483"/>
      <c r="K483"/>
    </row>
    <row r="484" spans="1:11" ht="12.75" x14ac:dyDescent="0.35">
      <c r="A484"/>
      <c r="B484"/>
      <c r="C484"/>
      <c r="D484"/>
      <c r="E484"/>
      <c r="F484"/>
      <c r="G484"/>
      <c r="H484"/>
      <c r="I484"/>
      <c r="J484"/>
      <c r="K484"/>
    </row>
    <row r="485" spans="1:11" ht="12.75" x14ac:dyDescent="0.35">
      <c r="A485"/>
      <c r="B485"/>
      <c r="C485"/>
      <c r="D485"/>
      <c r="E485"/>
      <c r="F485"/>
      <c r="G485"/>
      <c r="H485"/>
      <c r="I485"/>
      <c r="J485"/>
      <c r="K485"/>
    </row>
    <row r="486" spans="1:11" ht="12.75" x14ac:dyDescent="0.35">
      <c r="A486"/>
      <c r="B486"/>
      <c r="C486"/>
      <c r="D486"/>
      <c r="E486"/>
      <c r="F486"/>
      <c r="G486"/>
      <c r="H486"/>
      <c r="I486"/>
      <c r="J486"/>
      <c r="K486"/>
    </row>
    <row r="487" spans="1:11" ht="12.75" x14ac:dyDescent="0.35">
      <c r="A487"/>
      <c r="B487"/>
      <c r="C487"/>
      <c r="D487"/>
      <c r="E487"/>
      <c r="F487"/>
      <c r="G487"/>
      <c r="H487"/>
      <c r="I487"/>
      <c r="J487"/>
      <c r="K487"/>
    </row>
    <row r="488" spans="1:11" ht="12.75" x14ac:dyDescent="0.35">
      <c r="A488"/>
      <c r="B488"/>
      <c r="C488"/>
      <c r="D488"/>
      <c r="E488"/>
      <c r="F488"/>
      <c r="G488"/>
      <c r="H488"/>
      <c r="I488"/>
      <c r="J488"/>
      <c r="K488"/>
    </row>
    <row r="489" spans="1:11" ht="12.75" x14ac:dyDescent="0.35">
      <c r="A489"/>
      <c r="B489"/>
      <c r="C489"/>
      <c r="D489"/>
      <c r="E489"/>
      <c r="F489"/>
      <c r="G489"/>
      <c r="H489"/>
      <c r="I489"/>
      <c r="J489"/>
      <c r="K489"/>
    </row>
    <row r="490" spans="1:11" ht="12.75" x14ac:dyDescent="0.35">
      <c r="A490"/>
      <c r="B490"/>
      <c r="C490"/>
      <c r="D490"/>
      <c r="E490"/>
      <c r="F490"/>
      <c r="G490"/>
      <c r="H490"/>
      <c r="I490"/>
      <c r="J490"/>
      <c r="K490"/>
    </row>
    <row r="491" spans="1:11" ht="12.75" x14ac:dyDescent="0.35">
      <c r="A491"/>
      <c r="B491"/>
      <c r="C491"/>
      <c r="D491"/>
      <c r="E491"/>
      <c r="F491"/>
      <c r="G491"/>
      <c r="H491"/>
      <c r="I491"/>
      <c r="J491"/>
      <c r="K491"/>
    </row>
    <row r="492" spans="1:11" ht="12.75" x14ac:dyDescent="0.35">
      <c r="A492"/>
      <c r="B492"/>
      <c r="C492"/>
      <c r="D492"/>
      <c r="E492"/>
      <c r="F492"/>
      <c r="G492"/>
      <c r="H492"/>
      <c r="I492"/>
      <c r="J492"/>
      <c r="K492"/>
    </row>
    <row r="493" spans="1:11" ht="12.75" x14ac:dyDescent="0.35">
      <c r="A493"/>
      <c r="B493"/>
      <c r="C493"/>
      <c r="D493"/>
      <c r="E493"/>
      <c r="F493"/>
      <c r="G493"/>
      <c r="H493"/>
      <c r="I493"/>
      <c r="J493"/>
      <c r="K493"/>
    </row>
    <row r="494" spans="1:11" ht="12.75" x14ac:dyDescent="0.35">
      <c r="A494"/>
      <c r="B494"/>
      <c r="C494"/>
      <c r="D494"/>
      <c r="E494"/>
      <c r="F494"/>
      <c r="G494"/>
      <c r="H494"/>
      <c r="I494"/>
      <c r="J494"/>
      <c r="K494"/>
    </row>
    <row r="495" spans="1:11" ht="12.75" x14ac:dyDescent="0.35">
      <c r="A495"/>
      <c r="B495"/>
      <c r="C495"/>
      <c r="D495"/>
      <c r="E495"/>
      <c r="F495"/>
      <c r="G495"/>
      <c r="H495"/>
      <c r="I495"/>
      <c r="J495"/>
      <c r="K495"/>
    </row>
    <row r="496" spans="1:11" ht="12.75" x14ac:dyDescent="0.35">
      <c r="A496"/>
      <c r="B496"/>
      <c r="C496"/>
      <c r="D496"/>
      <c r="E496"/>
      <c r="F496"/>
      <c r="G496"/>
      <c r="H496"/>
      <c r="I496"/>
      <c r="J496"/>
      <c r="K496"/>
    </row>
    <row r="497" spans="1:11" ht="12.75" x14ac:dyDescent="0.35">
      <c r="A497"/>
      <c r="B497"/>
      <c r="C497"/>
      <c r="D497"/>
      <c r="E497"/>
      <c r="F497"/>
      <c r="G497"/>
      <c r="H497"/>
      <c r="I497"/>
      <c r="J497"/>
      <c r="K497"/>
    </row>
    <row r="498" spans="1:11" ht="12.75" x14ac:dyDescent="0.35">
      <c r="A498"/>
      <c r="B498"/>
      <c r="C498"/>
      <c r="D498"/>
      <c r="E498"/>
      <c r="F498"/>
      <c r="G498"/>
      <c r="H498"/>
      <c r="I498"/>
      <c r="J498"/>
      <c r="K498"/>
    </row>
    <row r="499" spans="1:11" ht="12.75" x14ac:dyDescent="0.35">
      <c r="A499"/>
      <c r="B499"/>
      <c r="C499"/>
      <c r="D499"/>
      <c r="E499"/>
      <c r="F499"/>
      <c r="G499"/>
      <c r="H499"/>
      <c r="I499"/>
      <c r="J499"/>
      <c r="K499"/>
    </row>
    <row r="500" spans="1:11" ht="12.75" x14ac:dyDescent="0.35">
      <c r="A500"/>
      <c r="B500"/>
      <c r="C500"/>
      <c r="D500"/>
      <c r="E500"/>
      <c r="F500"/>
      <c r="G500"/>
      <c r="H500"/>
      <c r="I500"/>
      <c r="J500"/>
      <c r="K500"/>
    </row>
    <row r="501" spans="1:11" ht="12.75" x14ac:dyDescent="0.35">
      <c r="A501"/>
      <c r="B501"/>
      <c r="C501"/>
      <c r="D501"/>
      <c r="E501"/>
      <c r="F501"/>
      <c r="G501"/>
      <c r="H501"/>
      <c r="I501"/>
      <c r="J501"/>
      <c r="K501"/>
    </row>
    <row r="502" spans="1:11" ht="12.75" x14ac:dyDescent="0.35">
      <c r="A502"/>
      <c r="B502"/>
      <c r="C502"/>
      <c r="D502"/>
      <c r="E502"/>
      <c r="F502"/>
      <c r="G502"/>
      <c r="H502"/>
      <c r="I502"/>
      <c r="J502"/>
      <c r="K502"/>
    </row>
    <row r="503" spans="1:11" ht="12.75" x14ac:dyDescent="0.35">
      <c r="A503"/>
      <c r="B503"/>
      <c r="C503"/>
      <c r="D503"/>
      <c r="E503"/>
      <c r="F503"/>
      <c r="G503"/>
      <c r="H503"/>
      <c r="I503"/>
      <c r="J503"/>
      <c r="K503"/>
    </row>
    <row r="504" spans="1:11" ht="12.75" x14ac:dyDescent="0.35">
      <c r="A504"/>
      <c r="B504"/>
      <c r="C504"/>
      <c r="D504"/>
      <c r="E504"/>
      <c r="F504"/>
      <c r="G504"/>
      <c r="H504"/>
      <c r="I504"/>
      <c r="J504"/>
      <c r="K504"/>
    </row>
    <row r="505" spans="1:11" ht="12.75" x14ac:dyDescent="0.35">
      <c r="A505"/>
      <c r="B505"/>
      <c r="C505"/>
      <c r="D505"/>
      <c r="E505"/>
      <c r="F505"/>
      <c r="G505"/>
      <c r="H505"/>
      <c r="I505"/>
      <c r="J505"/>
      <c r="K505"/>
    </row>
    <row r="506" spans="1:11" ht="12.75" x14ac:dyDescent="0.35">
      <c r="A506"/>
      <c r="B506"/>
      <c r="C506"/>
      <c r="D506"/>
      <c r="E506"/>
      <c r="F506"/>
      <c r="G506"/>
      <c r="H506"/>
      <c r="I506"/>
      <c r="J506"/>
      <c r="K506"/>
    </row>
    <row r="507" spans="1:11" ht="12.75" x14ac:dyDescent="0.35">
      <c r="A507"/>
      <c r="B507"/>
      <c r="C507"/>
      <c r="D507"/>
      <c r="E507"/>
      <c r="F507"/>
      <c r="G507"/>
      <c r="H507"/>
      <c r="I507"/>
      <c r="J507"/>
      <c r="K507"/>
    </row>
    <row r="508" spans="1:11" ht="12.75" x14ac:dyDescent="0.35">
      <c r="A508"/>
      <c r="B508"/>
      <c r="C508"/>
      <c r="D508"/>
      <c r="E508"/>
      <c r="F508"/>
      <c r="G508"/>
      <c r="H508"/>
      <c r="I508"/>
      <c r="J508"/>
      <c r="K508"/>
    </row>
    <row r="509" spans="1:11" ht="12.75" x14ac:dyDescent="0.35">
      <c r="A509"/>
      <c r="B509"/>
      <c r="C509"/>
      <c r="D509"/>
      <c r="E509"/>
      <c r="F509"/>
      <c r="G509"/>
      <c r="H509"/>
      <c r="I509"/>
      <c r="J509"/>
      <c r="K509"/>
    </row>
    <row r="510" spans="1:11" ht="12.75" x14ac:dyDescent="0.35">
      <c r="A510"/>
      <c r="B510"/>
      <c r="C510"/>
      <c r="D510"/>
      <c r="E510"/>
      <c r="F510"/>
      <c r="G510"/>
      <c r="H510"/>
      <c r="I510"/>
      <c r="J510"/>
      <c r="K510"/>
    </row>
    <row r="511" spans="1:11" ht="12.75" x14ac:dyDescent="0.35">
      <c r="A511"/>
      <c r="B511"/>
      <c r="C511"/>
      <c r="D511"/>
      <c r="E511"/>
      <c r="F511"/>
      <c r="G511"/>
      <c r="H511"/>
      <c r="I511"/>
      <c r="J511"/>
      <c r="K511"/>
    </row>
    <row r="512" spans="1:11" ht="12.75" x14ac:dyDescent="0.35">
      <c r="A512"/>
      <c r="B512"/>
      <c r="C512"/>
      <c r="D512"/>
      <c r="E512"/>
      <c r="F512"/>
      <c r="G512"/>
      <c r="H512"/>
      <c r="I512"/>
      <c r="J512"/>
      <c r="K512"/>
    </row>
    <row r="513" spans="1:11" ht="12.75" x14ac:dyDescent="0.35">
      <c r="A513"/>
      <c r="B513"/>
      <c r="C513"/>
      <c r="D513"/>
      <c r="E513"/>
      <c r="F513"/>
      <c r="G513"/>
      <c r="H513"/>
      <c r="I513"/>
      <c r="J513"/>
      <c r="K513"/>
    </row>
    <row r="514" spans="1:11" ht="12.75" x14ac:dyDescent="0.35">
      <c r="A514"/>
      <c r="B514"/>
      <c r="C514"/>
      <c r="D514"/>
      <c r="E514"/>
      <c r="F514"/>
      <c r="G514"/>
      <c r="H514"/>
      <c r="I514"/>
      <c r="J514"/>
      <c r="K514"/>
    </row>
    <row r="515" spans="1:11" ht="12.75" x14ac:dyDescent="0.35">
      <c r="A515"/>
      <c r="B515"/>
      <c r="C515"/>
      <c r="D515"/>
      <c r="E515"/>
      <c r="F515"/>
      <c r="G515"/>
      <c r="H515"/>
      <c r="I515"/>
      <c r="J515"/>
      <c r="K515"/>
    </row>
    <row r="516" spans="1:11" ht="12.75" x14ac:dyDescent="0.35">
      <c r="A516"/>
      <c r="B516"/>
      <c r="C516"/>
      <c r="D516"/>
      <c r="E516"/>
      <c r="F516"/>
      <c r="G516"/>
      <c r="H516"/>
      <c r="I516"/>
      <c r="J516"/>
      <c r="K516"/>
    </row>
    <row r="517" spans="1:11" ht="12.75" x14ac:dyDescent="0.35">
      <c r="A517"/>
      <c r="B517"/>
      <c r="C517"/>
      <c r="D517"/>
      <c r="E517"/>
      <c r="F517"/>
      <c r="G517"/>
      <c r="H517"/>
      <c r="I517"/>
      <c r="J517"/>
      <c r="K517"/>
    </row>
    <row r="518" spans="1:11" ht="12.75" x14ac:dyDescent="0.35">
      <c r="A518"/>
      <c r="B518"/>
      <c r="C518"/>
      <c r="D518"/>
      <c r="E518"/>
      <c r="F518"/>
      <c r="G518"/>
      <c r="H518"/>
      <c r="I518"/>
      <c r="J518"/>
      <c r="K518"/>
    </row>
    <row r="519" spans="1:11" ht="12.75" x14ac:dyDescent="0.35">
      <c r="A519"/>
      <c r="B519"/>
      <c r="C519"/>
      <c r="D519"/>
      <c r="E519"/>
      <c r="F519"/>
      <c r="G519"/>
      <c r="H519"/>
      <c r="I519"/>
      <c r="J519"/>
      <c r="K519"/>
    </row>
    <row r="520" spans="1:11" ht="12.75" x14ac:dyDescent="0.35">
      <c r="A520"/>
      <c r="B520"/>
      <c r="C520"/>
      <c r="D520"/>
      <c r="E520"/>
      <c r="F520"/>
      <c r="G520"/>
      <c r="H520"/>
      <c r="I520"/>
      <c r="J520"/>
      <c r="K520"/>
    </row>
    <row r="521" spans="1:11" ht="12.75" x14ac:dyDescent="0.35">
      <c r="A521"/>
      <c r="B521"/>
      <c r="C521"/>
      <c r="D521"/>
      <c r="E521"/>
      <c r="F521"/>
      <c r="G521"/>
      <c r="H521"/>
      <c r="I521"/>
      <c r="J521"/>
      <c r="K521"/>
    </row>
    <row r="522" spans="1:11" ht="12.75" x14ac:dyDescent="0.35">
      <c r="A522"/>
      <c r="B522"/>
      <c r="C522"/>
      <c r="D522"/>
      <c r="E522"/>
      <c r="F522"/>
      <c r="G522"/>
      <c r="H522"/>
      <c r="I522"/>
      <c r="J522"/>
      <c r="K522"/>
    </row>
    <row r="523" spans="1:11" ht="12.75" x14ac:dyDescent="0.35">
      <c r="A523"/>
      <c r="B523"/>
      <c r="C523"/>
      <c r="D523"/>
      <c r="E523"/>
      <c r="F523"/>
      <c r="G523"/>
      <c r="H523"/>
      <c r="I523"/>
      <c r="J523"/>
      <c r="K523"/>
    </row>
    <row r="524" spans="1:11" ht="12.75" x14ac:dyDescent="0.35">
      <c r="A524"/>
      <c r="B524"/>
      <c r="C524"/>
      <c r="D524"/>
      <c r="E524"/>
      <c r="F524"/>
      <c r="G524"/>
      <c r="H524"/>
      <c r="I524"/>
      <c r="J524"/>
      <c r="K524"/>
    </row>
    <row r="525" spans="1:11" ht="12.75" x14ac:dyDescent="0.35">
      <c r="A525"/>
      <c r="B525"/>
      <c r="C525"/>
      <c r="D525"/>
      <c r="E525"/>
      <c r="F525"/>
      <c r="G525"/>
      <c r="H525"/>
      <c r="I525"/>
      <c r="J525"/>
      <c r="K525"/>
    </row>
    <row r="526" spans="1:11" ht="12.75" x14ac:dyDescent="0.35">
      <c r="A526"/>
      <c r="B526"/>
      <c r="C526"/>
      <c r="D526"/>
      <c r="E526"/>
      <c r="F526"/>
      <c r="G526"/>
      <c r="H526"/>
      <c r="I526"/>
      <c r="J526"/>
      <c r="K526"/>
    </row>
    <row r="527" spans="1:11" ht="12.75" x14ac:dyDescent="0.35">
      <c r="A527"/>
      <c r="B527"/>
      <c r="C527"/>
      <c r="D527"/>
      <c r="E527"/>
      <c r="F527"/>
      <c r="G527"/>
      <c r="H527"/>
      <c r="I527"/>
      <c r="J527"/>
      <c r="K527"/>
    </row>
    <row r="528" spans="1:11" ht="12.75" x14ac:dyDescent="0.35">
      <c r="A528"/>
      <c r="B528"/>
      <c r="C528"/>
      <c r="D528"/>
      <c r="E528"/>
      <c r="F528"/>
      <c r="G528"/>
      <c r="H528"/>
      <c r="I528"/>
      <c r="J528"/>
      <c r="K528"/>
    </row>
    <row r="529" spans="1:11" ht="12.75" x14ac:dyDescent="0.35">
      <c r="A529"/>
      <c r="B529"/>
      <c r="C529"/>
      <c r="D529"/>
      <c r="E529"/>
      <c r="F529"/>
      <c r="G529"/>
      <c r="H529"/>
      <c r="I529"/>
      <c r="J529"/>
      <c r="K529"/>
    </row>
    <row r="530" spans="1:11" ht="12.75" x14ac:dyDescent="0.35">
      <c r="A530"/>
      <c r="B530"/>
      <c r="C530"/>
      <c r="D530"/>
      <c r="E530"/>
      <c r="F530"/>
      <c r="G530"/>
      <c r="H530"/>
      <c r="I530"/>
      <c r="J530"/>
      <c r="K530"/>
    </row>
    <row r="531" spans="1:11" ht="12.75" x14ac:dyDescent="0.35">
      <c r="A531"/>
      <c r="B531"/>
      <c r="C531"/>
      <c r="D531"/>
      <c r="E531"/>
      <c r="F531"/>
      <c r="G531"/>
      <c r="H531"/>
      <c r="I531"/>
      <c r="J531"/>
      <c r="K531"/>
    </row>
    <row r="532" spans="1:11" ht="12.75" x14ac:dyDescent="0.35">
      <c r="A532"/>
      <c r="B532"/>
      <c r="C532"/>
      <c r="D532"/>
      <c r="E532"/>
      <c r="F532"/>
      <c r="G532"/>
      <c r="H532"/>
      <c r="I532"/>
      <c r="J532"/>
      <c r="K532"/>
    </row>
    <row r="533" spans="1:11" ht="12.75" x14ac:dyDescent="0.35">
      <c r="A533"/>
      <c r="B533"/>
      <c r="C533"/>
      <c r="D533"/>
      <c r="E533"/>
      <c r="F533"/>
      <c r="G533"/>
      <c r="H533"/>
      <c r="I533"/>
      <c r="J533"/>
      <c r="K533"/>
    </row>
    <row r="534" spans="1:11" ht="12.75" x14ac:dyDescent="0.35">
      <c r="A534"/>
      <c r="B534"/>
      <c r="C534"/>
      <c r="D534"/>
      <c r="E534"/>
      <c r="F534"/>
      <c r="G534"/>
      <c r="H534"/>
      <c r="I534"/>
      <c r="J534"/>
      <c r="K534"/>
    </row>
    <row r="535" spans="1:11" ht="12.75" x14ac:dyDescent="0.35">
      <c r="A535"/>
      <c r="B535"/>
      <c r="C535"/>
      <c r="D535"/>
      <c r="E535"/>
      <c r="F535"/>
      <c r="G535"/>
      <c r="H535"/>
      <c r="I535"/>
      <c r="J535"/>
      <c r="K535"/>
    </row>
    <row r="536" spans="1:11" ht="12.75" x14ac:dyDescent="0.35">
      <c r="A536"/>
      <c r="B536"/>
      <c r="C536"/>
      <c r="D536"/>
      <c r="E536"/>
      <c r="F536"/>
      <c r="G536"/>
      <c r="H536"/>
      <c r="I536"/>
      <c r="J536"/>
      <c r="K536"/>
    </row>
    <row r="537" spans="1:11" ht="12.75" x14ac:dyDescent="0.35">
      <c r="A537"/>
      <c r="B537"/>
      <c r="C537"/>
      <c r="D537"/>
      <c r="E537"/>
      <c r="F537"/>
      <c r="G537"/>
      <c r="H537"/>
      <c r="I537"/>
      <c r="J537"/>
      <c r="K537"/>
    </row>
    <row r="538" spans="1:11" ht="12.75" x14ac:dyDescent="0.35">
      <c r="A538"/>
      <c r="B538"/>
      <c r="C538"/>
      <c r="D538"/>
      <c r="E538"/>
      <c r="F538"/>
      <c r="G538"/>
      <c r="H538"/>
      <c r="I538"/>
      <c r="J538"/>
      <c r="K538"/>
    </row>
    <row r="539" spans="1:11" ht="12.75" x14ac:dyDescent="0.35">
      <c r="A539"/>
      <c r="B539"/>
      <c r="C539"/>
      <c r="D539"/>
      <c r="E539"/>
      <c r="F539"/>
      <c r="G539"/>
      <c r="H539"/>
      <c r="I539"/>
      <c r="J539"/>
      <c r="K539"/>
    </row>
    <row r="540" spans="1:11" ht="12.75" x14ac:dyDescent="0.35">
      <c r="A540"/>
      <c r="B540"/>
      <c r="C540"/>
      <c r="D540"/>
      <c r="E540"/>
      <c r="F540"/>
      <c r="G540"/>
      <c r="H540"/>
      <c r="I540"/>
      <c r="J540"/>
      <c r="K540"/>
    </row>
    <row r="541" spans="1:11" ht="12.75" x14ac:dyDescent="0.35">
      <c r="A541"/>
      <c r="B541"/>
      <c r="C541"/>
      <c r="D541"/>
      <c r="E541"/>
      <c r="F541"/>
      <c r="G541"/>
      <c r="H541"/>
      <c r="I541"/>
      <c r="J541"/>
      <c r="K541"/>
    </row>
    <row r="542" spans="1:11" ht="12.75" x14ac:dyDescent="0.35">
      <c r="A542"/>
      <c r="B542"/>
      <c r="C542"/>
      <c r="D542"/>
      <c r="E542"/>
      <c r="F542"/>
      <c r="G542"/>
      <c r="H542"/>
      <c r="I542"/>
      <c r="J542"/>
      <c r="K542"/>
    </row>
    <row r="543" spans="1:11" ht="12.75" x14ac:dyDescent="0.35">
      <c r="A543"/>
      <c r="B543"/>
      <c r="C543"/>
      <c r="D543"/>
      <c r="E543"/>
      <c r="F543"/>
      <c r="G543"/>
      <c r="H543"/>
      <c r="I543"/>
      <c r="J543"/>
      <c r="K543"/>
    </row>
    <row r="544" spans="1:11" ht="12.75" x14ac:dyDescent="0.35">
      <c r="A544"/>
      <c r="B544"/>
      <c r="C544"/>
      <c r="D544"/>
      <c r="E544"/>
      <c r="F544"/>
      <c r="G544"/>
      <c r="H544"/>
      <c r="I544"/>
      <c r="J544"/>
      <c r="K544"/>
    </row>
    <row r="545" spans="1:11" ht="12.75" x14ac:dyDescent="0.35">
      <c r="A545"/>
      <c r="B545"/>
      <c r="C545"/>
      <c r="D545"/>
      <c r="E545"/>
      <c r="F545"/>
      <c r="G545"/>
      <c r="H545"/>
      <c r="I545"/>
      <c r="J545"/>
      <c r="K545"/>
    </row>
    <row r="546" spans="1:11" ht="12.75" x14ac:dyDescent="0.35">
      <c r="A546"/>
      <c r="B546"/>
      <c r="C546"/>
      <c r="D546"/>
      <c r="E546"/>
      <c r="F546"/>
      <c r="G546"/>
      <c r="H546"/>
      <c r="I546"/>
      <c r="J546"/>
      <c r="K546"/>
    </row>
    <row r="547" spans="1:11" ht="12.75" x14ac:dyDescent="0.35">
      <c r="A547"/>
      <c r="B547"/>
      <c r="C547"/>
      <c r="D547"/>
      <c r="E547"/>
      <c r="F547"/>
      <c r="G547"/>
      <c r="H547"/>
      <c r="I547"/>
      <c r="J547"/>
      <c r="K547"/>
    </row>
    <row r="548" spans="1:11" ht="12.75" x14ac:dyDescent="0.35">
      <c r="A548"/>
      <c r="B548"/>
      <c r="C548"/>
      <c r="D548"/>
      <c r="E548"/>
      <c r="F548"/>
      <c r="G548"/>
      <c r="H548"/>
      <c r="I548"/>
      <c r="J548"/>
      <c r="K548"/>
    </row>
    <row r="549" spans="1:11" ht="12.75" x14ac:dyDescent="0.35">
      <c r="A549"/>
      <c r="B549"/>
      <c r="C549"/>
      <c r="D549"/>
      <c r="E549"/>
      <c r="F549"/>
      <c r="G549"/>
      <c r="H549"/>
      <c r="I549"/>
      <c r="J549"/>
      <c r="K549"/>
    </row>
    <row r="550" spans="1:11" ht="12.75" x14ac:dyDescent="0.35">
      <c r="A550"/>
      <c r="B550"/>
      <c r="C550"/>
      <c r="D550"/>
      <c r="E550"/>
      <c r="F550"/>
      <c r="G550"/>
      <c r="H550"/>
      <c r="I550"/>
      <c r="J550"/>
      <c r="K550"/>
    </row>
    <row r="551" spans="1:11" ht="12.75" x14ac:dyDescent="0.35">
      <c r="A551"/>
      <c r="B551"/>
      <c r="C551"/>
      <c r="D551"/>
      <c r="E551"/>
      <c r="F551"/>
      <c r="G551"/>
      <c r="H551"/>
      <c r="I551"/>
      <c r="J551"/>
      <c r="K551"/>
    </row>
    <row r="552" spans="1:11" ht="12.75" x14ac:dyDescent="0.35">
      <c r="A552"/>
      <c r="B552"/>
      <c r="C552"/>
      <c r="D552"/>
      <c r="E552"/>
      <c r="F552"/>
      <c r="G552"/>
      <c r="H552"/>
      <c r="I552"/>
      <c r="J552"/>
      <c r="K552"/>
    </row>
    <row r="553" spans="1:11" ht="12.75" x14ac:dyDescent="0.35">
      <c r="A553"/>
      <c r="B553"/>
      <c r="C553"/>
      <c r="D553"/>
      <c r="E553"/>
      <c r="F553"/>
      <c r="G553"/>
      <c r="H553"/>
      <c r="I553"/>
      <c r="J553"/>
      <c r="K553"/>
    </row>
    <row r="554" spans="1:11" ht="12.75" x14ac:dyDescent="0.35">
      <c r="A554"/>
      <c r="B554"/>
      <c r="C554"/>
      <c r="D554"/>
      <c r="E554"/>
      <c r="F554"/>
      <c r="G554"/>
      <c r="H554"/>
      <c r="I554"/>
      <c r="J554"/>
      <c r="K554"/>
    </row>
    <row r="555" spans="1:11" ht="12.75" x14ac:dyDescent="0.35">
      <c r="A555"/>
      <c r="B555"/>
      <c r="C555"/>
      <c r="D555"/>
      <c r="E555"/>
      <c r="F555"/>
      <c r="G555"/>
      <c r="H555"/>
      <c r="I555"/>
      <c r="J555"/>
      <c r="K555"/>
    </row>
    <row r="556" spans="1:11" ht="12.75" x14ac:dyDescent="0.35">
      <c r="A556"/>
      <c r="B556"/>
      <c r="C556"/>
      <c r="D556"/>
      <c r="E556"/>
      <c r="F556"/>
      <c r="G556"/>
      <c r="H556"/>
      <c r="I556"/>
      <c r="J556"/>
      <c r="K556"/>
    </row>
    <row r="557" spans="1:11" ht="12.75" x14ac:dyDescent="0.35">
      <c r="A557"/>
      <c r="B557"/>
      <c r="C557"/>
      <c r="D557"/>
      <c r="E557"/>
      <c r="F557"/>
      <c r="G557"/>
      <c r="H557"/>
      <c r="I557"/>
      <c r="J557"/>
      <c r="K557"/>
    </row>
    <row r="558" spans="1:11" ht="12.75" x14ac:dyDescent="0.35">
      <c r="A558"/>
      <c r="B558"/>
      <c r="C558"/>
      <c r="D558"/>
      <c r="E558"/>
      <c r="F558"/>
      <c r="G558"/>
      <c r="H558"/>
      <c r="I558"/>
      <c r="J558"/>
      <c r="K558"/>
    </row>
    <row r="559" spans="1:11" ht="12.75" x14ac:dyDescent="0.35">
      <c r="A559"/>
      <c r="B559"/>
      <c r="C559"/>
      <c r="D559"/>
      <c r="E559"/>
      <c r="F559"/>
      <c r="G559"/>
      <c r="H559"/>
      <c r="I559"/>
      <c r="J559"/>
      <c r="K559"/>
    </row>
    <row r="560" spans="1:11" ht="12.75" x14ac:dyDescent="0.35">
      <c r="A560"/>
      <c r="B560"/>
      <c r="C560"/>
      <c r="D560"/>
      <c r="E560"/>
      <c r="F560"/>
      <c r="G560"/>
      <c r="H560"/>
      <c r="I560"/>
      <c r="J560"/>
      <c r="K560"/>
    </row>
    <row r="561" spans="1:11" ht="12.75" x14ac:dyDescent="0.35">
      <c r="A561"/>
      <c r="B561"/>
      <c r="C561"/>
      <c r="D561"/>
      <c r="E561"/>
      <c r="F561"/>
      <c r="G561"/>
      <c r="H561"/>
      <c r="I561"/>
      <c r="J561"/>
      <c r="K561"/>
    </row>
    <row r="562" spans="1:11" ht="12.75" x14ac:dyDescent="0.35">
      <c r="A562"/>
      <c r="B562"/>
      <c r="C562"/>
      <c r="D562"/>
      <c r="E562"/>
      <c r="F562"/>
      <c r="G562"/>
      <c r="H562"/>
      <c r="I562"/>
      <c r="J562"/>
      <c r="K562"/>
    </row>
    <row r="563" spans="1:11" ht="12.75" x14ac:dyDescent="0.35">
      <c r="A563"/>
      <c r="B563"/>
      <c r="C563"/>
      <c r="D563"/>
      <c r="E563"/>
      <c r="F563"/>
      <c r="G563"/>
      <c r="H563"/>
      <c r="I563"/>
      <c r="J563"/>
      <c r="K563"/>
    </row>
    <row r="564" spans="1:11" ht="12.75" x14ac:dyDescent="0.35">
      <c r="A564"/>
      <c r="B564"/>
      <c r="C564"/>
      <c r="D564"/>
      <c r="E564"/>
      <c r="F564"/>
      <c r="G564"/>
      <c r="H564"/>
      <c r="I564"/>
      <c r="J564"/>
      <c r="K564"/>
    </row>
    <row r="565" spans="1:11" ht="12.75" x14ac:dyDescent="0.35">
      <c r="A565"/>
      <c r="B565"/>
      <c r="C565"/>
      <c r="D565"/>
      <c r="E565"/>
      <c r="F565"/>
      <c r="G565"/>
      <c r="H565"/>
      <c r="I565"/>
      <c r="J565"/>
      <c r="K565"/>
    </row>
    <row r="566" spans="1:11" ht="12.75" x14ac:dyDescent="0.35">
      <c r="A566"/>
      <c r="B566"/>
      <c r="C566"/>
      <c r="D566"/>
      <c r="E566"/>
      <c r="F566"/>
      <c r="G566"/>
      <c r="H566"/>
      <c r="I566"/>
      <c r="J566"/>
      <c r="K566"/>
    </row>
    <row r="567" spans="1:11" ht="12.75" x14ac:dyDescent="0.35">
      <c r="A567"/>
      <c r="B567"/>
      <c r="C567"/>
      <c r="D567"/>
      <c r="E567"/>
      <c r="F567"/>
      <c r="G567"/>
      <c r="H567"/>
      <c r="I567"/>
      <c r="J567"/>
      <c r="K567"/>
    </row>
    <row r="568" spans="1:11" ht="12.75" x14ac:dyDescent="0.35">
      <c r="A568"/>
      <c r="B568"/>
      <c r="C568"/>
      <c r="D568"/>
      <c r="E568"/>
      <c r="F568"/>
      <c r="G568"/>
      <c r="H568"/>
      <c r="I568"/>
      <c r="J568"/>
      <c r="K568"/>
    </row>
    <row r="569" spans="1:11" ht="12.75" x14ac:dyDescent="0.35">
      <c r="A569"/>
      <c r="B569"/>
      <c r="C569"/>
      <c r="D569"/>
      <c r="E569"/>
      <c r="F569"/>
      <c r="G569"/>
      <c r="H569"/>
      <c r="I569"/>
      <c r="J569"/>
      <c r="K569"/>
    </row>
    <row r="570" spans="1:11" ht="12.75" x14ac:dyDescent="0.35">
      <c r="A570"/>
      <c r="B570"/>
      <c r="C570"/>
      <c r="D570"/>
      <c r="E570"/>
      <c r="F570"/>
      <c r="G570"/>
      <c r="H570"/>
      <c r="I570"/>
      <c r="J570"/>
      <c r="K570"/>
    </row>
    <row r="571" spans="1:11" ht="12.75" x14ac:dyDescent="0.35">
      <c r="A571"/>
      <c r="B571"/>
      <c r="C571"/>
      <c r="D571"/>
      <c r="E571"/>
      <c r="F571"/>
      <c r="G571"/>
      <c r="H571"/>
      <c r="I571"/>
      <c r="J571"/>
      <c r="K571"/>
    </row>
    <row r="572" spans="1:11" ht="12.75" x14ac:dyDescent="0.35">
      <c r="A572"/>
      <c r="B572"/>
      <c r="C572"/>
      <c r="D572"/>
      <c r="E572"/>
      <c r="F572"/>
      <c r="G572"/>
      <c r="H572"/>
      <c r="I572"/>
      <c r="J572"/>
      <c r="K572"/>
    </row>
    <row r="573" spans="1:11" ht="12.75" x14ac:dyDescent="0.35">
      <c r="A573"/>
      <c r="B573"/>
      <c r="C573"/>
      <c r="D573"/>
      <c r="E573"/>
      <c r="F573"/>
      <c r="G573"/>
      <c r="H573"/>
      <c r="I573"/>
      <c r="J573"/>
      <c r="K573"/>
    </row>
    <row r="574" spans="1:11" ht="12.75" x14ac:dyDescent="0.35">
      <c r="A574"/>
      <c r="B574"/>
      <c r="C574"/>
      <c r="D574"/>
      <c r="E574"/>
      <c r="F574"/>
      <c r="G574"/>
      <c r="H574"/>
      <c r="I574"/>
      <c r="J574"/>
      <c r="K574"/>
    </row>
    <row r="575" spans="1:11" ht="12.75" x14ac:dyDescent="0.35">
      <c r="A575"/>
      <c r="B575"/>
      <c r="C575"/>
      <c r="D575"/>
      <c r="E575"/>
      <c r="F575"/>
      <c r="G575"/>
      <c r="H575"/>
      <c r="I575"/>
      <c r="J575"/>
      <c r="K575"/>
    </row>
    <row r="576" spans="1:11" ht="12.75" x14ac:dyDescent="0.35">
      <c r="A576"/>
      <c r="B576"/>
      <c r="C576"/>
      <c r="D576"/>
      <c r="E576"/>
      <c r="F576"/>
      <c r="G576"/>
      <c r="H576"/>
      <c r="I576"/>
      <c r="J576"/>
      <c r="K576"/>
    </row>
    <row r="577" spans="1:11" ht="12.75" x14ac:dyDescent="0.35">
      <c r="A577"/>
      <c r="B577"/>
      <c r="C577"/>
      <c r="D577"/>
      <c r="E577"/>
      <c r="F577"/>
      <c r="G577"/>
      <c r="H577"/>
      <c r="I577"/>
      <c r="J577"/>
      <c r="K577"/>
    </row>
    <row r="578" spans="1:11" ht="12.75" x14ac:dyDescent="0.35">
      <c r="A578"/>
      <c r="B578"/>
      <c r="C578"/>
      <c r="D578"/>
      <c r="E578"/>
      <c r="F578"/>
      <c r="G578"/>
      <c r="H578"/>
      <c r="I578"/>
      <c r="J578"/>
      <c r="K578"/>
    </row>
    <row r="579" spans="1:11" ht="12.75" x14ac:dyDescent="0.35">
      <c r="A579"/>
      <c r="B579"/>
      <c r="C579"/>
      <c r="D579"/>
      <c r="E579"/>
      <c r="F579"/>
      <c r="G579"/>
      <c r="H579"/>
      <c r="I579"/>
      <c r="J579"/>
      <c r="K579"/>
    </row>
    <row r="580" spans="1:11" ht="12.75" x14ac:dyDescent="0.35">
      <c r="A580"/>
      <c r="B580"/>
      <c r="C580"/>
      <c r="D580"/>
      <c r="E580"/>
      <c r="F580"/>
      <c r="G580"/>
      <c r="H580"/>
      <c r="I580"/>
      <c r="J580"/>
      <c r="K580"/>
    </row>
    <row r="581" spans="1:11" ht="12.75" x14ac:dyDescent="0.35">
      <c r="A581"/>
      <c r="B581"/>
      <c r="C581"/>
      <c r="D581"/>
      <c r="E581"/>
      <c r="F581"/>
      <c r="G581"/>
      <c r="H581"/>
      <c r="I581"/>
      <c r="J581"/>
      <c r="K581"/>
    </row>
    <row r="582" spans="1:11" ht="12.75" x14ac:dyDescent="0.35">
      <c r="A582"/>
      <c r="B582"/>
      <c r="C582"/>
      <c r="D582"/>
      <c r="E582"/>
      <c r="F582"/>
      <c r="G582"/>
      <c r="H582"/>
      <c r="I582"/>
      <c r="J582"/>
      <c r="K582"/>
    </row>
    <row r="583" spans="1:11" ht="12.75" x14ac:dyDescent="0.35">
      <c r="A583"/>
      <c r="B583"/>
      <c r="C583"/>
      <c r="D583"/>
      <c r="E583"/>
      <c r="F583"/>
      <c r="G583"/>
      <c r="H583"/>
      <c r="I583"/>
      <c r="J583"/>
      <c r="K583"/>
    </row>
    <row r="584" spans="1:11" ht="12.75" x14ac:dyDescent="0.35">
      <c r="A584"/>
      <c r="B584"/>
      <c r="C584"/>
      <c r="D584"/>
      <c r="E584"/>
      <c r="F584"/>
      <c r="G584"/>
      <c r="H584"/>
      <c r="I584"/>
      <c r="J584"/>
      <c r="K584"/>
    </row>
    <row r="585" spans="1:11" ht="12.75" x14ac:dyDescent="0.35">
      <c r="A585"/>
      <c r="B585"/>
      <c r="C585"/>
      <c r="D585"/>
      <c r="E585"/>
      <c r="F585"/>
      <c r="G585"/>
      <c r="H585"/>
      <c r="I585"/>
      <c r="J585"/>
      <c r="K585"/>
    </row>
    <row r="586" spans="1:11" ht="12.75" x14ac:dyDescent="0.35">
      <c r="A586"/>
      <c r="B586"/>
      <c r="C586"/>
      <c r="D586"/>
      <c r="E586"/>
      <c r="F586"/>
      <c r="G586"/>
      <c r="H586"/>
      <c r="I586"/>
      <c r="J586"/>
      <c r="K586"/>
    </row>
    <row r="587" spans="1:11" ht="12.75" x14ac:dyDescent="0.35">
      <c r="A587"/>
      <c r="B587"/>
      <c r="C587"/>
      <c r="D587"/>
      <c r="E587"/>
      <c r="F587"/>
      <c r="G587"/>
      <c r="H587"/>
      <c r="I587"/>
      <c r="J587"/>
      <c r="K587"/>
    </row>
    <row r="588" spans="1:11" ht="12.75" x14ac:dyDescent="0.35">
      <c r="A588"/>
      <c r="B588"/>
      <c r="C588"/>
      <c r="D588"/>
      <c r="E588"/>
      <c r="F588"/>
      <c r="G588"/>
      <c r="H588"/>
      <c r="I588"/>
      <c r="J588"/>
      <c r="K588"/>
    </row>
    <row r="589" spans="1:11" ht="12.75" x14ac:dyDescent="0.35">
      <c r="A589"/>
      <c r="B589"/>
      <c r="C589"/>
      <c r="D589"/>
      <c r="E589"/>
      <c r="F589"/>
      <c r="G589"/>
      <c r="H589"/>
      <c r="I589"/>
      <c r="J589"/>
      <c r="K589"/>
    </row>
    <row r="590" spans="1:11" ht="12.75" x14ac:dyDescent="0.35">
      <c r="A590"/>
      <c r="B590"/>
      <c r="C590"/>
      <c r="D590"/>
      <c r="E590"/>
      <c r="F590"/>
      <c r="G590"/>
      <c r="H590"/>
      <c r="I590"/>
      <c r="J590"/>
      <c r="K590"/>
    </row>
    <row r="591" spans="1:11" ht="12.75" x14ac:dyDescent="0.35">
      <c r="A591"/>
      <c r="B591"/>
      <c r="C591"/>
      <c r="D591"/>
      <c r="E591"/>
      <c r="F591"/>
      <c r="G591"/>
      <c r="H591"/>
      <c r="I591"/>
      <c r="J591"/>
      <c r="K591"/>
    </row>
    <row r="592" spans="1:11" ht="12.75" x14ac:dyDescent="0.35">
      <c r="A592"/>
      <c r="B592"/>
      <c r="C592"/>
      <c r="D592"/>
      <c r="E592"/>
      <c r="F592"/>
      <c r="G592"/>
      <c r="H592"/>
      <c r="I592"/>
      <c r="J592"/>
      <c r="K592"/>
    </row>
    <row r="593" spans="1:11" ht="12.75" x14ac:dyDescent="0.35">
      <c r="A593"/>
      <c r="B593"/>
      <c r="C593"/>
      <c r="D593"/>
      <c r="E593"/>
      <c r="F593"/>
      <c r="G593"/>
      <c r="H593"/>
      <c r="I593"/>
      <c r="J593"/>
      <c r="K593"/>
    </row>
    <row r="594" spans="1:11" ht="12.75" x14ac:dyDescent="0.35">
      <c r="A594"/>
      <c r="B594"/>
      <c r="C594"/>
      <c r="D594"/>
      <c r="E594"/>
      <c r="F594"/>
      <c r="G594"/>
      <c r="H594"/>
      <c r="I594"/>
      <c r="J594"/>
      <c r="K594"/>
    </row>
    <row r="595" spans="1:11" ht="12.75" x14ac:dyDescent="0.35">
      <c r="A595"/>
      <c r="B595"/>
      <c r="C595"/>
      <c r="D595"/>
      <c r="E595"/>
      <c r="F595"/>
      <c r="G595"/>
      <c r="H595"/>
      <c r="I595"/>
      <c r="J595"/>
      <c r="K595"/>
    </row>
    <row r="596" spans="1:11" ht="12.75" x14ac:dyDescent="0.35">
      <c r="A596"/>
      <c r="B596"/>
      <c r="C596"/>
      <c r="D596"/>
      <c r="E596"/>
      <c r="F596"/>
      <c r="G596"/>
      <c r="H596"/>
      <c r="I596"/>
      <c r="J596"/>
      <c r="K596"/>
    </row>
    <row r="597" spans="1:11" ht="12.75" x14ac:dyDescent="0.35">
      <c r="A597"/>
      <c r="B597"/>
      <c r="C597"/>
      <c r="D597"/>
      <c r="E597"/>
      <c r="F597"/>
      <c r="G597"/>
      <c r="H597"/>
      <c r="I597"/>
      <c r="J597"/>
      <c r="K597"/>
    </row>
    <row r="598" spans="1:11" ht="12.75" x14ac:dyDescent="0.35">
      <c r="A598"/>
      <c r="B598"/>
      <c r="C598"/>
      <c r="D598"/>
      <c r="E598"/>
      <c r="F598"/>
      <c r="G598"/>
      <c r="H598"/>
      <c r="I598"/>
      <c r="J598"/>
      <c r="K598"/>
    </row>
    <row r="599" spans="1:11" ht="12.75" x14ac:dyDescent="0.35">
      <c r="A599"/>
      <c r="B599"/>
      <c r="C599"/>
      <c r="D599"/>
      <c r="E599"/>
      <c r="F599"/>
      <c r="G599"/>
      <c r="H599"/>
      <c r="I599"/>
      <c r="J599"/>
      <c r="K599"/>
    </row>
    <row r="600" spans="1:11" ht="12.75" x14ac:dyDescent="0.35">
      <c r="A600"/>
      <c r="B600"/>
      <c r="C600"/>
      <c r="D600"/>
      <c r="E600"/>
      <c r="F600"/>
      <c r="G600"/>
      <c r="H600"/>
      <c r="I600"/>
      <c r="J600"/>
      <c r="K600"/>
    </row>
    <row r="601" spans="1:11" ht="12.75" x14ac:dyDescent="0.35">
      <c r="A601"/>
      <c r="B601"/>
      <c r="C601"/>
      <c r="D601"/>
      <c r="E601"/>
      <c r="F601"/>
      <c r="G601"/>
      <c r="H601"/>
      <c r="I601"/>
      <c r="J601"/>
      <c r="K601"/>
    </row>
    <row r="602" spans="1:11" ht="12.75" x14ac:dyDescent="0.35">
      <c r="A602"/>
      <c r="B602"/>
      <c r="C602"/>
      <c r="D602"/>
      <c r="E602"/>
      <c r="F602"/>
      <c r="G602"/>
      <c r="H602"/>
      <c r="I602"/>
      <c r="J602"/>
      <c r="K602"/>
    </row>
    <row r="603" spans="1:11" ht="12.75" x14ac:dyDescent="0.35">
      <c r="A603"/>
      <c r="B603"/>
      <c r="C603"/>
      <c r="D603"/>
      <c r="E603"/>
      <c r="F603"/>
      <c r="G603"/>
      <c r="H603"/>
      <c r="I603"/>
      <c r="J603"/>
      <c r="K603"/>
    </row>
    <row r="604" spans="1:11" ht="12.75" x14ac:dyDescent="0.35">
      <c r="A604"/>
      <c r="B604"/>
      <c r="C604"/>
      <c r="D604"/>
      <c r="E604"/>
      <c r="F604"/>
      <c r="G604"/>
      <c r="H604"/>
      <c r="I604"/>
      <c r="J604"/>
      <c r="K604"/>
    </row>
    <row r="605" spans="1:11" ht="12.75" x14ac:dyDescent="0.35">
      <c r="A605"/>
      <c r="B605"/>
      <c r="C605"/>
      <c r="D605"/>
      <c r="E605"/>
      <c r="F605"/>
      <c r="G605"/>
      <c r="H605"/>
      <c r="I605"/>
      <c r="J605"/>
      <c r="K605"/>
    </row>
    <row r="606" spans="1:11" ht="12.75" x14ac:dyDescent="0.35">
      <c r="A606"/>
      <c r="B606"/>
      <c r="C606"/>
      <c r="D606"/>
      <c r="E606"/>
      <c r="F606"/>
      <c r="G606"/>
      <c r="H606"/>
      <c r="I606"/>
      <c r="J606"/>
      <c r="K606"/>
    </row>
    <row r="607" spans="1:11" ht="12.75" x14ac:dyDescent="0.35">
      <c r="A607"/>
      <c r="B607"/>
      <c r="C607"/>
      <c r="D607"/>
      <c r="E607"/>
      <c r="F607"/>
      <c r="G607"/>
      <c r="H607"/>
      <c r="I607"/>
      <c r="J607"/>
      <c r="K607"/>
    </row>
    <row r="608" spans="1:11" ht="12.75" x14ac:dyDescent="0.35">
      <c r="A608"/>
      <c r="B608"/>
      <c r="C608"/>
      <c r="D608"/>
      <c r="E608"/>
      <c r="F608"/>
      <c r="G608"/>
      <c r="H608"/>
      <c r="I608"/>
      <c r="J608"/>
      <c r="K608"/>
    </row>
    <row r="609" spans="1:11" ht="12.75" x14ac:dyDescent="0.35">
      <c r="A609"/>
      <c r="B609"/>
      <c r="C609"/>
      <c r="D609"/>
      <c r="E609"/>
      <c r="F609"/>
      <c r="G609"/>
      <c r="H609"/>
      <c r="I609"/>
      <c r="J609"/>
      <c r="K609"/>
    </row>
    <row r="610" spans="1:11" ht="12.75" x14ac:dyDescent="0.35">
      <c r="A610"/>
      <c r="B610"/>
      <c r="C610"/>
      <c r="D610"/>
      <c r="E610"/>
      <c r="F610"/>
      <c r="G610"/>
      <c r="H610"/>
      <c r="I610"/>
      <c r="J610"/>
      <c r="K610"/>
    </row>
    <row r="611" spans="1:11" ht="12.75" x14ac:dyDescent="0.35">
      <c r="A611"/>
      <c r="B611"/>
      <c r="C611"/>
      <c r="D611"/>
      <c r="E611"/>
      <c r="F611"/>
      <c r="G611"/>
      <c r="H611"/>
      <c r="I611"/>
      <c r="J611"/>
      <c r="K611"/>
    </row>
    <row r="612" spans="1:11" ht="12.75" x14ac:dyDescent="0.35">
      <c r="A612"/>
      <c r="B612"/>
      <c r="C612"/>
      <c r="D612"/>
      <c r="E612"/>
      <c r="F612"/>
      <c r="G612"/>
      <c r="H612"/>
      <c r="I612"/>
      <c r="J612"/>
      <c r="K612"/>
    </row>
    <row r="613" spans="1:11" ht="12.75" x14ac:dyDescent="0.35">
      <c r="A613"/>
      <c r="B613"/>
      <c r="C613"/>
      <c r="D613"/>
      <c r="E613"/>
      <c r="F613"/>
      <c r="G613"/>
      <c r="H613"/>
      <c r="I613"/>
      <c r="J613"/>
      <c r="K613"/>
    </row>
    <row r="614" spans="1:11" ht="12.75" x14ac:dyDescent="0.35">
      <c r="A614"/>
      <c r="B614"/>
      <c r="C614"/>
      <c r="D614"/>
      <c r="E614"/>
      <c r="F614"/>
      <c r="G614"/>
      <c r="H614"/>
      <c r="I614"/>
      <c r="J614"/>
      <c r="K614"/>
    </row>
    <row r="615" spans="1:11" ht="12.75" x14ac:dyDescent="0.35">
      <c r="A615"/>
      <c r="B615"/>
      <c r="C615"/>
      <c r="D615"/>
      <c r="E615"/>
      <c r="F615"/>
      <c r="G615"/>
      <c r="H615"/>
      <c r="I615"/>
      <c r="J615"/>
      <c r="K615"/>
    </row>
    <row r="616" spans="1:11" ht="12.75" x14ac:dyDescent="0.35">
      <c r="A616"/>
      <c r="B616"/>
      <c r="C616"/>
      <c r="D616"/>
      <c r="E616"/>
      <c r="F616"/>
      <c r="G616"/>
      <c r="H616"/>
      <c r="I616"/>
      <c r="J616"/>
      <c r="K616"/>
    </row>
    <row r="617" spans="1:11" ht="12.75" x14ac:dyDescent="0.35">
      <c r="A617"/>
      <c r="B617"/>
      <c r="C617"/>
      <c r="D617"/>
      <c r="E617"/>
      <c r="F617"/>
      <c r="G617"/>
      <c r="H617"/>
      <c r="I617"/>
      <c r="J617"/>
      <c r="K617"/>
    </row>
    <row r="618" spans="1:11" ht="12.75" x14ac:dyDescent="0.35">
      <c r="A618"/>
      <c r="B618"/>
      <c r="C618"/>
      <c r="D618"/>
      <c r="E618"/>
      <c r="F618"/>
      <c r="G618"/>
      <c r="H618"/>
      <c r="I618"/>
      <c r="J618"/>
      <c r="K618"/>
    </row>
    <row r="619" spans="1:11" ht="12.75" x14ac:dyDescent="0.35">
      <c r="A619"/>
      <c r="B619"/>
      <c r="C619"/>
      <c r="D619"/>
      <c r="E619"/>
      <c r="F619"/>
      <c r="G619"/>
      <c r="H619"/>
      <c r="I619"/>
      <c r="J619"/>
      <c r="K619"/>
    </row>
    <row r="620" spans="1:11" ht="12.75" x14ac:dyDescent="0.35">
      <c r="A620"/>
      <c r="B620"/>
      <c r="C620"/>
      <c r="D620"/>
      <c r="E620"/>
      <c r="F620"/>
      <c r="G620"/>
      <c r="H620"/>
      <c r="I620"/>
      <c r="J620"/>
      <c r="K620"/>
    </row>
    <row r="621" spans="1:11" ht="12.75" x14ac:dyDescent="0.35">
      <c r="A621"/>
      <c r="B621"/>
      <c r="C621"/>
      <c r="D621"/>
      <c r="E621"/>
      <c r="F621"/>
      <c r="G621"/>
      <c r="H621"/>
      <c r="I621"/>
      <c r="J621"/>
      <c r="K621"/>
    </row>
    <row r="622" spans="1:11" ht="12.75" x14ac:dyDescent="0.35">
      <c r="A622"/>
      <c r="B622"/>
      <c r="C622"/>
      <c r="D622"/>
      <c r="E622"/>
      <c r="F622"/>
      <c r="G622"/>
      <c r="H622"/>
      <c r="I622"/>
      <c r="J622"/>
      <c r="K622"/>
    </row>
    <row r="623" spans="1:11" ht="12.75" x14ac:dyDescent="0.35">
      <c r="A623"/>
      <c r="B623"/>
      <c r="C623"/>
      <c r="D623"/>
      <c r="E623"/>
      <c r="F623"/>
      <c r="G623"/>
      <c r="H623"/>
      <c r="I623"/>
      <c r="J623"/>
      <c r="K623"/>
    </row>
    <row r="624" spans="1:11" ht="12.75" x14ac:dyDescent="0.35">
      <c r="A624"/>
      <c r="B624"/>
      <c r="C624"/>
      <c r="D624"/>
      <c r="E624"/>
      <c r="F624"/>
      <c r="G624"/>
      <c r="H624"/>
      <c r="I624"/>
      <c r="J624"/>
      <c r="K624"/>
    </row>
    <row r="625" spans="1:11" ht="12.75" x14ac:dyDescent="0.35">
      <c r="A625"/>
      <c r="B625"/>
      <c r="C625"/>
      <c r="D625"/>
      <c r="E625"/>
      <c r="F625"/>
      <c r="G625"/>
      <c r="H625"/>
      <c r="I625"/>
      <c r="J625"/>
      <c r="K625"/>
    </row>
    <row r="626" spans="1:11" ht="12.75" x14ac:dyDescent="0.35">
      <c r="A626"/>
      <c r="B626"/>
      <c r="C626"/>
      <c r="D626"/>
      <c r="E626"/>
      <c r="F626"/>
      <c r="G626"/>
      <c r="H626"/>
      <c r="I626"/>
      <c r="J626"/>
      <c r="K626"/>
    </row>
    <row r="627" spans="1:11" ht="12.75" x14ac:dyDescent="0.35">
      <c r="A627"/>
      <c r="B627"/>
      <c r="C627"/>
      <c r="D627"/>
      <c r="E627"/>
      <c r="F627"/>
      <c r="G627"/>
      <c r="H627"/>
      <c r="I627"/>
      <c r="J627"/>
      <c r="K627"/>
    </row>
    <row r="628" spans="1:11" ht="12.75" x14ac:dyDescent="0.35">
      <c r="A628"/>
      <c r="B628"/>
      <c r="C628"/>
      <c r="D628"/>
      <c r="E628"/>
      <c r="F628"/>
      <c r="G628"/>
      <c r="H628"/>
      <c r="I628"/>
      <c r="J628"/>
      <c r="K628"/>
    </row>
    <row r="629" spans="1:11" ht="12.75" x14ac:dyDescent="0.35">
      <c r="A629"/>
      <c r="B629"/>
      <c r="C629"/>
      <c r="D629"/>
      <c r="E629"/>
      <c r="F629"/>
      <c r="G629"/>
      <c r="H629"/>
      <c r="I629"/>
      <c r="J629"/>
      <c r="K629"/>
    </row>
    <row r="630" spans="1:11" ht="12.75" x14ac:dyDescent="0.35">
      <c r="A630"/>
      <c r="B630"/>
      <c r="C630"/>
      <c r="D630"/>
      <c r="E630"/>
      <c r="F630"/>
      <c r="G630"/>
      <c r="H630"/>
      <c r="I630"/>
      <c r="J630"/>
      <c r="K630"/>
    </row>
    <row r="631" spans="1:11" ht="12.75" x14ac:dyDescent="0.35">
      <c r="A631"/>
      <c r="B631"/>
      <c r="C631"/>
      <c r="D631"/>
      <c r="E631"/>
      <c r="F631"/>
      <c r="G631"/>
      <c r="H631"/>
      <c r="I631"/>
      <c r="J631"/>
      <c r="K631"/>
    </row>
    <row r="632" spans="1:11" ht="12.75" x14ac:dyDescent="0.35">
      <c r="A632"/>
      <c r="B632"/>
      <c r="C632"/>
      <c r="D632"/>
      <c r="E632"/>
      <c r="F632"/>
      <c r="G632"/>
      <c r="H632"/>
      <c r="I632"/>
      <c r="J632"/>
      <c r="K632"/>
    </row>
    <row r="633" spans="1:11" ht="12.75" x14ac:dyDescent="0.35">
      <c r="A633"/>
      <c r="B633"/>
      <c r="C633"/>
      <c r="D633"/>
      <c r="E633"/>
      <c r="F633"/>
      <c r="G633"/>
      <c r="H633"/>
      <c r="I633"/>
      <c r="J633"/>
      <c r="K633"/>
    </row>
    <row r="634" spans="1:11" ht="12.75" x14ac:dyDescent="0.35">
      <c r="A634"/>
      <c r="B634"/>
      <c r="C634"/>
      <c r="D634"/>
      <c r="E634"/>
      <c r="F634"/>
      <c r="G634"/>
      <c r="H634"/>
      <c r="I634"/>
      <c r="J634"/>
      <c r="K634"/>
    </row>
    <row r="635" spans="1:11" ht="12.75" x14ac:dyDescent="0.35">
      <c r="A635"/>
      <c r="B635"/>
      <c r="C635"/>
      <c r="D635"/>
      <c r="E635"/>
      <c r="F635"/>
      <c r="G635"/>
      <c r="H635"/>
      <c r="I635"/>
      <c r="J635"/>
      <c r="K635"/>
    </row>
    <row r="636" spans="1:11" ht="12.75" x14ac:dyDescent="0.35">
      <c r="A636"/>
      <c r="B636"/>
      <c r="C636"/>
      <c r="D636"/>
      <c r="E636"/>
      <c r="F636"/>
      <c r="G636"/>
      <c r="H636"/>
      <c r="I636"/>
      <c r="J636"/>
      <c r="K636"/>
    </row>
    <row r="637" spans="1:11" ht="12.75" x14ac:dyDescent="0.35">
      <c r="A637"/>
      <c r="B637"/>
      <c r="C637"/>
      <c r="D637"/>
      <c r="E637"/>
      <c r="F637"/>
      <c r="G637"/>
      <c r="H637"/>
      <c r="I637"/>
      <c r="J637"/>
      <c r="K637"/>
    </row>
    <row r="638" spans="1:11" ht="12.75" x14ac:dyDescent="0.35">
      <c r="A638"/>
      <c r="B638"/>
      <c r="C638"/>
      <c r="D638"/>
      <c r="E638"/>
      <c r="F638"/>
      <c r="G638"/>
      <c r="H638"/>
      <c r="I638"/>
      <c r="J638"/>
      <c r="K638"/>
    </row>
    <row r="639" spans="1:11" ht="12.75" x14ac:dyDescent="0.35">
      <c r="A639"/>
      <c r="B639"/>
      <c r="C639"/>
      <c r="D639"/>
      <c r="E639"/>
      <c r="F639"/>
      <c r="G639"/>
      <c r="H639"/>
      <c r="I639"/>
      <c r="J639"/>
      <c r="K639"/>
    </row>
    <row r="640" spans="1:11" ht="12.75" x14ac:dyDescent="0.35">
      <c r="A640"/>
      <c r="B640"/>
      <c r="C640"/>
      <c r="D640"/>
      <c r="E640"/>
      <c r="F640"/>
      <c r="G640"/>
      <c r="H640"/>
      <c r="I640"/>
      <c r="J640"/>
      <c r="K640"/>
    </row>
    <row r="641" spans="1:11" ht="12.75" x14ac:dyDescent="0.35">
      <c r="A641"/>
      <c r="B641"/>
      <c r="C641"/>
      <c r="D641"/>
      <c r="E641"/>
      <c r="F641"/>
      <c r="G641"/>
      <c r="H641"/>
      <c r="I641"/>
      <c r="J641"/>
      <c r="K641"/>
    </row>
    <row r="642" spans="1:11" ht="12.75" x14ac:dyDescent="0.35">
      <c r="A642"/>
      <c r="B642"/>
      <c r="C642"/>
      <c r="D642"/>
      <c r="E642"/>
      <c r="F642"/>
      <c r="G642"/>
      <c r="H642"/>
      <c r="I642"/>
      <c r="J642"/>
      <c r="K642"/>
    </row>
    <row r="643" spans="1:11" ht="12.75" x14ac:dyDescent="0.35">
      <c r="A643"/>
      <c r="B643"/>
      <c r="C643"/>
      <c r="D643"/>
      <c r="E643"/>
      <c r="F643"/>
      <c r="G643"/>
      <c r="H643"/>
      <c r="I643"/>
      <c r="J643"/>
      <c r="K643"/>
    </row>
    <row r="644" spans="1:11" ht="12.75" x14ac:dyDescent="0.35">
      <c r="A644"/>
      <c r="B644"/>
      <c r="C644"/>
      <c r="D644"/>
      <c r="E644"/>
      <c r="F644"/>
      <c r="G644"/>
      <c r="H644"/>
      <c r="I644"/>
      <c r="J644"/>
      <c r="K644"/>
    </row>
    <row r="645" spans="1:11" ht="12.75" x14ac:dyDescent="0.35">
      <c r="A645"/>
      <c r="B645"/>
      <c r="C645"/>
      <c r="D645"/>
      <c r="E645"/>
      <c r="F645"/>
      <c r="G645"/>
      <c r="H645"/>
      <c r="I645"/>
      <c r="J645"/>
      <c r="K645"/>
    </row>
    <row r="646" spans="1:11" ht="12.75" x14ac:dyDescent="0.35">
      <c r="A646"/>
      <c r="B646"/>
      <c r="C646"/>
      <c r="D646"/>
      <c r="E646"/>
      <c r="F646"/>
      <c r="G646"/>
      <c r="H646"/>
      <c r="I646"/>
      <c r="J646"/>
      <c r="K646"/>
    </row>
    <row r="647" spans="1:11" ht="12.75" x14ac:dyDescent="0.35">
      <c r="A647"/>
      <c r="B647"/>
      <c r="C647"/>
      <c r="D647"/>
      <c r="E647"/>
      <c r="F647"/>
      <c r="G647"/>
      <c r="H647"/>
      <c r="I647"/>
      <c r="J647"/>
      <c r="K647"/>
    </row>
    <row r="648" spans="1:11" ht="12.75" x14ac:dyDescent="0.35">
      <c r="A648"/>
      <c r="B648"/>
      <c r="C648"/>
      <c r="D648"/>
      <c r="E648"/>
      <c r="F648"/>
      <c r="G648"/>
      <c r="H648"/>
      <c r="I648"/>
      <c r="J648"/>
      <c r="K648"/>
    </row>
    <row r="649" spans="1:11" ht="12.75" x14ac:dyDescent="0.35">
      <c r="A649"/>
      <c r="B649"/>
      <c r="C649"/>
      <c r="D649"/>
      <c r="E649"/>
      <c r="F649"/>
      <c r="G649"/>
      <c r="H649"/>
      <c r="I649"/>
      <c r="J649"/>
      <c r="K649"/>
    </row>
    <row r="650" spans="1:11" ht="12.75" x14ac:dyDescent="0.35">
      <c r="A650"/>
      <c r="B650"/>
      <c r="C650"/>
      <c r="D650"/>
      <c r="E650"/>
      <c r="F650"/>
      <c r="G650"/>
      <c r="H650"/>
      <c r="I650"/>
      <c r="J650"/>
      <c r="K650"/>
    </row>
    <row r="651" spans="1:11" ht="12.75" x14ac:dyDescent="0.35">
      <c r="A651"/>
      <c r="B651"/>
      <c r="C651"/>
      <c r="D651"/>
      <c r="E651"/>
      <c r="F651"/>
      <c r="G651"/>
      <c r="H651"/>
      <c r="I651"/>
      <c r="J651"/>
      <c r="K651"/>
    </row>
    <row r="652" spans="1:11" ht="12.75" x14ac:dyDescent="0.35">
      <c r="A652"/>
      <c r="B652"/>
      <c r="C652"/>
      <c r="D652"/>
      <c r="E652"/>
      <c r="F652"/>
      <c r="G652"/>
      <c r="H652"/>
      <c r="I652"/>
      <c r="J652"/>
      <c r="K652"/>
    </row>
    <row r="653" spans="1:11" ht="12.75" x14ac:dyDescent="0.35">
      <c r="A653"/>
      <c r="B653"/>
      <c r="C653"/>
      <c r="D653"/>
      <c r="E653"/>
      <c r="F653"/>
      <c r="G653"/>
      <c r="H653"/>
      <c r="I653"/>
      <c r="J653"/>
      <c r="K653"/>
    </row>
    <row r="654" spans="1:11" ht="12.75" x14ac:dyDescent="0.35">
      <c r="A654"/>
      <c r="B654"/>
      <c r="C654"/>
      <c r="D654"/>
      <c r="E654"/>
      <c r="F654"/>
      <c r="G654"/>
      <c r="H654"/>
      <c r="I654"/>
      <c r="J654"/>
      <c r="K654"/>
    </row>
    <row r="655" spans="1:11" ht="12.75" x14ac:dyDescent="0.35">
      <c r="A655"/>
      <c r="B655"/>
      <c r="C655"/>
      <c r="D655"/>
      <c r="E655"/>
      <c r="F655"/>
      <c r="G655"/>
      <c r="H655"/>
      <c r="I655"/>
      <c r="J655"/>
      <c r="K655"/>
    </row>
    <row r="656" spans="1:11" ht="12.75" x14ac:dyDescent="0.35">
      <c r="A656"/>
      <c r="B656"/>
      <c r="C656"/>
      <c r="D656"/>
      <c r="E656"/>
      <c r="F656"/>
      <c r="G656"/>
      <c r="H656"/>
      <c r="I656"/>
      <c r="J656"/>
      <c r="K656"/>
    </row>
    <row r="657" spans="1:11" ht="12.75" x14ac:dyDescent="0.35">
      <c r="A657"/>
      <c r="B657"/>
      <c r="C657"/>
      <c r="D657"/>
      <c r="E657"/>
      <c r="F657"/>
      <c r="G657"/>
      <c r="H657"/>
      <c r="I657"/>
      <c r="J657"/>
      <c r="K657"/>
    </row>
    <row r="658" spans="1:11" ht="12.75" x14ac:dyDescent="0.35">
      <c r="A658"/>
      <c r="B658"/>
      <c r="C658"/>
      <c r="D658"/>
      <c r="E658"/>
      <c r="F658"/>
      <c r="G658"/>
      <c r="H658"/>
      <c r="I658"/>
      <c r="J658"/>
      <c r="K658"/>
    </row>
    <row r="659" spans="1:11" ht="12.75" x14ac:dyDescent="0.35">
      <c r="A659"/>
      <c r="B659"/>
      <c r="C659"/>
      <c r="D659"/>
      <c r="E659"/>
      <c r="F659"/>
      <c r="G659"/>
      <c r="H659"/>
      <c r="I659"/>
      <c r="J659"/>
      <c r="K659"/>
    </row>
    <row r="660" spans="1:11" ht="12.75" x14ac:dyDescent="0.35">
      <c r="A660"/>
      <c r="B660"/>
      <c r="C660"/>
      <c r="D660"/>
      <c r="E660"/>
      <c r="F660"/>
      <c r="G660"/>
      <c r="H660"/>
      <c r="I660"/>
      <c r="J660"/>
      <c r="K660"/>
    </row>
    <row r="661" spans="1:11" ht="12.75" x14ac:dyDescent="0.35">
      <c r="A661"/>
      <c r="B661"/>
      <c r="C661"/>
      <c r="D661"/>
      <c r="E661"/>
      <c r="F661"/>
      <c r="G661"/>
      <c r="H661"/>
      <c r="I661"/>
      <c r="J661"/>
      <c r="K661"/>
    </row>
    <row r="662" spans="1:11" ht="12.75" x14ac:dyDescent="0.35">
      <c r="A662"/>
      <c r="B662"/>
      <c r="C662"/>
      <c r="D662"/>
      <c r="E662"/>
      <c r="F662"/>
      <c r="G662"/>
      <c r="H662"/>
      <c r="I662"/>
      <c r="J662"/>
      <c r="K662"/>
    </row>
    <row r="663" spans="1:11" ht="12.75" x14ac:dyDescent="0.35">
      <c r="A663"/>
      <c r="B663"/>
      <c r="C663"/>
      <c r="D663"/>
      <c r="E663"/>
      <c r="F663"/>
      <c r="G663"/>
      <c r="H663"/>
      <c r="I663"/>
      <c r="J663"/>
      <c r="K663"/>
    </row>
    <row r="664" spans="1:11" ht="12.75" x14ac:dyDescent="0.35">
      <c r="A664"/>
      <c r="B664"/>
      <c r="C664"/>
      <c r="D664"/>
      <c r="E664"/>
      <c r="F664"/>
      <c r="G664"/>
      <c r="H664"/>
      <c r="I664"/>
      <c r="J664"/>
      <c r="K664"/>
    </row>
    <row r="665" spans="1:11" ht="12.75" x14ac:dyDescent="0.35">
      <c r="A665"/>
      <c r="B665"/>
      <c r="C665"/>
      <c r="D665"/>
      <c r="E665"/>
      <c r="F665"/>
      <c r="G665"/>
      <c r="H665"/>
      <c r="I665"/>
      <c r="J665"/>
      <c r="K665"/>
    </row>
    <row r="666" spans="1:11" ht="12.75" x14ac:dyDescent="0.35">
      <c r="A666"/>
      <c r="B666"/>
      <c r="C666"/>
      <c r="D666"/>
      <c r="E666"/>
      <c r="F666"/>
      <c r="G666"/>
      <c r="H666"/>
      <c r="I666"/>
      <c r="J666"/>
      <c r="K666"/>
    </row>
    <row r="667" spans="1:11" ht="12.75" x14ac:dyDescent="0.35">
      <c r="A667"/>
      <c r="B667"/>
      <c r="C667"/>
      <c r="D667"/>
      <c r="E667"/>
      <c r="F667"/>
      <c r="G667"/>
      <c r="H667"/>
      <c r="I667"/>
      <c r="J667"/>
      <c r="K667"/>
    </row>
    <row r="668" spans="1:11" ht="12.75" x14ac:dyDescent="0.35">
      <c r="A668"/>
      <c r="B668"/>
      <c r="C668"/>
      <c r="D668"/>
      <c r="E668"/>
      <c r="F668"/>
      <c r="G668"/>
      <c r="H668"/>
      <c r="I668"/>
      <c r="J668"/>
      <c r="K668"/>
    </row>
    <row r="669" spans="1:11" ht="12.75" x14ac:dyDescent="0.35">
      <c r="A669"/>
      <c r="B669"/>
      <c r="C669"/>
      <c r="D669"/>
      <c r="E669"/>
      <c r="F669"/>
      <c r="G669"/>
      <c r="H669"/>
      <c r="I669"/>
      <c r="J669"/>
      <c r="K669"/>
    </row>
    <row r="670" spans="1:11" ht="12.75" x14ac:dyDescent="0.35">
      <c r="A670"/>
      <c r="B670"/>
      <c r="C670"/>
      <c r="D670"/>
      <c r="E670"/>
      <c r="F670"/>
      <c r="G670"/>
      <c r="H670"/>
      <c r="I670"/>
      <c r="J670"/>
      <c r="K670"/>
    </row>
    <row r="671" spans="1:11" ht="12.75" x14ac:dyDescent="0.35">
      <c r="A671"/>
      <c r="B671"/>
      <c r="C671"/>
      <c r="D671"/>
      <c r="E671"/>
      <c r="F671"/>
      <c r="G671"/>
      <c r="H671"/>
      <c r="I671"/>
      <c r="J671"/>
      <c r="K671"/>
    </row>
    <row r="672" spans="1:11" ht="12.75" x14ac:dyDescent="0.35">
      <c r="A672"/>
      <c r="B672"/>
      <c r="C672"/>
      <c r="D672"/>
      <c r="E672"/>
      <c r="F672"/>
      <c r="G672"/>
      <c r="H672"/>
      <c r="I672"/>
      <c r="J672"/>
      <c r="K672"/>
    </row>
    <row r="673" spans="1:11" ht="12.75" x14ac:dyDescent="0.35">
      <c r="A673"/>
      <c r="B673"/>
      <c r="C673"/>
      <c r="D673"/>
      <c r="E673"/>
      <c r="F673"/>
      <c r="G673"/>
      <c r="H673"/>
      <c r="I673"/>
      <c r="J673"/>
      <c r="K673"/>
    </row>
    <row r="674" spans="1:11" ht="12.75" x14ac:dyDescent="0.35">
      <c r="A674"/>
      <c r="B674"/>
      <c r="C674"/>
      <c r="D674"/>
      <c r="E674"/>
      <c r="F674"/>
      <c r="G674"/>
      <c r="H674"/>
      <c r="I674"/>
      <c r="J674"/>
      <c r="K674"/>
    </row>
    <row r="675" spans="1:11" ht="12.75" x14ac:dyDescent="0.35">
      <c r="A675"/>
      <c r="B675"/>
      <c r="C675"/>
      <c r="D675"/>
      <c r="E675"/>
      <c r="F675"/>
      <c r="G675"/>
      <c r="H675"/>
      <c r="I675"/>
      <c r="J675"/>
      <c r="K675"/>
    </row>
    <row r="676" spans="1:11" ht="12.75" x14ac:dyDescent="0.35">
      <c r="A676"/>
      <c r="B676"/>
      <c r="C676"/>
      <c r="D676"/>
      <c r="E676"/>
      <c r="F676"/>
      <c r="G676"/>
      <c r="H676"/>
      <c r="I676"/>
      <c r="J676"/>
      <c r="K676"/>
    </row>
    <row r="677" spans="1:11" ht="12.75" x14ac:dyDescent="0.35">
      <c r="A677"/>
      <c r="B677"/>
      <c r="C677"/>
      <c r="D677"/>
      <c r="E677"/>
      <c r="F677"/>
      <c r="G677"/>
      <c r="H677"/>
      <c r="I677"/>
      <c r="J677"/>
      <c r="K677"/>
    </row>
    <row r="678" spans="1:11" ht="12.75" x14ac:dyDescent="0.35">
      <c r="A678"/>
      <c r="B678"/>
      <c r="C678"/>
      <c r="D678"/>
      <c r="E678"/>
      <c r="F678"/>
      <c r="G678"/>
      <c r="H678"/>
      <c r="I678"/>
      <c r="J678"/>
      <c r="K678"/>
    </row>
    <row r="679" spans="1:11" ht="12.75" x14ac:dyDescent="0.35">
      <c r="A679"/>
      <c r="B679"/>
      <c r="C679"/>
      <c r="D679"/>
      <c r="E679"/>
      <c r="F679"/>
      <c r="G679"/>
      <c r="H679"/>
      <c r="I679"/>
      <c r="J679"/>
      <c r="K679"/>
    </row>
    <row r="680" spans="1:11" ht="12.75" x14ac:dyDescent="0.35">
      <c r="A680"/>
      <c r="B680"/>
      <c r="C680"/>
      <c r="D680"/>
      <c r="E680"/>
      <c r="F680"/>
      <c r="G680"/>
      <c r="H680"/>
      <c r="I680"/>
      <c r="J680"/>
      <c r="K680"/>
    </row>
    <row r="681" spans="1:11" ht="12.75" x14ac:dyDescent="0.35">
      <c r="A681"/>
      <c r="B681"/>
      <c r="C681"/>
      <c r="D681"/>
      <c r="E681"/>
      <c r="F681"/>
      <c r="G681"/>
      <c r="H681"/>
      <c r="I681"/>
      <c r="J681"/>
      <c r="K681"/>
    </row>
    <row r="682" spans="1:11" ht="12.75" x14ac:dyDescent="0.35">
      <c r="A682"/>
      <c r="B682"/>
      <c r="C682"/>
      <c r="D682"/>
      <c r="E682"/>
      <c r="F682"/>
      <c r="G682"/>
      <c r="H682"/>
      <c r="I682"/>
      <c r="J682"/>
      <c r="K682"/>
    </row>
    <row r="683" spans="1:11" ht="12.75" x14ac:dyDescent="0.35">
      <c r="A683"/>
      <c r="B683"/>
      <c r="C683"/>
      <c r="D683"/>
      <c r="E683"/>
      <c r="F683"/>
      <c r="G683"/>
      <c r="H683"/>
      <c r="I683"/>
      <c r="J683"/>
      <c r="K683"/>
    </row>
    <row r="684" spans="1:11" ht="12.75" x14ac:dyDescent="0.35">
      <c r="A684"/>
      <c r="B684"/>
      <c r="C684"/>
      <c r="D684"/>
      <c r="E684"/>
      <c r="F684"/>
      <c r="G684"/>
      <c r="H684"/>
      <c r="I684"/>
      <c r="J684"/>
      <c r="K684"/>
    </row>
    <row r="685" spans="1:11" ht="12.75" x14ac:dyDescent="0.35">
      <c r="A685"/>
      <c r="B685"/>
      <c r="C685"/>
      <c r="D685"/>
      <c r="E685"/>
      <c r="F685"/>
      <c r="G685"/>
      <c r="H685"/>
      <c r="I685"/>
      <c r="J685"/>
      <c r="K685"/>
    </row>
    <row r="686" spans="1:11" ht="12.75" x14ac:dyDescent="0.35">
      <c r="A686"/>
      <c r="B686"/>
      <c r="C686"/>
      <c r="D686"/>
      <c r="E686"/>
      <c r="F686"/>
      <c r="G686"/>
      <c r="H686"/>
      <c r="I686"/>
      <c r="J686"/>
      <c r="K686"/>
    </row>
    <row r="687" spans="1:11" ht="12.75" x14ac:dyDescent="0.35">
      <c r="A687"/>
      <c r="B687"/>
      <c r="C687"/>
      <c r="D687"/>
      <c r="E687"/>
      <c r="F687"/>
      <c r="G687"/>
      <c r="H687"/>
      <c r="I687"/>
      <c r="J687"/>
      <c r="K687"/>
    </row>
    <row r="688" spans="1:11" ht="12.75" x14ac:dyDescent="0.35">
      <c r="A688"/>
      <c r="B688"/>
      <c r="C688"/>
      <c r="D688"/>
      <c r="E688"/>
      <c r="F688"/>
      <c r="G688"/>
      <c r="H688"/>
      <c r="I688"/>
      <c r="J688"/>
      <c r="K688"/>
    </row>
    <row r="689" spans="1:11" ht="12.75" x14ac:dyDescent="0.35">
      <c r="A689"/>
      <c r="B689"/>
      <c r="C689"/>
      <c r="D689"/>
      <c r="E689"/>
      <c r="F689"/>
      <c r="G689"/>
      <c r="H689"/>
      <c r="I689"/>
      <c r="J689"/>
      <c r="K689"/>
    </row>
    <row r="690" spans="1:11" ht="12.75" x14ac:dyDescent="0.35">
      <c r="A690"/>
      <c r="B690"/>
      <c r="C690"/>
      <c r="D690"/>
      <c r="E690"/>
      <c r="F690"/>
      <c r="G690"/>
      <c r="H690"/>
      <c r="I690"/>
      <c r="J690"/>
      <c r="K690"/>
    </row>
    <row r="691" spans="1:11" ht="12.75" x14ac:dyDescent="0.35">
      <c r="A691"/>
      <c r="B691"/>
      <c r="C691"/>
      <c r="D691"/>
      <c r="E691"/>
      <c r="F691"/>
      <c r="G691"/>
      <c r="H691"/>
      <c r="I691"/>
      <c r="J691"/>
      <c r="K691"/>
    </row>
    <row r="692" spans="1:11" ht="12.75" x14ac:dyDescent="0.35">
      <c r="A692"/>
      <c r="B692"/>
      <c r="C692"/>
      <c r="D692"/>
      <c r="E692"/>
      <c r="F692"/>
      <c r="G692"/>
      <c r="H692"/>
      <c r="I692"/>
      <c r="J692"/>
      <c r="K692"/>
    </row>
    <row r="693" spans="1:11" ht="12.75" x14ac:dyDescent="0.35">
      <c r="A693"/>
      <c r="B693"/>
      <c r="C693"/>
      <c r="D693"/>
      <c r="E693"/>
      <c r="F693"/>
      <c r="G693"/>
      <c r="H693"/>
      <c r="I693"/>
      <c r="J693"/>
      <c r="K693"/>
    </row>
    <row r="694" spans="1:11" ht="12.75" x14ac:dyDescent="0.35">
      <c r="A694"/>
      <c r="B694"/>
      <c r="C694"/>
      <c r="D694"/>
      <c r="E694"/>
      <c r="F694"/>
      <c r="G694"/>
      <c r="H694"/>
      <c r="I694"/>
      <c r="J694"/>
      <c r="K694"/>
    </row>
    <row r="695" spans="1:11" ht="12.75" x14ac:dyDescent="0.35">
      <c r="A695"/>
      <c r="B695"/>
      <c r="C695"/>
      <c r="D695"/>
      <c r="E695"/>
      <c r="F695"/>
      <c r="G695"/>
      <c r="H695"/>
      <c r="I695"/>
      <c r="J695"/>
      <c r="K695"/>
    </row>
    <row r="696" spans="1:11" ht="12.75" x14ac:dyDescent="0.35">
      <c r="A696"/>
      <c r="B696"/>
      <c r="C696"/>
      <c r="D696"/>
      <c r="E696"/>
      <c r="F696"/>
      <c r="G696"/>
      <c r="H696"/>
      <c r="I696"/>
      <c r="J696"/>
      <c r="K696"/>
    </row>
    <row r="697" spans="1:11" ht="12.75" x14ac:dyDescent="0.35">
      <c r="A697"/>
      <c r="B697"/>
      <c r="C697"/>
      <c r="D697"/>
      <c r="E697"/>
      <c r="F697"/>
      <c r="G697"/>
      <c r="H697"/>
      <c r="I697"/>
      <c r="J697"/>
      <c r="K697"/>
    </row>
    <row r="698" spans="1:11" ht="12.75" x14ac:dyDescent="0.35">
      <c r="A698"/>
      <c r="B698"/>
      <c r="C698"/>
      <c r="D698"/>
      <c r="E698"/>
      <c r="F698"/>
      <c r="G698"/>
      <c r="H698"/>
      <c r="I698"/>
      <c r="J698"/>
      <c r="K698"/>
    </row>
    <row r="699" spans="1:11" ht="12.75" x14ac:dyDescent="0.35">
      <c r="A699"/>
      <c r="B699"/>
      <c r="C699"/>
      <c r="D699"/>
      <c r="E699"/>
      <c r="F699"/>
      <c r="G699"/>
      <c r="H699"/>
      <c r="I699"/>
      <c r="J699"/>
      <c r="K699"/>
    </row>
    <row r="700" spans="1:11" ht="12.75" x14ac:dyDescent="0.35">
      <c r="A700"/>
      <c r="B700"/>
      <c r="C700"/>
      <c r="D700"/>
      <c r="E700"/>
      <c r="F700"/>
      <c r="G700"/>
      <c r="H700"/>
      <c r="I700"/>
      <c r="J700"/>
      <c r="K700"/>
    </row>
    <row r="701" spans="1:11" ht="12.75" x14ac:dyDescent="0.35">
      <c r="A701"/>
      <c r="B701"/>
      <c r="C701"/>
      <c r="D701"/>
      <c r="E701"/>
      <c r="F701"/>
      <c r="G701"/>
      <c r="H701"/>
      <c r="I701"/>
      <c r="J701"/>
      <c r="K701"/>
    </row>
    <row r="702" spans="1:11" ht="12.75" x14ac:dyDescent="0.35">
      <c r="A702"/>
      <c r="B702"/>
      <c r="C702"/>
      <c r="D702"/>
      <c r="E702"/>
      <c r="F702"/>
      <c r="G702"/>
      <c r="H702"/>
      <c r="I702"/>
      <c r="J702"/>
      <c r="K702"/>
    </row>
    <row r="703" spans="1:11" ht="12.75" x14ac:dyDescent="0.35">
      <c r="A703"/>
      <c r="B703"/>
      <c r="C703"/>
      <c r="D703"/>
      <c r="E703"/>
      <c r="F703"/>
      <c r="G703"/>
      <c r="H703"/>
      <c r="I703"/>
      <c r="J703"/>
      <c r="K703"/>
    </row>
    <row r="704" spans="1:11" ht="12.75" x14ac:dyDescent="0.35">
      <c r="A704"/>
      <c r="B704"/>
      <c r="C704"/>
      <c r="D704"/>
      <c r="E704"/>
      <c r="F704"/>
      <c r="G704"/>
      <c r="H704"/>
      <c r="I704"/>
      <c r="J704"/>
      <c r="K704"/>
    </row>
    <row r="705" spans="1:11" ht="12.75" x14ac:dyDescent="0.35">
      <c r="A705"/>
      <c r="B705"/>
      <c r="C705"/>
      <c r="D705"/>
      <c r="E705"/>
      <c r="F705"/>
      <c r="G705"/>
      <c r="H705"/>
      <c r="I705"/>
      <c r="J705"/>
      <c r="K705"/>
    </row>
    <row r="706" spans="1:11" ht="12.75" x14ac:dyDescent="0.35">
      <c r="A706"/>
      <c r="B706"/>
      <c r="C706"/>
      <c r="D706"/>
      <c r="E706"/>
      <c r="F706"/>
      <c r="G706"/>
      <c r="H706"/>
      <c r="I706"/>
      <c r="J706"/>
      <c r="K706"/>
    </row>
    <row r="707" spans="1:11" ht="12.75" x14ac:dyDescent="0.35">
      <c r="A707"/>
      <c r="B707"/>
      <c r="C707"/>
      <c r="D707"/>
      <c r="E707"/>
      <c r="F707"/>
      <c r="G707"/>
      <c r="H707"/>
      <c r="I707"/>
      <c r="J707"/>
      <c r="K707"/>
    </row>
    <row r="708" spans="1:11" ht="12.75" x14ac:dyDescent="0.35">
      <c r="A708"/>
      <c r="B708"/>
      <c r="C708"/>
      <c r="D708"/>
      <c r="E708"/>
      <c r="F708"/>
      <c r="G708"/>
      <c r="H708"/>
      <c r="I708"/>
      <c r="J708"/>
      <c r="K708"/>
    </row>
    <row r="709" spans="1:11" ht="12.75" x14ac:dyDescent="0.35">
      <c r="A709"/>
      <c r="B709"/>
      <c r="C709"/>
      <c r="D709"/>
      <c r="E709"/>
      <c r="F709"/>
      <c r="G709"/>
      <c r="H709"/>
      <c r="I709"/>
      <c r="J709"/>
      <c r="K709"/>
    </row>
    <row r="710" spans="1:11" ht="12.75" x14ac:dyDescent="0.35">
      <c r="A710"/>
      <c r="B710"/>
      <c r="C710"/>
      <c r="D710"/>
      <c r="E710"/>
      <c r="F710"/>
      <c r="G710"/>
      <c r="H710"/>
      <c r="I710"/>
      <c r="J710"/>
      <c r="K710"/>
    </row>
    <row r="711" spans="1:11" ht="12.75" x14ac:dyDescent="0.35">
      <c r="A711"/>
      <c r="B711"/>
      <c r="C711"/>
      <c r="D711"/>
      <c r="E711"/>
      <c r="F711"/>
      <c r="G711"/>
      <c r="H711"/>
      <c r="I711"/>
      <c r="J711"/>
      <c r="K711"/>
    </row>
    <row r="712" spans="1:11" ht="12.75" x14ac:dyDescent="0.35">
      <c r="A712"/>
      <c r="B712"/>
      <c r="C712"/>
      <c r="D712"/>
      <c r="E712"/>
      <c r="F712"/>
      <c r="G712"/>
      <c r="H712"/>
      <c r="I712"/>
      <c r="J712"/>
      <c r="K712"/>
    </row>
    <row r="713" spans="1:11" ht="12.75" x14ac:dyDescent="0.35">
      <c r="A713"/>
      <c r="B713"/>
      <c r="C713"/>
      <c r="D713"/>
      <c r="E713"/>
      <c r="F713"/>
      <c r="G713"/>
      <c r="H713"/>
      <c r="I713"/>
      <c r="J713"/>
      <c r="K713"/>
    </row>
    <row r="714" spans="1:11" ht="12.75" x14ac:dyDescent="0.35">
      <c r="A714"/>
      <c r="B714"/>
      <c r="C714"/>
      <c r="D714"/>
      <c r="E714"/>
      <c r="F714"/>
      <c r="G714"/>
      <c r="H714"/>
      <c r="I714"/>
      <c r="J714"/>
      <c r="K714"/>
    </row>
    <row r="715" spans="1:11" ht="12.75" x14ac:dyDescent="0.35">
      <c r="A715"/>
      <c r="B715"/>
      <c r="C715"/>
      <c r="D715"/>
      <c r="E715"/>
      <c r="F715"/>
      <c r="G715"/>
      <c r="H715"/>
      <c r="I715"/>
      <c r="J715"/>
      <c r="K715"/>
    </row>
    <row r="716" spans="1:11" ht="12.75" x14ac:dyDescent="0.35">
      <c r="A716"/>
      <c r="B716"/>
      <c r="C716"/>
      <c r="D716"/>
      <c r="E716"/>
      <c r="F716"/>
      <c r="G716"/>
      <c r="H716"/>
      <c r="I716"/>
      <c r="J716"/>
      <c r="K716"/>
    </row>
    <row r="717" spans="1:11" ht="12.75" x14ac:dyDescent="0.35">
      <c r="A717"/>
      <c r="B717"/>
      <c r="C717"/>
      <c r="D717"/>
      <c r="E717"/>
      <c r="F717"/>
      <c r="G717"/>
      <c r="H717"/>
      <c r="I717"/>
      <c r="J717"/>
      <c r="K717"/>
    </row>
    <row r="718" spans="1:11" ht="12.75" x14ac:dyDescent="0.35">
      <c r="A718"/>
      <c r="B718"/>
      <c r="C718"/>
      <c r="D718"/>
      <c r="E718"/>
      <c r="F718"/>
      <c r="G718"/>
      <c r="H718"/>
      <c r="I718"/>
      <c r="J718"/>
      <c r="K718"/>
    </row>
    <row r="719" spans="1:11" ht="12.75" x14ac:dyDescent="0.35">
      <c r="A719"/>
      <c r="B719"/>
      <c r="C719"/>
      <c r="D719"/>
      <c r="E719"/>
      <c r="F719"/>
      <c r="G719"/>
      <c r="H719"/>
      <c r="I719"/>
      <c r="J719"/>
      <c r="K719"/>
    </row>
    <row r="720" spans="1:11" ht="12.75" x14ac:dyDescent="0.35">
      <c r="A720"/>
      <c r="B720"/>
      <c r="C720"/>
      <c r="D720"/>
      <c r="E720"/>
      <c r="F720"/>
      <c r="G720"/>
      <c r="H720"/>
      <c r="I720"/>
      <c r="J720"/>
      <c r="K720"/>
    </row>
    <row r="721" spans="1:11" ht="12.75" x14ac:dyDescent="0.35">
      <c r="A721"/>
      <c r="B721"/>
      <c r="C721"/>
      <c r="D721"/>
      <c r="E721"/>
      <c r="F721"/>
      <c r="G721"/>
      <c r="H721"/>
      <c r="I721"/>
      <c r="J721"/>
      <c r="K721"/>
    </row>
    <row r="722" spans="1:11" ht="12.75" x14ac:dyDescent="0.35">
      <c r="A722"/>
      <c r="B722"/>
      <c r="C722"/>
      <c r="D722"/>
      <c r="E722"/>
      <c r="F722"/>
      <c r="G722"/>
      <c r="H722"/>
      <c r="I722"/>
      <c r="J722"/>
      <c r="K722"/>
    </row>
    <row r="723" spans="1:11" ht="12.75" x14ac:dyDescent="0.35">
      <c r="A723"/>
      <c r="B723"/>
      <c r="C723"/>
      <c r="D723"/>
      <c r="E723"/>
      <c r="F723"/>
      <c r="G723"/>
      <c r="H723"/>
      <c r="I723"/>
      <c r="J723"/>
      <c r="K723"/>
    </row>
    <row r="724" spans="1:11" ht="12.75" x14ac:dyDescent="0.35">
      <c r="A724"/>
      <c r="B724"/>
      <c r="C724"/>
      <c r="D724"/>
      <c r="E724"/>
      <c r="F724"/>
      <c r="G724"/>
      <c r="H724"/>
      <c r="I724"/>
      <c r="J724"/>
      <c r="K724"/>
    </row>
    <row r="725" spans="1:11" ht="12.75" x14ac:dyDescent="0.35">
      <c r="A725"/>
      <c r="B725"/>
      <c r="C725"/>
      <c r="D725"/>
      <c r="E725"/>
      <c r="F725"/>
      <c r="G725"/>
      <c r="H725"/>
      <c r="I725"/>
      <c r="J725"/>
      <c r="K725"/>
    </row>
    <row r="726" spans="1:11" ht="12.75" x14ac:dyDescent="0.35">
      <c r="A726"/>
      <c r="B726"/>
      <c r="C726"/>
      <c r="D726"/>
      <c r="E726"/>
      <c r="F726"/>
      <c r="G726"/>
      <c r="H726"/>
      <c r="I726"/>
      <c r="J726"/>
      <c r="K726"/>
    </row>
    <row r="727" spans="1:11" ht="12.75" x14ac:dyDescent="0.35">
      <c r="A727"/>
      <c r="B727"/>
      <c r="C727"/>
      <c r="D727"/>
      <c r="E727"/>
      <c r="F727"/>
      <c r="G727"/>
      <c r="H727"/>
      <c r="I727"/>
      <c r="J727"/>
      <c r="K727"/>
    </row>
    <row r="728" spans="1:11" ht="12.75" x14ac:dyDescent="0.35">
      <c r="A728"/>
      <c r="B728"/>
      <c r="C728"/>
      <c r="D728"/>
      <c r="E728"/>
      <c r="F728"/>
      <c r="G728"/>
      <c r="H728"/>
      <c r="I728"/>
      <c r="J728"/>
      <c r="K728"/>
    </row>
    <row r="729" spans="1:11" ht="12.75" x14ac:dyDescent="0.35">
      <c r="A729"/>
      <c r="B729"/>
      <c r="C729"/>
      <c r="D729"/>
      <c r="E729"/>
      <c r="F729"/>
      <c r="G729"/>
      <c r="H729"/>
      <c r="I729"/>
      <c r="J729"/>
      <c r="K729"/>
    </row>
    <row r="730" spans="1:11" ht="12.75" x14ac:dyDescent="0.35">
      <c r="A730"/>
      <c r="B730"/>
      <c r="C730"/>
      <c r="D730"/>
      <c r="E730"/>
      <c r="F730"/>
      <c r="G730"/>
      <c r="H730"/>
      <c r="I730"/>
      <c r="J730"/>
      <c r="K730"/>
    </row>
    <row r="731" spans="1:11" ht="12.75" x14ac:dyDescent="0.35">
      <c r="A731"/>
      <c r="B731"/>
      <c r="C731"/>
      <c r="D731"/>
      <c r="E731"/>
      <c r="F731"/>
      <c r="G731"/>
      <c r="H731"/>
      <c r="I731"/>
      <c r="J731"/>
      <c r="K731"/>
    </row>
    <row r="732" spans="1:11" ht="12.75" x14ac:dyDescent="0.35">
      <c r="A732"/>
      <c r="B732"/>
      <c r="C732"/>
      <c r="D732"/>
      <c r="E732"/>
      <c r="F732"/>
      <c r="G732"/>
      <c r="H732"/>
      <c r="I732"/>
      <c r="J732"/>
      <c r="K732"/>
    </row>
    <row r="733" spans="1:11" ht="12.75" x14ac:dyDescent="0.35">
      <c r="A733"/>
      <c r="B733"/>
      <c r="C733"/>
      <c r="D733"/>
      <c r="E733"/>
      <c r="F733"/>
      <c r="G733"/>
      <c r="H733"/>
      <c r="I733"/>
      <c r="J733"/>
      <c r="K733"/>
    </row>
    <row r="734" spans="1:11" ht="12.75" x14ac:dyDescent="0.35">
      <c r="A734"/>
      <c r="B734"/>
      <c r="C734"/>
      <c r="D734"/>
      <c r="E734"/>
      <c r="F734"/>
      <c r="G734"/>
      <c r="H734"/>
      <c r="I734"/>
      <c r="J734"/>
      <c r="K734"/>
    </row>
    <row r="735" spans="1:11" ht="12.75" x14ac:dyDescent="0.35">
      <c r="A735"/>
      <c r="B735"/>
      <c r="C735"/>
      <c r="D735"/>
      <c r="E735"/>
      <c r="F735"/>
      <c r="G735"/>
      <c r="H735"/>
      <c r="I735"/>
      <c r="J735"/>
      <c r="K735"/>
    </row>
    <row r="736" spans="1:11" ht="12.75" x14ac:dyDescent="0.35">
      <c r="A736"/>
      <c r="B736"/>
      <c r="C736"/>
      <c r="D736"/>
      <c r="E736"/>
      <c r="F736"/>
      <c r="G736"/>
      <c r="H736"/>
      <c r="I736"/>
      <c r="J736"/>
      <c r="K736"/>
    </row>
    <row r="737" spans="1:11" ht="12.75" x14ac:dyDescent="0.35">
      <c r="A737"/>
      <c r="B737"/>
      <c r="C737"/>
      <c r="D737"/>
      <c r="E737"/>
      <c r="F737"/>
      <c r="G737"/>
      <c r="H737"/>
      <c r="I737"/>
      <c r="J737"/>
      <c r="K737"/>
    </row>
    <row r="738" spans="1:11" ht="12.75" x14ac:dyDescent="0.35">
      <c r="A738"/>
      <c r="B738"/>
      <c r="C738"/>
      <c r="D738"/>
      <c r="E738"/>
      <c r="F738"/>
      <c r="G738"/>
      <c r="H738"/>
      <c r="I738"/>
      <c r="J738"/>
      <c r="K738"/>
    </row>
    <row r="739" spans="1:11" ht="12.75" x14ac:dyDescent="0.35">
      <c r="A739"/>
      <c r="B739"/>
      <c r="C739"/>
      <c r="D739"/>
      <c r="E739"/>
      <c r="F739"/>
      <c r="G739"/>
      <c r="H739"/>
      <c r="I739"/>
      <c r="J739"/>
      <c r="K739"/>
    </row>
    <row r="740" spans="1:11" ht="12.75" x14ac:dyDescent="0.35">
      <c r="A740"/>
      <c r="B740"/>
      <c r="C740"/>
      <c r="D740"/>
      <c r="E740"/>
      <c r="F740"/>
      <c r="G740"/>
      <c r="H740"/>
      <c r="I740"/>
      <c r="J740"/>
      <c r="K740"/>
    </row>
    <row r="741" spans="1:11" ht="12.75" x14ac:dyDescent="0.35">
      <c r="A741"/>
      <c r="B741"/>
      <c r="C741"/>
      <c r="D741"/>
      <c r="E741"/>
      <c r="F741"/>
      <c r="G741"/>
      <c r="H741"/>
      <c r="I741"/>
      <c r="J741"/>
      <c r="K741"/>
    </row>
    <row r="742" spans="1:11" ht="12.75" x14ac:dyDescent="0.35">
      <c r="A742"/>
      <c r="B742"/>
      <c r="C742"/>
      <c r="D742"/>
      <c r="E742"/>
      <c r="F742"/>
      <c r="G742"/>
      <c r="H742"/>
      <c r="I742"/>
      <c r="J742"/>
      <c r="K742"/>
    </row>
    <row r="743" spans="1:11" ht="12.75" x14ac:dyDescent="0.35">
      <c r="A743"/>
      <c r="B743"/>
      <c r="C743"/>
      <c r="D743"/>
      <c r="E743"/>
      <c r="F743"/>
      <c r="G743"/>
      <c r="H743"/>
      <c r="I743"/>
      <c r="J743"/>
      <c r="K743"/>
    </row>
    <row r="744" spans="1:11" ht="12.75" x14ac:dyDescent="0.35">
      <c r="A744"/>
      <c r="B744"/>
      <c r="C744"/>
      <c r="D744"/>
      <c r="E744"/>
      <c r="F744"/>
      <c r="G744"/>
      <c r="H744"/>
      <c r="I744"/>
      <c r="J744"/>
      <c r="K744"/>
    </row>
    <row r="745" spans="1:11" ht="12.75" x14ac:dyDescent="0.35">
      <c r="A745"/>
      <c r="B745"/>
      <c r="C745"/>
      <c r="D745"/>
      <c r="E745"/>
      <c r="F745"/>
      <c r="G745"/>
      <c r="H745"/>
      <c r="I745"/>
      <c r="J745"/>
      <c r="K745"/>
    </row>
    <row r="746" spans="1:11" ht="12.75" x14ac:dyDescent="0.35">
      <c r="A746"/>
      <c r="B746"/>
      <c r="C746"/>
      <c r="D746"/>
      <c r="E746"/>
      <c r="F746"/>
      <c r="G746"/>
      <c r="H746"/>
      <c r="I746"/>
      <c r="J746"/>
      <c r="K746"/>
    </row>
    <row r="747" spans="1:11" ht="12.75" x14ac:dyDescent="0.35">
      <c r="A747"/>
      <c r="B747"/>
      <c r="C747"/>
      <c r="D747"/>
      <c r="E747"/>
      <c r="F747"/>
      <c r="G747"/>
      <c r="H747"/>
      <c r="I747"/>
      <c r="J747"/>
      <c r="K747"/>
    </row>
    <row r="748" spans="1:11" ht="12.75" x14ac:dyDescent="0.35">
      <c r="A748"/>
      <c r="B748"/>
      <c r="C748"/>
      <c r="D748"/>
      <c r="E748"/>
      <c r="F748"/>
      <c r="G748"/>
      <c r="H748"/>
      <c r="I748"/>
      <c r="J748"/>
      <c r="K748"/>
    </row>
    <row r="749" spans="1:11" ht="12.75" x14ac:dyDescent="0.35">
      <c r="A749"/>
      <c r="B749"/>
      <c r="C749"/>
      <c r="D749"/>
      <c r="E749"/>
      <c r="F749"/>
      <c r="G749"/>
      <c r="H749"/>
      <c r="I749"/>
      <c r="J749"/>
      <c r="K749"/>
    </row>
    <row r="750" spans="1:11" ht="12.75" x14ac:dyDescent="0.35">
      <c r="A750"/>
      <c r="B750"/>
      <c r="C750"/>
      <c r="D750"/>
      <c r="E750"/>
      <c r="F750"/>
      <c r="G750"/>
      <c r="H750"/>
      <c r="I750"/>
      <c r="J750"/>
      <c r="K750"/>
    </row>
    <row r="751" spans="1:11" ht="12.75" x14ac:dyDescent="0.35">
      <c r="A751"/>
      <c r="B751"/>
      <c r="C751"/>
      <c r="D751"/>
      <c r="E751"/>
      <c r="F751"/>
      <c r="G751"/>
      <c r="H751"/>
      <c r="I751"/>
      <c r="J751"/>
      <c r="K751"/>
    </row>
    <row r="752" spans="1:11" ht="12.75" x14ac:dyDescent="0.35">
      <c r="A752"/>
      <c r="B752"/>
      <c r="C752"/>
      <c r="D752"/>
      <c r="E752"/>
      <c r="F752"/>
      <c r="G752"/>
      <c r="H752"/>
      <c r="I752"/>
      <c r="J752"/>
      <c r="K752"/>
    </row>
    <row r="753" spans="1:11" ht="12.75" x14ac:dyDescent="0.35">
      <c r="A753"/>
      <c r="B753"/>
      <c r="C753"/>
      <c r="D753"/>
      <c r="E753"/>
      <c r="F753"/>
      <c r="G753"/>
      <c r="H753"/>
      <c r="I753"/>
      <c r="J753"/>
      <c r="K753"/>
    </row>
    <row r="754" spans="1:11" ht="12.75" x14ac:dyDescent="0.35">
      <c r="A754"/>
      <c r="B754"/>
      <c r="C754"/>
      <c r="D754"/>
      <c r="E754"/>
      <c r="F754"/>
      <c r="G754"/>
      <c r="H754"/>
      <c r="I754"/>
      <c r="J754"/>
      <c r="K754"/>
    </row>
    <row r="755" spans="1:11" ht="12.75" x14ac:dyDescent="0.35">
      <c r="A755"/>
      <c r="B755"/>
      <c r="C755"/>
      <c r="D755"/>
      <c r="E755"/>
      <c r="F755"/>
      <c r="G755"/>
      <c r="H755"/>
      <c r="I755"/>
      <c r="J755"/>
      <c r="K755"/>
    </row>
    <row r="756" spans="1:11" ht="12.75" x14ac:dyDescent="0.35">
      <c r="A756"/>
      <c r="B756"/>
      <c r="C756"/>
      <c r="D756"/>
      <c r="E756"/>
      <c r="F756"/>
      <c r="G756"/>
      <c r="H756"/>
      <c r="I756"/>
      <c r="J756"/>
      <c r="K756"/>
    </row>
    <row r="757" spans="1:11" ht="12.75" x14ac:dyDescent="0.35">
      <c r="A757"/>
      <c r="B757"/>
      <c r="C757"/>
      <c r="D757"/>
      <c r="E757"/>
      <c r="F757"/>
      <c r="G757"/>
      <c r="H757"/>
      <c r="I757"/>
      <c r="J757"/>
      <c r="K757"/>
    </row>
    <row r="758" spans="1:11" ht="12.75" x14ac:dyDescent="0.35">
      <c r="A758"/>
      <c r="B758"/>
      <c r="C758"/>
      <c r="D758"/>
      <c r="E758"/>
      <c r="F758"/>
      <c r="G758"/>
      <c r="H758"/>
      <c r="I758"/>
      <c r="J758"/>
      <c r="K758"/>
    </row>
    <row r="759" spans="1:11" ht="12.75" x14ac:dyDescent="0.35">
      <c r="A759"/>
      <c r="B759"/>
      <c r="C759"/>
      <c r="D759"/>
      <c r="E759"/>
      <c r="F759"/>
      <c r="G759"/>
      <c r="H759"/>
      <c r="I759"/>
      <c r="J759"/>
      <c r="K759"/>
    </row>
    <row r="760" spans="1:11" ht="12.75" x14ac:dyDescent="0.35">
      <c r="A760"/>
      <c r="B760"/>
      <c r="C760"/>
      <c r="D760"/>
      <c r="E760"/>
      <c r="F760"/>
      <c r="G760"/>
      <c r="H760"/>
      <c r="I760"/>
      <c r="J760"/>
      <c r="K760"/>
    </row>
    <row r="761" spans="1:11" ht="12.75" x14ac:dyDescent="0.35">
      <c r="A761"/>
      <c r="B761"/>
      <c r="C761"/>
      <c r="D761"/>
      <c r="E761"/>
      <c r="F761"/>
      <c r="G761"/>
      <c r="H761"/>
      <c r="I761"/>
      <c r="J761"/>
      <c r="K761"/>
    </row>
    <row r="762" spans="1:11" ht="12.75" x14ac:dyDescent="0.35">
      <c r="A762"/>
      <c r="B762"/>
      <c r="C762"/>
      <c r="D762"/>
      <c r="E762"/>
      <c r="F762"/>
      <c r="G762"/>
      <c r="H762"/>
      <c r="I762"/>
      <c r="J762"/>
      <c r="K762"/>
    </row>
    <row r="763" spans="1:11" ht="12.75" x14ac:dyDescent="0.35">
      <c r="A763"/>
      <c r="B763"/>
      <c r="C763"/>
      <c r="D763"/>
      <c r="E763"/>
      <c r="F763"/>
      <c r="G763"/>
      <c r="H763"/>
      <c r="I763"/>
      <c r="J763"/>
      <c r="K763"/>
    </row>
    <row r="764" spans="1:11" ht="12.75" x14ac:dyDescent="0.35">
      <c r="A764"/>
      <c r="B764"/>
      <c r="C764"/>
      <c r="D764"/>
      <c r="E764"/>
      <c r="F764"/>
      <c r="G764"/>
      <c r="H764"/>
      <c r="I764"/>
      <c r="J764"/>
      <c r="K764"/>
    </row>
    <row r="765" spans="1:11" ht="12.75" x14ac:dyDescent="0.35">
      <c r="A765"/>
      <c r="B765"/>
      <c r="C765"/>
      <c r="D765"/>
      <c r="E765"/>
      <c r="F765"/>
      <c r="G765"/>
      <c r="H765"/>
      <c r="I765"/>
      <c r="J765"/>
      <c r="K765"/>
    </row>
    <row r="766" spans="1:11" ht="12.75" x14ac:dyDescent="0.35">
      <c r="A766"/>
      <c r="B766"/>
      <c r="C766"/>
      <c r="D766"/>
      <c r="E766"/>
      <c r="F766"/>
      <c r="G766"/>
      <c r="H766"/>
      <c r="I766"/>
      <c r="J766"/>
      <c r="K766"/>
    </row>
    <row r="767" spans="1:11" ht="12.75" x14ac:dyDescent="0.35">
      <c r="A767"/>
      <c r="B767"/>
      <c r="C767"/>
      <c r="D767"/>
      <c r="E767"/>
      <c r="F767"/>
      <c r="G767"/>
      <c r="H767"/>
      <c r="I767"/>
      <c r="J767"/>
      <c r="K767"/>
    </row>
    <row r="768" spans="1:11" ht="12.75" x14ac:dyDescent="0.35">
      <c r="A768"/>
      <c r="B768"/>
      <c r="C768"/>
      <c r="D768"/>
      <c r="E768"/>
      <c r="F768"/>
      <c r="G768"/>
      <c r="H768"/>
      <c r="I768"/>
      <c r="J768"/>
      <c r="K768"/>
    </row>
    <row r="769" spans="1:11" ht="12.75" x14ac:dyDescent="0.35">
      <c r="A769"/>
      <c r="B769"/>
      <c r="C769"/>
      <c r="D769"/>
      <c r="E769"/>
      <c r="F769"/>
      <c r="G769"/>
      <c r="H769"/>
      <c r="I769"/>
      <c r="J769"/>
      <c r="K769"/>
    </row>
    <row r="770" spans="1:11" ht="12.75" x14ac:dyDescent="0.35">
      <c r="A770"/>
      <c r="B770"/>
      <c r="C770"/>
      <c r="D770"/>
      <c r="E770"/>
      <c r="F770"/>
      <c r="G770"/>
      <c r="H770"/>
      <c r="I770"/>
      <c r="J770"/>
      <c r="K770"/>
    </row>
    <row r="771" spans="1:11" ht="12.75" x14ac:dyDescent="0.35">
      <c r="A771"/>
      <c r="B771"/>
      <c r="C771"/>
      <c r="D771"/>
      <c r="E771"/>
      <c r="F771"/>
      <c r="G771"/>
      <c r="H771"/>
      <c r="I771"/>
      <c r="J771"/>
      <c r="K771"/>
    </row>
    <row r="772" spans="1:11" ht="12.75" x14ac:dyDescent="0.35">
      <c r="A772"/>
      <c r="B772"/>
      <c r="C772"/>
      <c r="D772"/>
      <c r="E772"/>
      <c r="F772"/>
      <c r="G772"/>
      <c r="H772"/>
      <c r="I772"/>
      <c r="J772"/>
      <c r="K772"/>
    </row>
    <row r="773" spans="1:11" ht="12.75" x14ac:dyDescent="0.35">
      <c r="A773"/>
      <c r="B773"/>
      <c r="C773"/>
      <c r="D773"/>
      <c r="E773"/>
      <c r="F773"/>
      <c r="G773"/>
      <c r="H773"/>
      <c r="I773"/>
      <c r="J773"/>
      <c r="K773"/>
    </row>
    <row r="774" spans="1:11" ht="12.75" x14ac:dyDescent="0.35">
      <c r="A774"/>
      <c r="B774"/>
      <c r="C774"/>
      <c r="D774"/>
      <c r="E774"/>
      <c r="F774"/>
      <c r="G774"/>
      <c r="H774"/>
      <c r="I774"/>
      <c r="J774"/>
      <c r="K774"/>
    </row>
    <row r="775" spans="1:11" ht="12.75" x14ac:dyDescent="0.35">
      <c r="A775"/>
      <c r="B775"/>
      <c r="C775"/>
      <c r="D775"/>
      <c r="E775"/>
      <c r="F775"/>
      <c r="G775"/>
      <c r="H775"/>
      <c r="I775"/>
      <c r="J775"/>
      <c r="K775"/>
    </row>
    <row r="776" spans="1:11" ht="12.75" x14ac:dyDescent="0.35">
      <c r="A776"/>
      <c r="B776"/>
      <c r="C776"/>
      <c r="D776"/>
      <c r="E776"/>
      <c r="F776"/>
      <c r="G776"/>
      <c r="H776"/>
      <c r="I776"/>
      <c r="J776"/>
      <c r="K776"/>
    </row>
    <row r="777" spans="1:11" ht="12.75" x14ac:dyDescent="0.35">
      <c r="A777"/>
      <c r="B777"/>
      <c r="C777"/>
      <c r="D777"/>
      <c r="E777"/>
      <c r="F777"/>
      <c r="G777"/>
      <c r="H777"/>
      <c r="I777"/>
      <c r="J777"/>
      <c r="K777"/>
    </row>
    <row r="778" spans="1:11" ht="12.75" x14ac:dyDescent="0.35">
      <c r="A778"/>
      <c r="B778"/>
      <c r="C778"/>
      <c r="D778"/>
      <c r="E778"/>
      <c r="F778"/>
      <c r="G778"/>
      <c r="H778"/>
      <c r="I778"/>
      <c r="J778"/>
      <c r="K778"/>
    </row>
    <row r="779" spans="1:11" ht="12.75" x14ac:dyDescent="0.35">
      <c r="A779"/>
      <c r="B779"/>
      <c r="C779"/>
      <c r="D779"/>
      <c r="E779"/>
      <c r="F779"/>
      <c r="G779"/>
      <c r="H779"/>
      <c r="I779"/>
      <c r="J779"/>
      <c r="K779"/>
    </row>
    <row r="780" spans="1:11" ht="12.75" x14ac:dyDescent="0.35">
      <c r="A780"/>
      <c r="B780"/>
      <c r="C780"/>
      <c r="D780"/>
      <c r="E780"/>
      <c r="F780"/>
      <c r="G780"/>
      <c r="H780"/>
      <c r="I780"/>
      <c r="J780"/>
      <c r="K780"/>
    </row>
    <row r="781" spans="1:11" ht="12.75" x14ac:dyDescent="0.35">
      <c r="A781"/>
      <c r="B781"/>
      <c r="C781"/>
      <c r="D781"/>
      <c r="E781"/>
      <c r="F781"/>
      <c r="G781"/>
      <c r="H781"/>
      <c r="I781"/>
      <c r="J781"/>
      <c r="K781"/>
    </row>
    <row r="782" spans="1:11" ht="12.75" x14ac:dyDescent="0.35">
      <c r="A782"/>
      <c r="B782"/>
      <c r="C782"/>
      <c r="D782"/>
      <c r="E782"/>
      <c r="F782"/>
      <c r="G782"/>
      <c r="H782"/>
      <c r="I782"/>
      <c r="J782"/>
      <c r="K782"/>
    </row>
    <row r="783" spans="1:11" ht="12.75" x14ac:dyDescent="0.35">
      <c r="A783"/>
      <c r="B783"/>
      <c r="C783"/>
      <c r="D783"/>
      <c r="E783"/>
      <c r="F783"/>
      <c r="G783"/>
      <c r="H783"/>
      <c r="I783"/>
      <c r="J783"/>
      <c r="K783"/>
    </row>
    <row r="784" spans="1:11" ht="12.75" x14ac:dyDescent="0.35">
      <c r="A784"/>
      <c r="B784"/>
      <c r="C784"/>
      <c r="D784"/>
      <c r="E784"/>
      <c r="F784"/>
      <c r="G784"/>
      <c r="H784"/>
      <c r="I784"/>
      <c r="J784"/>
      <c r="K784"/>
    </row>
    <row r="785" spans="1:11" ht="12.75" x14ac:dyDescent="0.35">
      <c r="A785"/>
      <c r="B785"/>
      <c r="C785"/>
      <c r="D785"/>
      <c r="E785"/>
      <c r="F785"/>
      <c r="G785"/>
      <c r="H785"/>
      <c r="I785"/>
      <c r="J785"/>
      <c r="K785"/>
    </row>
    <row r="786" spans="1:11" ht="12.75" x14ac:dyDescent="0.35">
      <c r="A786"/>
      <c r="B786"/>
      <c r="C786"/>
      <c r="D786"/>
      <c r="E786"/>
      <c r="F786"/>
      <c r="G786"/>
      <c r="H786"/>
      <c r="I786"/>
      <c r="J786"/>
      <c r="K786"/>
    </row>
    <row r="787" spans="1:11" ht="12.75" x14ac:dyDescent="0.35">
      <c r="A787"/>
      <c r="B787"/>
      <c r="C787"/>
      <c r="D787"/>
      <c r="E787"/>
      <c r="F787"/>
      <c r="G787"/>
      <c r="H787"/>
      <c r="I787"/>
      <c r="J787"/>
      <c r="K787"/>
    </row>
    <row r="788" spans="1:11" ht="12.75" x14ac:dyDescent="0.35">
      <c r="A788"/>
      <c r="B788"/>
      <c r="C788"/>
      <c r="D788"/>
      <c r="E788"/>
      <c r="F788"/>
      <c r="G788"/>
      <c r="H788"/>
      <c r="I788"/>
      <c r="J788"/>
      <c r="K788"/>
    </row>
    <row r="789" spans="1:11" ht="12.75" x14ac:dyDescent="0.35">
      <c r="A789"/>
      <c r="B789"/>
      <c r="C789"/>
      <c r="D789"/>
      <c r="E789"/>
      <c r="F789"/>
      <c r="G789"/>
      <c r="H789"/>
      <c r="I789"/>
      <c r="J789"/>
      <c r="K789"/>
    </row>
    <row r="790" spans="1:11" ht="12.75" x14ac:dyDescent="0.35">
      <c r="A790"/>
      <c r="B790"/>
      <c r="C790"/>
      <c r="D790"/>
      <c r="E790"/>
      <c r="F790"/>
      <c r="G790"/>
      <c r="H790"/>
      <c r="I790"/>
      <c r="J790"/>
      <c r="K790"/>
    </row>
    <row r="791" spans="1:11" ht="12.75" x14ac:dyDescent="0.35">
      <c r="A791"/>
      <c r="B791"/>
      <c r="C791"/>
      <c r="D791"/>
      <c r="E791"/>
      <c r="F791"/>
      <c r="G791"/>
      <c r="H791"/>
      <c r="I791"/>
      <c r="J791"/>
      <c r="K791"/>
    </row>
    <row r="792" spans="1:11" ht="12.75" x14ac:dyDescent="0.35">
      <c r="A792"/>
      <c r="B792"/>
      <c r="C792"/>
      <c r="D792"/>
      <c r="E792"/>
      <c r="F792"/>
      <c r="G792"/>
      <c r="H792"/>
      <c r="I792"/>
      <c r="J792"/>
      <c r="K792"/>
    </row>
    <row r="793" spans="1:11" ht="12.75" x14ac:dyDescent="0.35">
      <c r="A793"/>
      <c r="B793"/>
      <c r="C793"/>
      <c r="D793"/>
      <c r="E793"/>
      <c r="F793"/>
      <c r="G793"/>
      <c r="H793"/>
      <c r="I793"/>
      <c r="J793"/>
      <c r="K793"/>
    </row>
    <row r="794" spans="1:11" ht="12.75" x14ac:dyDescent="0.35">
      <c r="A794"/>
      <c r="B794"/>
      <c r="C794"/>
      <c r="D794"/>
      <c r="E794"/>
      <c r="F794"/>
      <c r="G794"/>
      <c r="H794"/>
      <c r="I794"/>
      <c r="J794"/>
      <c r="K794"/>
    </row>
    <row r="795" spans="1:11" ht="12.75" x14ac:dyDescent="0.35">
      <c r="A795"/>
      <c r="B795"/>
      <c r="C795"/>
      <c r="D795"/>
      <c r="E795"/>
      <c r="F795"/>
      <c r="G795"/>
      <c r="H795"/>
      <c r="I795"/>
      <c r="J795"/>
      <c r="K795"/>
    </row>
    <row r="796" spans="1:11" ht="12.75" x14ac:dyDescent="0.35">
      <c r="A796"/>
      <c r="B796"/>
      <c r="C796"/>
      <c r="D796"/>
      <c r="E796"/>
      <c r="F796"/>
      <c r="G796"/>
      <c r="H796"/>
      <c r="I796"/>
      <c r="J796"/>
      <c r="K796"/>
    </row>
    <row r="797" spans="1:11" ht="12.75" x14ac:dyDescent="0.35">
      <c r="A797"/>
      <c r="B797"/>
      <c r="C797"/>
      <c r="D797"/>
      <c r="E797"/>
      <c r="F797"/>
      <c r="G797"/>
      <c r="H797"/>
      <c r="I797"/>
      <c r="J797"/>
      <c r="K797"/>
    </row>
    <row r="798" spans="1:11" ht="12.75" x14ac:dyDescent="0.35">
      <c r="A798"/>
      <c r="B798"/>
      <c r="C798"/>
      <c r="D798"/>
      <c r="E798"/>
      <c r="F798"/>
      <c r="G798"/>
      <c r="H798"/>
      <c r="I798"/>
      <c r="J798"/>
      <c r="K798"/>
    </row>
    <row r="799" spans="1:11" ht="12.75" x14ac:dyDescent="0.35">
      <c r="A799"/>
      <c r="B799"/>
      <c r="C799"/>
      <c r="D799"/>
      <c r="E799"/>
      <c r="F799"/>
      <c r="G799"/>
      <c r="H799"/>
      <c r="I799"/>
      <c r="J799"/>
      <c r="K799"/>
    </row>
    <row r="800" spans="1:11" ht="12.75" x14ac:dyDescent="0.35">
      <c r="A800"/>
      <c r="B800"/>
      <c r="C800"/>
      <c r="D800"/>
      <c r="E800"/>
      <c r="F800"/>
      <c r="G800"/>
      <c r="H800"/>
      <c r="I800"/>
      <c r="J800"/>
      <c r="K800"/>
    </row>
    <row r="801" spans="1:11" ht="12.75" x14ac:dyDescent="0.35">
      <c r="A801"/>
      <c r="B801"/>
      <c r="C801"/>
      <c r="D801"/>
      <c r="E801"/>
      <c r="F801"/>
      <c r="G801"/>
      <c r="H801"/>
      <c r="I801"/>
      <c r="J801"/>
      <c r="K801"/>
    </row>
    <row r="802" spans="1:11" ht="12.75" x14ac:dyDescent="0.35">
      <c r="A802"/>
      <c r="B802"/>
      <c r="C802"/>
      <c r="D802"/>
      <c r="E802"/>
      <c r="F802"/>
      <c r="G802"/>
      <c r="H802"/>
      <c r="I802"/>
      <c r="J802"/>
      <c r="K802"/>
    </row>
    <row r="803" spans="1:11" ht="12.75" x14ac:dyDescent="0.35">
      <c r="A803"/>
      <c r="B803"/>
      <c r="C803"/>
      <c r="D803"/>
      <c r="E803"/>
      <c r="F803"/>
      <c r="G803"/>
      <c r="H803"/>
      <c r="I803"/>
      <c r="J803"/>
      <c r="K803"/>
    </row>
    <row r="804" spans="1:11" ht="12.75" x14ac:dyDescent="0.35">
      <c r="A804"/>
      <c r="B804"/>
      <c r="C804"/>
      <c r="D804"/>
      <c r="E804"/>
      <c r="F804"/>
      <c r="G804"/>
      <c r="H804"/>
      <c r="I804"/>
      <c r="J804"/>
      <c r="K804"/>
    </row>
    <row r="805" spans="1:11" ht="12.75" x14ac:dyDescent="0.35">
      <c r="A805"/>
      <c r="B805"/>
      <c r="C805"/>
      <c r="D805"/>
      <c r="E805"/>
      <c r="F805"/>
      <c r="G805"/>
      <c r="H805"/>
      <c r="I805"/>
      <c r="J805"/>
      <c r="K805"/>
    </row>
    <row r="806" spans="1:11" ht="12.75" x14ac:dyDescent="0.35">
      <c r="A806"/>
      <c r="B806"/>
      <c r="C806"/>
      <c r="D806"/>
      <c r="E806"/>
      <c r="F806"/>
      <c r="G806"/>
      <c r="H806"/>
      <c r="I806"/>
      <c r="J806"/>
      <c r="K806"/>
    </row>
    <row r="807" spans="1:11" ht="12.75" x14ac:dyDescent="0.35">
      <c r="A807"/>
      <c r="B807"/>
      <c r="C807"/>
      <c r="D807"/>
      <c r="E807"/>
      <c r="F807"/>
      <c r="G807"/>
      <c r="H807"/>
      <c r="I807"/>
      <c r="J807"/>
      <c r="K807"/>
    </row>
    <row r="808" spans="1:11" ht="12.75" x14ac:dyDescent="0.35">
      <c r="A808"/>
      <c r="B808"/>
      <c r="C808"/>
      <c r="D808"/>
      <c r="E808"/>
      <c r="F808"/>
      <c r="G808"/>
      <c r="H808"/>
      <c r="I808"/>
      <c r="J808"/>
      <c r="K808"/>
    </row>
    <row r="809" spans="1:11" ht="12.75" x14ac:dyDescent="0.35">
      <c r="A809"/>
      <c r="B809"/>
      <c r="C809"/>
      <c r="D809"/>
      <c r="E809"/>
      <c r="F809"/>
      <c r="G809"/>
      <c r="H809"/>
      <c r="I809"/>
      <c r="J809"/>
      <c r="K809"/>
    </row>
    <row r="810" spans="1:11" ht="12.75" x14ac:dyDescent="0.35">
      <c r="A810"/>
      <c r="B810"/>
      <c r="C810"/>
      <c r="D810"/>
      <c r="E810"/>
      <c r="F810"/>
      <c r="G810"/>
      <c r="H810"/>
      <c r="I810"/>
      <c r="J810"/>
      <c r="K810"/>
    </row>
    <row r="811" spans="1:11" ht="12.75" x14ac:dyDescent="0.35">
      <c r="A811"/>
      <c r="B811"/>
      <c r="C811"/>
      <c r="D811"/>
      <c r="E811"/>
      <c r="F811"/>
      <c r="G811"/>
      <c r="H811"/>
      <c r="I811"/>
      <c r="J811"/>
      <c r="K811"/>
    </row>
    <row r="812" spans="1:11" ht="12.75" x14ac:dyDescent="0.35">
      <c r="A812"/>
      <c r="B812"/>
      <c r="C812"/>
      <c r="D812"/>
      <c r="E812"/>
      <c r="F812"/>
      <c r="G812"/>
      <c r="H812"/>
      <c r="I812"/>
      <c r="J812"/>
      <c r="K812"/>
    </row>
    <row r="813" spans="1:11" ht="12.75" x14ac:dyDescent="0.35">
      <c r="A813"/>
      <c r="B813"/>
      <c r="C813"/>
      <c r="D813"/>
      <c r="E813"/>
      <c r="F813"/>
      <c r="G813"/>
      <c r="H813"/>
      <c r="I813"/>
      <c r="J813"/>
      <c r="K813"/>
    </row>
    <row r="814" spans="1:11" ht="12.75" x14ac:dyDescent="0.35">
      <c r="A814"/>
      <c r="B814"/>
      <c r="C814"/>
      <c r="D814"/>
      <c r="E814"/>
      <c r="F814"/>
      <c r="G814"/>
      <c r="H814"/>
      <c r="I814"/>
      <c r="J814"/>
      <c r="K814"/>
    </row>
    <row r="815" spans="1:11" ht="12.75" x14ac:dyDescent="0.35">
      <c r="A815"/>
      <c r="B815"/>
      <c r="C815"/>
      <c r="D815"/>
      <c r="E815"/>
      <c r="F815"/>
      <c r="G815"/>
      <c r="H815"/>
      <c r="I815"/>
      <c r="J815"/>
      <c r="K815"/>
    </row>
    <row r="816" spans="1:11" ht="12.75" x14ac:dyDescent="0.35">
      <c r="A816"/>
      <c r="B816"/>
      <c r="C816"/>
      <c r="D816"/>
      <c r="E816"/>
      <c r="F816"/>
      <c r="G816"/>
      <c r="H816"/>
      <c r="I816"/>
      <c r="J816"/>
      <c r="K816"/>
    </row>
    <row r="817" spans="1:11" ht="12.75" x14ac:dyDescent="0.35">
      <c r="A817"/>
      <c r="B817"/>
      <c r="C817"/>
      <c r="D817"/>
      <c r="E817"/>
      <c r="F817"/>
      <c r="G817"/>
      <c r="H817"/>
      <c r="I817"/>
      <c r="J817"/>
      <c r="K817"/>
    </row>
    <row r="818" spans="1:11" ht="12.75" x14ac:dyDescent="0.35">
      <c r="A818"/>
      <c r="B818"/>
      <c r="C818"/>
      <c r="D818"/>
      <c r="E818"/>
      <c r="F818"/>
      <c r="G818"/>
      <c r="H818"/>
      <c r="I818"/>
      <c r="J818"/>
      <c r="K818"/>
    </row>
    <row r="819" spans="1:11" ht="12.75" x14ac:dyDescent="0.35">
      <c r="A819"/>
      <c r="B819"/>
      <c r="C819"/>
      <c r="D819"/>
      <c r="E819"/>
      <c r="F819"/>
      <c r="G819"/>
      <c r="H819"/>
      <c r="I819"/>
      <c r="J819"/>
      <c r="K819"/>
    </row>
    <row r="820" spans="1:11" ht="12.75" x14ac:dyDescent="0.35">
      <c r="A820"/>
      <c r="B820"/>
      <c r="C820"/>
      <c r="D820"/>
      <c r="E820"/>
      <c r="F820"/>
      <c r="G820"/>
      <c r="H820"/>
      <c r="I820"/>
      <c r="J820"/>
      <c r="K820"/>
    </row>
    <row r="821" spans="1:11" ht="12.75" x14ac:dyDescent="0.35">
      <c r="A821"/>
      <c r="B821"/>
      <c r="C821"/>
      <c r="D821"/>
      <c r="E821"/>
      <c r="F821"/>
      <c r="G821"/>
      <c r="H821"/>
      <c r="I821"/>
      <c r="J821"/>
      <c r="K821"/>
    </row>
    <row r="822" spans="1:11" ht="12.75" x14ac:dyDescent="0.35">
      <c r="A822"/>
      <c r="B822"/>
      <c r="C822"/>
      <c r="D822"/>
      <c r="E822"/>
      <c r="F822"/>
      <c r="G822"/>
      <c r="H822"/>
      <c r="I822"/>
      <c r="J822"/>
      <c r="K822"/>
    </row>
    <row r="823" spans="1:11" ht="12.75" x14ac:dyDescent="0.35">
      <c r="A823"/>
      <c r="B823"/>
      <c r="C823"/>
      <c r="D823"/>
      <c r="E823"/>
      <c r="F823"/>
      <c r="G823"/>
      <c r="H823"/>
      <c r="I823"/>
      <c r="J823"/>
      <c r="K823"/>
    </row>
    <row r="824" spans="1:11" ht="12.75" x14ac:dyDescent="0.35">
      <c r="A824"/>
      <c r="B824"/>
      <c r="C824"/>
      <c r="D824"/>
      <c r="E824"/>
      <c r="F824"/>
      <c r="G824"/>
      <c r="H824"/>
      <c r="I824"/>
      <c r="J824"/>
      <c r="K824"/>
    </row>
    <row r="825" spans="1:11" ht="12.75" x14ac:dyDescent="0.35">
      <c r="A825"/>
      <c r="B825"/>
      <c r="C825"/>
      <c r="D825"/>
      <c r="E825"/>
      <c r="F825"/>
      <c r="G825"/>
      <c r="H825"/>
      <c r="I825"/>
      <c r="J825"/>
      <c r="K825"/>
    </row>
    <row r="826" spans="1:11" ht="12.75" x14ac:dyDescent="0.35">
      <c r="A826"/>
      <c r="B826"/>
      <c r="C826"/>
      <c r="D826"/>
      <c r="E826"/>
      <c r="F826"/>
      <c r="G826"/>
      <c r="H826"/>
      <c r="I826"/>
      <c r="J826"/>
      <c r="K826"/>
    </row>
    <row r="827" spans="1:11" ht="12.75" x14ac:dyDescent="0.35">
      <c r="A827"/>
      <c r="B827"/>
      <c r="C827"/>
      <c r="D827"/>
      <c r="E827"/>
      <c r="F827"/>
      <c r="G827"/>
      <c r="H827"/>
      <c r="I827"/>
      <c r="J827"/>
      <c r="K827"/>
    </row>
    <row r="828" spans="1:11" ht="12.75" x14ac:dyDescent="0.35">
      <c r="A828"/>
      <c r="B828"/>
      <c r="C828"/>
      <c r="D828"/>
      <c r="E828"/>
      <c r="F828"/>
      <c r="G828"/>
      <c r="H828"/>
      <c r="I828"/>
      <c r="J828"/>
      <c r="K828"/>
    </row>
    <row r="829" spans="1:11" ht="12.75" x14ac:dyDescent="0.35">
      <c r="A829"/>
      <c r="B829"/>
      <c r="C829"/>
      <c r="D829"/>
      <c r="E829"/>
      <c r="F829"/>
      <c r="G829"/>
      <c r="H829"/>
      <c r="I829"/>
      <c r="J829"/>
      <c r="K829"/>
    </row>
    <row r="830" spans="1:11" ht="12.75" x14ac:dyDescent="0.35">
      <c r="A830"/>
      <c r="B830"/>
      <c r="C830"/>
      <c r="D830"/>
      <c r="E830"/>
      <c r="F830"/>
      <c r="G830"/>
      <c r="H830"/>
      <c r="I830"/>
      <c r="J830"/>
      <c r="K830"/>
    </row>
    <row r="831" spans="1:11" ht="12.75" x14ac:dyDescent="0.35">
      <c r="A831"/>
      <c r="B831"/>
      <c r="C831"/>
      <c r="D831"/>
      <c r="E831"/>
      <c r="F831"/>
      <c r="G831"/>
      <c r="H831"/>
      <c r="I831"/>
      <c r="J831"/>
      <c r="K831"/>
    </row>
    <row r="832" spans="1:11" ht="12.75" x14ac:dyDescent="0.35">
      <c r="A832"/>
      <c r="B832"/>
      <c r="C832"/>
      <c r="D832"/>
      <c r="E832"/>
      <c r="F832"/>
      <c r="G832"/>
      <c r="H832"/>
      <c r="I832"/>
      <c r="J832"/>
      <c r="K832"/>
    </row>
    <row r="833" spans="1:11" ht="12.75" x14ac:dyDescent="0.35">
      <c r="A833"/>
      <c r="B833"/>
      <c r="C833"/>
      <c r="D833"/>
      <c r="E833"/>
      <c r="F833"/>
      <c r="G833"/>
      <c r="H833"/>
      <c r="I833"/>
      <c r="J833"/>
      <c r="K833"/>
    </row>
    <row r="834" spans="1:11" ht="12.75" x14ac:dyDescent="0.35">
      <c r="A834"/>
      <c r="B834"/>
      <c r="C834"/>
      <c r="D834"/>
      <c r="E834"/>
      <c r="F834"/>
      <c r="G834"/>
      <c r="H834"/>
      <c r="I834"/>
      <c r="J834"/>
      <c r="K834"/>
    </row>
    <row r="835" spans="1:11" ht="12.75" x14ac:dyDescent="0.35">
      <c r="A835"/>
      <c r="B835"/>
      <c r="C835"/>
      <c r="D835"/>
      <c r="E835"/>
      <c r="F835"/>
      <c r="G835"/>
      <c r="H835"/>
      <c r="I835"/>
      <c r="J835"/>
      <c r="K835"/>
    </row>
    <row r="836" spans="1:11" ht="12.75" x14ac:dyDescent="0.35">
      <c r="A836"/>
      <c r="B836"/>
      <c r="C836"/>
      <c r="D836"/>
      <c r="E836"/>
      <c r="F836"/>
      <c r="G836"/>
      <c r="H836"/>
      <c r="I836"/>
      <c r="J836"/>
      <c r="K836"/>
    </row>
    <row r="837" spans="1:11" ht="12.75" x14ac:dyDescent="0.35">
      <c r="A837"/>
      <c r="B837"/>
      <c r="C837"/>
      <c r="D837"/>
      <c r="E837"/>
      <c r="F837"/>
      <c r="G837"/>
      <c r="H837"/>
      <c r="I837"/>
      <c r="J837"/>
      <c r="K837"/>
    </row>
    <row r="838" spans="1:11" ht="12.75" x14ac:dyDescent="0.35">
      <c r="A838"/>
      <c r="B838"/>
      <c r="C838"/>
      <c r="D838"/>
      <c r="E838"/>
      <c r="F838"/>
      <c r="G838"/>
      <c r="H838"/>
      <c r="I838"/>
      <c r="J838"/>
      <c r="K838"/>
    </row>
    <row r="839" spans="1:11" ht="12.75" x14ac:dyDescent="0.35">
      <c r="A839"/>
      <c r="B839"/>
      <c r="C839"/>
      <c r="D839"/>
      <c r="E839"/>
      <c r="F839"/>
      <c r="G839"/>
      <c r="H839"/>
      <c r="I839"/>
      <c r="J839"/>
      <c r="K839"/>
    </row>
    <row r="840" spans="1:11" ht="12.75" x14ac:dyDescent="0.35">
      <c r="A840"/>
      <c r="B840"/>
      <c r="C840"/>
      <c r="D840"/>
      <c r="E840"/>
      <c r="F840"/>
      <c r="G840"/>
      <c r="H840"/>
      <c r="I840"/>
      <c r="J840"/>
      <c r="K840"/>
    </row>
    <row r="841" spans="1:11" ht="12.75" x14ac:dyDescent="0.35">
      <c r="A841"/>
      <c r="B841"/>
      <c r="C841"/>
      <c r="D841"/>
      <c r="E841"/>
      <c r="F841"/>
      <c r="G841"/>
      <c r="H841"/>
      <c r="I841"/>
      <c r="J841"/>
      <c r="K841"/>
    </row>
    <row r="842" spans="1:11" ht="12.75" x14ac:dyDescent="0.35">
      <c r="A842"/>
      <c r="B842"/>
      <c r="C842"/>
      <c r="D842"/>
      <c r="E842"/>
      <c r="F842"/>
      <c r="G842"/>
      <c r="H842"/>
      <c r="I842"/>
      <c r="J842"/>
      <c r="K842"/>
    </row>
    <row r="843" spans="1:11" ht="12.75" x14ac:dyDescent="0.35">
      <c r="A843"/>
      <c r="B843"/>
      <c r="C843"/>
      <c r="D843"/>
      <c r="E843"/>
      <c r="F843"/>
      <c r="G843"/>
      <c r="H843"/>
      <c r="I843"/>
      <c r="J843"/>
      <c r="K843"/>
    </row>
    <row r="844" spans="1:11" ht="12.75" x14ac:dyDescent="0.35">
      <c r="A844"/>
      <c r="B844"/>
      <c r="C844"/>
      <c r="D844"/>
      <c r="E844"/>
      <c r="F844"/>
      <c r="G844"/>
      <c r="H844"/>
      <c r="I844"/>
      <c r="J844"/>
      <c r="K844"/>
    </row>
    <row r="845" spans="1:11" ht="12.75" x14ac:dyDescent="0.35">
      <c r="A845"/>
      <c r="B845"/>
      <c r="C845"/>
      <c r="D845"/>
      <c r="E845"/>
      <c r="F845"/>
      <c r="G845"/>
      <c r="H845"/>
      <c r="I845"/>
      <c r="J845"/>
      <c r="K845"/>
    </row>
    <row r="846" spans="1:11" ht="12.75" x14ac:dyDescent="0.35">
      <c r="A846"/>
      <c r="B846"/>
      <c r="C846"/>
      <c r="D846"/>
      <c r="E846"/>
      <c r="F846"/>
      <c r="G846"/>
      <c r="H846"/>
      <c r="I846"/>
      <c r="J846"/>
      <c r="K846"/>
    </row>
    <row r="847" spans="1:11" ht="12.75" x14ac:dyDescent="0.35">
      <c r="A847"/>
      <c r="B847"/>
      <c r="C847"/>
      <c r="D847"/>
      <c r="E847"/>
      <c r="F847"/>
      <c r="G847"/>
      <c r="H847"/>
      <c r="I847"/>
      <c r="J847"/>
      <c r="K847"/>
    </row>
    <row r="848" spans="1:11" ht="12.75" x14ac:dyDescent="0.35">
      <c r="A848"/>
      <c r="B848"/>
      <c r="C848"/>
      <c r="D848"/>
      <c r="E848"/>
      <c r="F848"/>
      <c r="G848"/>
      <c r="H848"/>
      <c r="I848"/>
      <c r="J848"/>
      <c r="K848"/>
    </row>
    <row r="849" spans="1:11" ht="12.75" x14ac:dyDescent="0.35">
      <c r="A849"/>
      <c r="B849"/>
      <c r="C849"/>
      <c r="D849"/>
      <c r="E849"/>
      <c r="F849"/>
      <c r="G849"/>
      <c r="H849"/>
      <c r="I849"/>
      <c r="J849"/>
      <c r="K849"/>
    </row>
    <row r="850" spans="1:11" ht="12.75" x14ac:dyDescent="0.35">
      <c r="A850"/>
      <c r="B850"/>
      <c r="C850"/>
      <c r="D850"/>
      <c r="E850"/>
      <c r="F850"/>
      <c r="G850"/>
      <c r="H850"/>
      <c r="I850"/>
      <c r="J850"/>
      <c r="K850"/>
    </row>
    <row r="851" spans="1:11" ht="12.75" x14ac:dyDescent="0.35">
      <c r="A851"/>
      <c r="B851"/>
      <c r="C851"/>
      <c r="D851"/>
      <c r="E851"/>
      <c r="F851"/>
      <c r="G851"/>
      <c r="H851"/>
      <c r="I851"/>
      <c r="J851"/>
      <c r="K851"/>
    </row>
    <row r="852" spans="1:11" ht="12.75" x14ac:dyDescent="0.35">
      <c r="A852"/>
      <c r="B852"/>
      <c r="C852"/>
      <c r="D852"/>
      <c r="E852"/>
      <c r="F852"/>
      <c r="G852"/>
      <c r="H852"/>
      <c r="I852"/>
      <c r="J852"/>
      <c r="K852"/>
    </row>
    <row r="853" spans="1:11" ht="12.75" x14ac:dyDescent="0.35">
      <c r="A853"/>
      <c r="B853"/>
      <c r="C853"/>
      <c r="D853"/>
      <c r="E853"/>
      <c r="F853"/>
      <c r="G853"/>
      <c r="H853"/>
      <c r="I853"/>
      <c r="J853"/>
      <c r="K853"/>
    </row>
    <row r="854" spans="1:11" ht="12.75" x14ac:dyDescent="0.35">
      <c r="A854"/>
      <c r="B854"/>
      <c r="C854"/>
      <c r="D854"/>
      <c r="E854"/>
      <c r="F854"/>
      <c r="G854"/>
      <c r="H854"/>
      <c r="I854"/>
      <c r="J854"/>
      <c r="K854"/>
    </row>
    <row r="855" spans="1:11" ht="12.75" x14ac:dyDescent="0.35">
      <c r="A855"/>
      <c r="B855"/>
      <c r="C855"/>
      <c r="D855"/>
      <c r="E855"/>
      <c r="F855"/>
      <c r="G855"/>
      <c r="H855"/>
      <c r="I855"/>
      <c r="J855"/>
      <c r="K855"/>
    </row>
    <row r="856" spans="1:11" ht="12.75" x14ac:dyDescent="0.35">
      <c r="A856"/>
      <c r="B856"/>
      <c r="C856"/>
      <c r="D856"/>
      <c r="E856"/>
      <c r="F856"/>
      <c r="G856"/>
      <c r="H856"/>
      <c r="I856"/>
      <c r="J856"/>
      <c r="K856"/>
    </row>
    <row r="857" spans="1:11" ht="12.75" x14ac:dyDescent="0.35">
      <c r="A857"/>
      <c r="B857"/>
      <c r="C857"/>
      <c r="D857"/>
      <c r="E857"/>
      <c r="F857"/>
      <c r="G857"/>
      <c r="H857"/>
      <c r="I857"/>
      <c r="J857"/>
      <c r="K857"/>
    </row>
    <row r="858" spans="1:11" ht="12.75" x14ac:dyDescent="0.35">
      <c r="A858"/>
      <c r="B858"/>
      <c r="C858"/>
      <c r="D858"/>
      <c r="E858"/>
      <c r="F858"/>
      <c r="G858"/>
      <c r="H858"/>
      <c r="I858"/>
      <c r="J858"/>
      <c r="K858"/>
    </row>
    <row r="859" spans="1:11" ht="12.75" x14ac:dyDescent="0.35">
      <c r="A859"/>
      <c r="B859"/>
      <c r="C859"/>
      <c r="D859"/>
      <c r="E859"/>
      <c r="F859"/>
      <c r="G859"/>
      <c r="H859"/>
      <c r="I859"/>
      <c r="J859"/>
      <c r="K859"/>
    </row>
    <row r="860" spans="1:11" ht="12.75" x14ac:dyDescent="0.35">
      <c r="A860"/>
      <c r="B860"/>
      <c r="C860"/>
      <c r="D860"/>
      <c r="E860"/>
      <c r="F860"/>
      <c r="G860"/>
      <c r="H860"/>
      <c r="I860"/>
      <c r="J860"/>
      <c r="K860"/>
    </row>
    <row r="861" spans="1:11" ht="12.75" x14ac:dyDescent="0.35">
      <c r="A861"/>
      <c r="B861"/>
      <c r="C861"/>
      <c r="D861"/>
      <c r="E861"/>
      <c r="F861"/>
      <c r="G861"/>
      <c r="H861"/>
      <c r="I861"/>
      <c r="J861"/>
      <c r="K861"/>
    </row>
    <row r="862" spans="1:11" ht="12.75" x14ac:dyDescent="0.35">
      <c r="A862"/>
      <c r="B862"/>
      <c r="C862"/>
      <c r="D862"/>
      <c r="E862"/>
      <c r="F862"/>
      <c r="G862"/>
      <c r="H862"/>
      <c r="I862"/>
      <c r="J862"/>
      <c r="K862"/>
    </row>
    <row r="863" spans="1:11" ht="12.75" x14ac:dyDescent="0.35">
      <c r="A863"/>
      <c r="B863"/>
      <c r="C863"/>
      <c r="D863"/>
      <c r="E863"/>
      <c r="F863"/>
      <c r="G863"/>
      <c r="H863"/>
      <c r="I863"/>
      <c r="J863"/>
      <c r="K863"/>
    </row>
    <row r="864" spans="1:11" ht="12.75" x14ac:dyDescent="0.35">
      <c r="A864"/>
      <c r="B864"/>
      <c r="C864"/>
      <c r="D864"/>
      <c r="E864"/>
      <c r="F864"/>
      <c r="G864"/>
      <c r="H864"/>
      <c r="I864"/>
      <c r="J864"/>
      <c r="K864"/>
    </row>
    <row r="865" spans="1:11" ht="12.75" x14ac:dyDescent="0.35">
      <c r="A865"/>
      <c r="B865"/>
      <c r="C865"/>
      <c r="D865"/>
      <c r="E865"/>
      <c r="F865"/>
      <c r="G865"/>
      <c r="H865"/>
      <c r="I865"/>
      <c r="J865"/>
      <c r="K865"/>
    </row>
    <row r="866" spans="1:11" ht="12.75" x14ac:dyDescent="0.35">
      <c r="A866"/>
      <c r="B866"/>
      <c r="C866"/>
      <c r="D866"/>
      <c r="E866"/>
      <c r="F866"/>
      <c r="G866"/>
      <c r="H866"/>
      <c r="I866"/>
      <c r="J866"/>
      <c r="K866"/>
    </row>
    <row r="867" spans="1:11" ht="12.75" x14ac:dyDescent="0.35">
      <c r="A867"/>
      <c r="B867"/>
      <c r="C867"/>
      <c r="D867"/>
      <c r="E867"/>
      <c r="F867"/>
      <c r="G867"/>
      <c r="H867"/>
      <c r="I867"/>
      <c r="J867"/>
      <c r="K867"/>
    </row>
    <row r="868" spans="1:11" ht="12.75" x14ac:dyDescent="0.35">
      <c r="A868"/>
      <c r="B868"/>
      <c r="C868"/>
      <c r="D868"/>
      <c r="E868"/>
      <c r="F868"/>
      <c r="G868"/>
      <c r="H868"/>
      <c r="I868"/>
      <c r="J868"/>
      <c r="K868"/>
    </row>
    <row r="869" spans="1:11" ht="12.75" x14ac:dyDescent="0.35">
      <c r="A869"/>
      <c r="B869"/>
      <c r="C869"/>
      <c r="D869"/>
      <c r="E869"/>
      <c r="F869"/>
      <c r="G869"/>
      <c r="H869"/>
      <c r="I869"/>
      <c r="J869"/>
      <c r="K869"/>
    </row>
    <row r="870" spans="1:11" ht="12.75" x14ac:dyDescent="0.35">
      <c r="A870"/>
      <c r="B870"/>
      <c r="C870"/>
      <c r="D870"/>
      <c r="E870"/>
      <c r="F870"/>
      <c r="G870"/>
      <c r="H870"/>
      <c r="I870"/>
      <c r="J870"/>
      <c r="K870"/>
    </row>
    <row r="871" spans="1:11" ht="12.75" x14ac:dyDescent="0.35">
      <c r="A871"/>
      <c r="B871"/>
      <c r="C871"/>
      <c r="D871"/>
      <c r="E871"/>
      <c r="F871"/>
      <c r="G871"/>
      <c r="H871"/>
      <c r="I871"/>
      <c r="J871"/>
      <c r="K871"/>
    </row>
    <row r="872" spans="1:11" ht="12.75" x14ac:dyDescent="0.35">
      <c r="A872"/>
      <c r="B872"/>
      <c r="C872"/>
      <c r="D872"/>
      <c r="E872"/>
      <c r="F872"/>
      <c r="G872"/>
      <c r="H872"/>
      <c r="I872"/>
      <c r="J872"/>
      <c r="K872"/>
    </row>
    <row r="873" spans="1:11" ht="12.75" x14ac:dyDescent="0.35">
      <c r="A873"/>
      <c r="B873"/>
      <c r="C873"/>
      <c r="D873"/>
      <c r="E873"/>
      <c r="F873"/>
      <c r="G873"/>
      <c r="H873"/>
      <c r="I873"/>
      <c r="J873"/>
      <c r="K873"/>
    </row>
    <row r="874" spans="1:11" ht="12.75" x14ac:dyDescent="0.35">
      <c r="A874"/>
      <c r="B874"/>
      <c r="C874"/>
      <c r="D874"/>
      <c r="E874"/>
      <c r="F874"/>
      <c r="G874"/>
      <c r="H874"/>
      <c r="I874"/>
      <c r="J874"/>
      <c r="K874"/>
    </row>
    <row r="875" spans="1:11" ht="12.75" x14ac:dyDescent="0.35">
      <c r="A875"/>
      <c r="B875"/>
      <c r="C875"/>
      <c r="D875"/>
      <c r="E875"/>
      <c r="F875"/>
      <c r="G875"/>
      <c r="H875"/>
      <c r="I875"/>
      <c r="J875"/>
      <c r="K875"/>
    </row>
    <row r="876" spans="1:11" ht="12.75" x14ac:dyDescent="0.35">
      <c r="A876"/>
      <c r="B876"/>
      <c r="C876"/>
      <c r="D876"/>
      <c r="E876"/>
      <c r="F876"/>
      <c r="G876"/>
      <c r="H876"/>
      <c r="I876"/>
      <c r="J876"/>
      <c r="K876"/>
    </row>
    <row r="877" spans="1:11" ht="12.75" x14ac:dyDescent="0.35">
      <c r="A877"/>
      <c r="B877"/>
      <c r="C877"/>
      <c r="D877"/>
      <c r="E877"/>
      <c r="F877"/>
      <c r="G877"/>
      <c r="H877"/>
      <c r="I877"/>
      <c r="J877"/>
      <c r="K877"/>
    </row>
    <row r="878" spans="1:11" ht="12.75" x14ac:dyDescent="0.35">
      <c r="A878"/>
      <c r="B878"/>
      <c r="C878"/>
      <c r="D878"/>
      <c r="E878"/>
      <c r="F878"/>
      <c r="G878"/>
      <c r="H878"/>
      <c r="I878"/>
      <c r="J878"/>
      <c r="K878"/>
    </row>
    <row r="879" spans="1:11" ht="12.75" x14ac:dyDescent="0.35">
      <c r="A879"/>
      <c r="B879"/>
      <c r="C879"/>
      <c r="D879"/>
      <c r="E879"/>
      <c r="F879"/>
      <c r="G879"/>
      <c r="H879"/>
      <c r="I879"/>
      <c r="J879"/>
      <c r="K879"/>
    </row>
    <row r="880" spans="1:11" ht="12.75" x14ac:dyDescent="0.35">
      <c r="A880"/>
      <c r="B880"/>
      <c r="C880"/>
      <c r="D880"/>
      <c r="E880"/>
      <c r="F880"/>
      <c r="G880"/>
      <c r="H880"/>
      <c r="I880"/>
      <c r="J880"/>
      <c r="K880"/>
    </row>
    <row r="881" spans="1:11" ht="12.75" x14ac:dyDescent="0.35">
      <c r="A881"/>
      <c r="B881"/>
      <c r="C881"/>
      <c r="D881"/>
      <c r="E881"/>
      <c r="F881"/>
      <c r="G881"/>
      <c r="H881"/>
      <c r="I881"/>
      <c r="J881"/>
      <c r="K881"/>
    </row>
    <row r="882" spans="1:11" ht="12.75" x14ac:dyDescent="0.35">
      <c r="A882"/>
      <c r="B882"/>
      <c r="C882"/>
      <c r="D882"/>
      <c r="E882"/>
      <c r="F882"/>
      <c r="G882"/>
      <c r="H882"/>
      <c r="I882"/>
      <c r="J882"/>
      <c r="K882"/>
    </row>
    <row r="883" spans="1:11" ht="12.75" x14ac:dyDescent="0.35">
      <c r="A883"/>
      <c r="B883"/>
      <c r="C883"/>
      <c r="D883"/>
      <c r="E883"/>
      <c r="F883"/>
      <c r="G883"/>
      <c r="H883"/>
      <c r="I883"/>
      <c r="J883"/>
      <c r="K883"/>
    </row>
    <row r="884" spans="1:11" ht="12.75" x14ac:dyDescent="0.35">
      <c r="A884"/>
      <c r="B884"/>
      <c r="C884"/>
      <c r="D884"/>
      <c r="E884"/>
      <c r="F884"/>
      <c r="G884"/>
      <c r="H884"/>
      <c r="I884"/>
      <c r="J884"/>
      <c r="K884"/>
    </row>
    <row r="885" spans="1:11" ht="12.75" x14ac:dyDescent="0.35">
      <c r="A885"/>
      <c r="B885"/>
      <c r="C885"/>
      <c r="D885"/>
      <c r="E885"/>
      <c r="F885"/>
      <c r="G885"/>
      <c r="H885"/>
      <c r="I885"/>
      <c r="J885"/>
      <c r="K885"/>
    </row>
    <row r="886" spans="1:11" ht="12.75" x14ac:dyDescent="0.35">
      <c r="A886"/>
      <c r="B886"/>
      <c r="C886"/>
      <c r="D886"/>
      <c r="E886"/>
      <c r="F886"/>
      <c r="G886"/>
      <c r="H886"/>
      <c r="I886"/>
      <c r="J886"/>
      <c r="K886"/>
    </row>
    <row r="887" spans="1:11" ht="12.75" x14ac:dyDescent="0.35">
      <c r="A887"/>
      <c r="B887"/>
      <c r="C887"/>
      <c r="D887"/>
      <c r="E887"/>
      <c r="F887"/>
      <c r="G887"/>
      <c r="H887"/>
      <c r="I887"/>
      <c r="J887"/>
      <c r="K887"/>
    </row>
    <row r="888" spans="1:11" ht="12.75" x14ac:dyDescent="0.35">
      <c r="A888"/>
      <c r="B888"/>
      <c r="C888"/>
      <c r="D888"/>
      <c r="E888"/>
      <c r="F888"/>
      <c r="G888"/>
      <c r="H888"/>
      <c r="I888"/>
      <c r="J888"/>
      <c r="K888"/>
    </row>
    <row r="889" spans="1:11" ht="12.75" x14ac:dyDescent="0.35">
      <c r="A889"/>
      <c r="B889"/>
      <c r="C889"/>
      <c r="D889"/>
      <c r="E889"/>
      <c r="F889"/>
      <c r="G889"/>
      <c r="H889"/>
      <c r="I889"/>
      <c r="J889"/>
      <c r="K889"/>
    </row>
    <row r="890" spans="1:11" ht="12.75" x14ac:dyDescent="0.35">
      <c r="A890"/>
      <c r="B890"/>
      <c r="C890"/>
      <c r="D890"/>
      <c r="E890"/>
      <c r="F890"/>
      <c r="G890"/>
      <c r="H890"/>
      <c r="I890"/>
      <c r="J890"/>
      <c r="K890"/>
    </row>
    <row r="891" spans="1:11" ht="12.75" x14ac:dyDescent="0.35">
      <c r="A891"/>
      <c r="B891"/>
      <c r="C891"/>
      <c r="D891"/>
      <c r="E891"/>
      <c r="F891"/>
      <c r="G891"/>
      <c r="H891"/>
      <c r="I891"/>
      <c r="J891"/>
      <c r="K891"/>
    </row>
    <row r="892" spans="1:11" ht="12.75" x14ac:dyDescent="0.35">
      <c r="A892"/>
      <c r="B892"/>
      <c r="C892"/>
      <c r="D892"/>
      <c r="E892"/>
      <c r="F892"/>
      <c r="G892"/>
      <c r="H892"/>
      <c r="I892"/>
      <c r="J892"/>
      <c r="K892"/>
    </row>
    <row r="893" spans="1:11" ht="12.75" x14ac:dyDescent="0.35">
      <c r="A893"/>
      <c r="B893"/>
      <c r="C893"/>
      <c r="D893"/>
      <c r="E893"/>
      <c r="F893"/>
      <c r="G893"/>
      <c r="H893"/>
      <c r="I893"/>
      <c r="J893"/>
      <c r="K893"/>
    </row>
    <row r="894" spans="1:11" ht="12.75" x14ac:dyDescent="0.35">
      <c r="A894"/>
      <c r="B894"/>
      <c r="C894"/>
      <c r="D894"/>
      <c r="E894"/>
      <c r="F894"/>
      <c r="G894"/>
      <c r="H894"/>
      <c r="I894"/>
      <c r="J894"/>
      <c r="K894"/>
    </row>
    <row r="895" spans="1:11" ht="12.75" x14ac:dyDescent="0.35">
      <c r="A895"/>
      <c r="B895"/>
      <c r="C895"/>
      <c r="D895"/>
      <c r="E895"/>
      <c r="F895"/>
      <c r="G895"/>
      <c r="H895"/>
      <c r="I895"/>
      <c r="J895"/>
      <c r="K895"/>
    </row>
    <row r="896" spans="1:11" ht="12.75" x14ac:dyDescent="0.35">
      <c r="A896"/>
      <c r="B896"/>
      <c r="C896"/>
      <c r="D896"/>
      <c r="E896"/>
      <c r="F896"/>
      <c r="G896"/>
      <c r="H896"/>
      <c r="I896"/>
      <c r="J896"/>
      <c r="K896"/>
    </row>
    <row r="897" spans="1:11" ht="12.75" x14ac:dyDescent="0.35">
      <c r="A897"/>
      <c r="B897"/>
      <c r="C897"/>
      <c r="D897"/>
      <c r="E897"/>
      <c r="F897"/>
      <c r="G897"/>
      <c r="H897"/>
      <c r="I897"/>
      <c r="J897"/>
      <c r="K897"/>
    </row>
    <row r="898" spans="1:11" ht="12.75" x14ac:dyDescent="0.35">
      <c r="A898"/>
      <c r="B898"/>
      <c r="C898"/>
      <c r="D898"/>
      <c r="E898"/>
      <c r="F898"/>
      <c r="G898"/>
      <c r="H898"/>
      <c r="I898"/>
      <c r="J898"/>
      <c r="K898"/>
    </row>
    <row r="899" spans="1:11" ht="12.75" x14ac:dyDescent="0.35">
      <c r="A899"/>
      <c r="B899"/>
      <c r="C899"/>
      <c r="D899"/>
      <c r="E899"/>
      <c r="F899"/>
      <c r="G899"/>
      <c r="H899"/>
      <c r="I899"/>
      <c r="J899"/>
      <c r="K899"/>
    </row>
    <row r="900" spans="1:11" ht="12.75" x14ac:dyDescent="0.35">
      <c r="A900"/>
      <c r="B900"/>
      <c r="C900"/>
      <c r="D900"/>
      <c r="E900"/>
      <c r="F900"/>
      <c r="G900"/>
      <c r="H900"/>
      <c r="I900"/>
      <c r="J900"/>
      <c r="K900"/>
    </row>
    <row r="901" spans="1:11" ht="12.75" x14ac:dyDescent="0.35">
      <c r="A901"/>
      <c r="B901"/>
      <c r="C901"/>
      <c r="D901"/>
      <c r="E901"/>
      <c r="F901"/>
      <c r="G901"/>
      <c r="H901"/>
      <c r="I901"/>
      <c r="J901"/>
      <c r="K901"/>
    </row>
    <row r="902" spans="1:11" ht="12.75" x14ac:dyDescent="0.35">
      <c r="A902"/>
      <c r="B902"/>
      <c r="C902"/>
      <c r="D902"/>
      <c r="E902"/>
      <c r="F902"/>
      <c r="G902"/>
      <c r="H902"/>
      <c r="I902"/>
      <c r="J902"/>
      <c r="K902"/>
    </row>
    <row r="903" spans="1:11" ht="12.75" x14ac:dyDescent="0.35">
      <c r="A903"/>
      <c r="B903"/>
      <c r="C903"/>
      <c r="D903"/>
      <c r="E903"/>
      <c r="F903"/>
      <c r="G903"/>
      <c r="H903"/>
      <c r="I903"/>
      <c r="J903"/>
      <c r="K903"/>
    </row>
    <row r="904" spans="1:11" ht="12.75" x14ac:dyDescent="0.35">
      <c r="A904"/>
      <c r="B904"/>
      <c r="C904"/>
      <c r="D904"/>
      <c r="E904"/>
      <c r="F904"/>
      <c r="G904"/>
      <c r="H904"/>
      <c r="I904"/>
      <c r="J904"/>
      <c r="K904"/>
    </row>
    <row r="905" spans="1:11" ht="12.75" x14ac:dyDescent="0.35">
      <c r="A905"/>
      <c r="B905"/>
      <c r="C905"/>
      <c r="D905"/>
      <c r="E905"/>
      <c r="F905"/>
      <c r="G905"/>
      <c r="H905"/>
      <c r="I905"/>
      <c r="J905"/>
      <c r="K905"/>
    </row>
    <row r="906" spans="1:11" ht="12.75" x14ac:dyDescent="0.35">
      <c r="A906"/>
      <c r="B906"/>
      <c r="C906"/>
      <c r="D906"/>
      <c r="E906"/>
      <c r="F906"/>
      <c r="G906"/>
      <c r="H906"/>
      <c r="I906"/>
      <c r="J906"/>
      <c r="K906"/>
    </row>
    <row r="907" spans="1:11" ht="12.75" x14ac:dyDescent="0.35">
      <c r="A907"/>
      <c r="B907"/>
      <c r="C907"/>
      <c r="D907"/>
      <c r="E907"/>
      <c r="F907"/>
      <c r="G907"/>
      <c r="H907"/>
      <c r="I907"/>
      <c r="J907"/>
      <c r="K907"/>
    </row>
    <row r="908" spans="1:11" ht="12.75" x14ac:dyDescent="0.35">
      <c r="A908"/>
      <c r="B908"/>
      <c r="C908"/>
      <c r="D908"/>
      <c r="E908"/>
      <c r="F908"/>
      <c r="G908"/>
      <c r="H908"/>
      <c r="I908"/>
      <c r="J908"/>
      <c r="K908"/>
    </row>
    <row r="909" spans="1:11" ht="12.75" x14ac:dyDescent="0.35">
      <c r="A909"/>
      <c r="B909"/>
      <c r="C909"/>
      <c r="D909"/>
      <c r="E909"/>
      <c r="F909"/>
      <c r="G909"/>
      <c r="H909"/>
      <c r="I909"/>
      <c r="J909"/>
      <c r="K909"/>
    </row>
    <row r="910" spans="1:11" ht="12.75" x14ac:dyDescent="0.35">
      <c r="A910"/>
      <c r="B910"/>
      <c r="C910"/>
      <c r="D910"/>
      <c r="E910"/>
      <c r="F910"/>
      <c r="G910"/>
      <c r="H910"/>
      <c r="I910"/>
      <c r="J910"/>
      <c r="K910"/>
    </row>
    <row r="911" spans="1:11" ht="12.75" x14ac:dyDescent="0.35">
      <c r="A911"/>
      <c r="B911"/>
      <c r="C911"/>
      <c r="D911"/>
      <c r="E911"/>
      <c r="F911"/>
      <c r="G911"/>
      <c r="H911"/>
      <c r="I911"/>
      <c r="J911"/>
      <c r="K911"/>
    </row>
    <row r="912" spans="1:11" ht="12.75" x14ac:dyDescent="0.35">
      <c r="A912"/>
      <c r="B912"/>
      <c r="C912"/>
      <c r="D912"/>
      <c r="E912"/>
      <c r="F912"/>
      <c r="G912"/>
      <c r="H912"/>
      <c r="I912"/>
      <c r="J912"/>
      <c r="K912"/>
    </row>
    <row r="913" spans="1:11" ht="12.75" x14ac:dyDescent="0.35">
      <c r="A913"/>
      <c r="B913"/>
      <c r="C913"/>
      <c r="D913"/>
      <c r="E913"/>
      <c r="F913"/>
      <c r="G913"/>
      <c r="H913"/>
      <c r="I913"/>
      <c r="J913"/>
      <c r="K913"/>
    </row>
    <row r="914" spans="1:11" ht="12.75" x14ac:dyDescent="0.35">
      <c r="A914"/>
      <c r="B914"/>
      <c r="C914"/>
      <c r="D914"/>
      <c r="E914"/>
      <c r="F914"/>
      <c r="G914"/>
      <c r="H914"/>
      <c r="I914"/>
      <c r="J914"/>
      <c r="K914"/>
    </row>
    <row r="915" spans="1:11" ht="12.75" x14ac:dyDescent="0.35">
      <c r="A915"/>
      <c r="B915"/>
      <c r="C915"/>
      <c r="D915"/>
      <c r="E915"/>
      <c r="F915"/>
      <c r="G915"/>
      <c r="H915"/>
      <c r="I915"/>
      <c r="J915"/>
      <c r="K915"/>
    </row>
    <row r="916" spans="1:11" ht="12.75" x14ac:dyDescent="0.35">
      <c r="A916"/>
      <c r="B916"/>
      <c r="C916"/>
      <c r="D916"/>
      <c r="E916"/>
      <c r="F916"/>
      <c r="G916"/>
      <c r="H916"/>
      <c r="I916"/>
      <c r="J916"/>
      <c r="K916"/>
    </row>
    <row r="917" spans="1:11" ht="12.75" x14ac:dyDescent="0.35">
      <c r="A917"/>
      <c r="B917"/>
      <c r="C917"/>
      <c r="D917"/>
      <c r="E917"/>
      <c r="F917"/>
      <c r="G917"/>
      <c r="H917"/>
      <c r="I917"/>
      <c r="J917"/>
      <c r="K917"/>
    </row>
    <row r="918" spans="1:11" ht="12.75" x14ac:dyDescent="0.35">
      <c r="A918"/>
      <c r="B918"/>
      <c r="C918"/>
      <c r="D918"/>
      <c r="E918"/>
      <c r="F918"/>
      <c r="G918"/>
      <c r="H918"/>
      <c r="I918"/>
      <c r="J918"/>
      <c r="K918"/>
    </row>
    <row r="919" spans="1:11" ht="12.75" x14ac:dyDescent="0.35">
      <c r="A919"/>
      <c r="B919"/>
      <c r="C919"/>
      <c r="D919"/>
      <c r="E919"/>
      <c r="F919"/>
      <c r="G919"/>
      <c r="H919"/>
      <c r="I919"/>
      <c r="J919"/>
      <c r="K919"/>
    </row>
    <row r="920" spans="1:11" ht="12.75" x14ac:dyDescent="0.35">
      <c r="A920"/>
      <c r="B920"/>
      <c r="C920"/>
      <c r="D920"/>
      <c r="E920"/>
      <c r="F920"/>
      <c r="G920"/>
      <c r="H920"/>
      <c r="I920"/>
      <c r="J920"/>
      <c r="K920"/>
    </row>
    <row r="921" spans="1:11" ht="12.75" x14ac:dyDescent="0.35">
      <c r="A921"/>
      <c r="B921"/>
      <c r="C921"/>
      <c r="D921"/>
      <c r="E921"/>
      <c r="F921"/>
      <c r="G921"/>
      <c r="H921"/>
      <c r="I921"/>
      <c r="J921"/>
      <c r="K921"/>
    </row>
    <row r="922" spans="1:11" ht="12.75" x14ac:dyDescent="0.35">
      <c r="A922"/>
      <c r="B922"/>
      <c r="C922"/>
      <c r="D922"/>
      <c r="E922"/>
      <c r="F922"/>
      <c r="G922"/>
      <c r="H922"/>
      <c r="I922"/>
      <c r="J922"/>
      <c r="K922"/>
    </row>
    <row r="923" spans="1:11" ht="12.75" x14ac:dyDescent="0.35">
      <c r="A923"/>
      <c r="B923"/>
      <c r="C923"/>
      <c r="D923"/>
      <c r="E923"/>
      <c r="F923"/>
      <c r="G923"/>
      <c r="H923"/>
      <c r="I923"/>
      <c r="J923"/>
      <c r="K923"/>
    </row>
    <row r="924" spans="1:11" ht="12.75" x14ac:dyDescent="0.35">
      <c r="A924"/>
      <c r="B924"/>
      <c r="C924"/>
      <c r="D924"/>
      <c r="E924"/>
      <c r="F924"/>
      <c r="G924"/>
      <c r="H924"/>
      <c r="I924"/>
      <c r="J924"/>
      <c r="K924"/>
    </row>
    <row r="925" spans="1:11" ht="12.75" x14ac:dyDescent="0.35">
      <c r="A925"/>
      <c r="B925"/>
      <c r="C925"/>
      <c r="D925"/>
      <c r="E925"/>
      <c r="F925"/>
      <c r="G925"/>
      <c r="H925"/>
      <c r="I925"/>
      <c r="J925"/>
      <c r="K925"/>
    </row>
    <row r="926" spans="1:11" ht="12.75" x14ac:dyDescent="0.35">
      <c r="A926"/>
      <c r="B926"/>
      <c r="C926"/>
      <c r="D926"/>
      <c r="E926"/>
      <c r="F926"/>
      <c r="G926"/>
      <c r="H926"/>
      <c r="I926"/>
      <c r="J926"/>
      <c r="K926"/>
    </row>
    <row r="927" spans="1:11" ht="12.75" x14ac:dyDescent="0.35">
      <c r="A927"/>
      <c r="B927"/>
      <c r="C927"/>
      <c r="D927"/>
      <c r="E927"/>
      <c r="F927"/>
      <c r="G927"/>
      <c r="H927"/>
      <c r="I927"/>
      <c r="J927"/>
      <c r="K927"/>
    </row>
    <row r="928" spans="1:11" ht="12.75" x14ac:dyDescent="0.35">
      <c r="A928"/>
      <c r="B928"/>
      <c r="C928"/>
      <c r="D928"/>
      <c r="E928"/>
      <c r="F928"/>
      <c r="G928"/>
      <c r="H928"/>
      <c r="I928"/>
      <c r="J928"/>
      <c r="K928"/>
    </row>
    <row r="929" spans="1:11" ht="12.75" x14ac:dyDescent="0.35">
      <c r="A929"/>
      <c r="B929"/>
      <c r="C929"/>
      <c r="D929"/>
      <c r="E929"/>
      <c r="F929"/>
      <c r="G929"/>
      <c r="H929"/>
      <c r="I929"/>
      <c r="J929"/>
      <c r="K929"/>
    </row>
    <row r="930" spans="1:11" ht="12.75" x14ac:dyDescent="0.35">
      <c r="A930"/>
      <c r="B930"/>
      <c r="C930"/>
      <c r="D930"/>
      <c r="E930"/>
      <c r="F930"/>
      <c r="G930"/>
      <c r="H930"/>
      <c r="I930"/>
      <c r="J930"/>
      <c r="K930"/>
    </row>
    <row r="931" spans="1:11" ht="12.75" x14ac:dyDescent="0.35">
      <c r="A931"/>
      <c r="B931"/>
      <c r="C931"/>
      <c r="D931"/>
      <c r="E931"/>
      <c r="F931"/>
      <c r="G931"/>
      <c r="H931"/>
      <c r="I931"/>
      <c r="J931"/>
      <c r="K931"/>
    </row>
    <row r="932" spans="1:11" ht="12.75" x14ac:dyDescent="0.35">
      <c r="A932"/>
      <c r="B932"/>
      <c r="C932"/>
      <c r="D932"/>
      <c r="E932"/>
      <c r="F932"/>
      <c r="G932"/>
      <c r="H932"/>
      <c r="I932"/>
      <c r="J932"/>
      <c r="K932"/>
    </row>
    <row r="933" spans="1:11" ht="12.75" x14ac:dyDescent="0.35">
      <c r="A933"/>
      <c r="B933"/>
      <c r="C933"/>
      <c r="D933"/>
      <c r="E933"/>
      <c r="F933"/>
      <c r="G933"/>
      <c r="H933"/>
      <c r="I933"/>
      <c r="J933"/>
      <c r="K933"/>
    </row>
    <row r="934" spans="1:11" ht="12.75" x14ac:dyDescent="0.35">
      <c r="A934"/>
      <c r="B934"/>
      <c r="C934"/>
      <c r="D934"/>
      <c r="E934"/>
      <c r="F934"/>
      <c r="G934"/>
      <c r="H934"/>
      <c r="I934"/>
      <c r="J934"/>
      <c r="K934"/>
    </row>
    <row r="935" spans="1:11" ht="12.75" x14ac:dyDescent="0.35">
      <c r="A935"/>
      <c r="B935"/>
      <c r="C935"/>
      <c r="D935"/>
      <c r="E935"/>
      <c r="F935"/>
      <c r="G935"/>
      <c r="H935"/>
      <c r="I935"/>
      <c r="J935"/>
      <c r="K935"/>
    </row>
    <row r="936" spans="1:11" ht="12.75" x14ac:dyDescent="0.35">
      <c r="A936"/>
      <c r="B936"/>
      <c r="C936"/>
      <c r="D936"/>
      <c r="E936"/>
      <c r="F936"/>
      <c r="G936"/>
      <c r="H936"/>
      <c r="I936"/>
      <c r="J936"/>
      <c r="K936"/>
    </row>
    <row r="937" spans="1:11" ht="12.75" x14ac:dyDescent="0.35">
      <c r="A937"/>
      <c r="B937"/>
      <c r="C937"/>
      <c r="D937"/>
      <c r="E937"/>
      <c r="F937"/>
      <c r="G937"/>
      <c r="H937"/>
      <c r="I937"/>
      <c r="J937"/>
      <c r="K937"/>
    </row>
    <row r="938" spans="1:11" ht="12.75" x14ac:dyDescent="0.35">
      <c r="A938"/>
      <c r="B938"/>
      <c r="C938"/>
      <c r="D938"/>
      <c r="E938"/>
      <c r="F938"/>
      <c r="G938"/>
      <c r="H938"/>
      <c r="I938"/>
      <c r="J938"/>
      <c r="K938"/>
    </row>
    <row r="939" spans="1:11" ht="12.75" x14ac:dyDescent="0.35">
      <c r="A939"/>
      <c r="B939"/>
      <c r="C939"/>
      <c r="D939"/>
      <c r="E939"/>
      <c r="F939"/>
      <c r="G939"/>
      <c r="H939"/>
      <c r="I939"/>
      <c r="J939"/>
      <c r="K939"/>
    </row>
    <row r="940" spans="1:11" ht="12.75" x14ac:dyDescent="0.35">
      <c r="A940"/>
      <c r="B940"/>
      <c r="C940"/>
      <c r="D940"/>
      <c r="E940"/>
      <c r="F940"/>
      <c r="G940"/>
      <c r="H940"/>
      <c r="I940"/>
      <c r="J940"/>
      <c r="K940"/>
    </row>
    <row r="941" spans="1:11" ht="12.75" x14ac:dyDescent="0.35">
      <c r="A941"/>
      <c r="B941"/>
      <c r="C941"/>
      <c r="D941"/>
      <c r="E941"/>
      <c r="F941"/>
      <c r="G941"/>
      <c r="H941"/>
      <c r="I941"/>
      <c r="J941"/>
      <c r="K941"/>
    </row>
    <row r="942" spans="1:11" ht="12.75" x14ac:dyDescent="0.35">
      <c r="A942"/>
      <c r="B942"/>
      <c r="C942"/>
      <c r="D942"/>
      <c r="E942"/>
      <c r="F942"/>
      <c r="G942"/>
      <c r="H942"/>
      <c r="I942"/>
      <c r="J942"/>
      <c r="K942"/>
    </row>
    <row r="943" spans="1:11" ht="12.75" x14ac:dyDescent="0.35">
      <c r="A943"/>
      <c r="B943"/>
      <c r="C943"/>
      <c r="D943"/>
      <c r="E943"/>
      <c r="F943"/>
      <c r="G943"/>
      <c r="H943"/>
      <c r="I943"/>
      <c r="J943"/>
      <c r="K943"/>
    </row>
    <row r="944" spans="1:11" ht="12.75" x14ac:dyDescent="0.35">
      <c r="A944"/>
      <c r="B944"/>
      <c r="C944"/>
      <c r="D944"/>
      <c r="E944"/>
      <c r="F944"/>
      <c r="G944"/>
      <c r="H944"/>
      <c r="I944"/>
      <c r="J944"/>
      <c r="K944"/>
    </row>
    <row r="945" spans="1:11" ht="12.75" x14ac:dyDescent="0.35">
      <c r="A945"/>
      <c r="B945"/>
      <c r="C945"/>
      <c r="D945"/>
      <c r="E945"/>
      <c r="F945"/>
      <c r="G945"/>
      <c r="H945"/>
      <c r="I945"/>
      <c r="J945"/>
      <c r="K945"/>
    </row>
    <row r="946" spans="1:11" ht="12.75" x14ac:dyDescent="0.35">
      <c r="A946"/>
      <c r="B946"/>
      <c r="C946"/>
      <c r="D946"/>
      <c r="E946"/>
      <c r="F946"/>
      <c r="G946"/>
      <c r="H946"/>
      <c r="I946"/>
      <c r="J946"/>
      <c r="K946"/>
    </row>
    <row r="947" spans="1:11" ht="12.75" x14ac:dyDescent="0.35">
      <c r="A947"/>
      <c r="B947"/>
      <c r="C947"/>
      <c r="D947"/>
      <c r="E947"/>
      <c r="F947"/>
      <c r="G947"/>
      <c r="H947"/>
      <c r="I947"/>
      <c r="J947"/>
      <c r="K947"/>
    </row>
    <row r="948" spans="1:11" ht="12.75" x14ac:dyDescent="0.35">
      <c r="A948"/>
      <c r="B948"/>
      <c r="C948"/>
      <c r="D948"/>
      <c r="E948"/>
      <c r="F948"/>
      <c r="G948"/>
      <c r="H948"/>
      <c r="I948"/>
      <c r="J948"/>
      <c r="K948"/>
    </row>
    <row r="949" spans="1:11" ht="12.75" x14ac:dyDescent="0.35">
      <c r="A949"/>
      <c r="B949"/>
      <c r="C949"/>
      <c r="D949"/>
      <c r="E949"/>
      <c r="F949"/>
      <c r="G949"/>
      <c r="H949"/>
      <c r="I949"/>
      <c r="J949"/>
      <c r="K949"/>
    </row>
    <row r="950" spans="1:11" ht="12.75" x14ac:dyDescent="0.35">
      <c r="A950"/>
      <c r="B950"/>
      <c r="C950"/>
      <c r="D950"/>
      <c r="E950"/>
      <c r="F950"/>
      <c r="G950"/>
      <c r="H950"/>
      <c r="I950"/>
      <c r="J950"/>
      <c r="K950"/>
    </row>
    <row r="951" spans="1:11" ht="12.75" x14ac:dyDescent="0.35">
      <c r="A951"/>
      <c r="B951"/>
      <c r="C951"/>
      <c r="D951"/>
      <c r="E951"/>
      <c r="F951"/>
      <c r="G951"/>
      <c r="H951"/>
      <c r="I951"/>
      <c r="J951"/>
      <c r="K951"/>
    </row>
    <row r="952" spans="1:11" ht="12.75" x14ac:dyDescent="0.35">
      <c r="A952"/>
      <c r="B952"/>
      <c r="C952"/>
      <c r="D952"/>
      <c r="E952"/>
      <c r="F952"/>
      <c r="G952"/>
      <c r="H952"/>
      <c r="I952"/>
      <c r="J952"/>
      <c r="K952"/>
    </row>
    <row r="953" spans="1:11" ht="12.75" x14ac:dyDescent="0.35">
      <c r="A953"/>
      <c r="B953"/>
      <c r="C953"/>
      <c r="D953"/>
      <c r="E953"/>
      <c r="F953"/>
      <c r="G953"/>
      <c r="H953"/>
      <c r="I953"/>
      <c r="J953"/>
      <c r="K953"/>
    </row>
    <row r="954" spans="1:11" ht="12.75" x14ac:dyDescent="0.35">
      <c r="A954"/>
      <c r="B954"/>
      <c r="C954"/>
      <c r="D954"/>
      <c r="E954"/>
      <c r="F954"/>
      <c r="G954"/>
      <c r="H954"/>
      <c r="I954"/>
      <c r="J954"/>
      <c r="K954"/>
    </row>
    <row r="955" spans="1:11" ht="12.75" x14ac:dyDescent="0.35">
      <c r="A955"/>
      <c r="B955"/>
      <c r="C955"/>
      <c r="D955"/>
      <c r="E955"/>
      <c r="F955"/>
      <c r="G955"/>
      <c r="H955"/>
      <c r="I955"/>
      <c r="J955"/>
      <c r="K955"/>
    </row>
    <row r="956" spans="1:11" ht="12.75" x14ac:dyDescent="0.35">
      <c r="A956"/>
      <c r="B956"/>
      <c r="C956"/>
      <c r="D956"/>
      <c r="E956"/>
      <c r="F956"/>
      <c r="G956"/>
      <c r="H956"/>
      <c r="I956"/>
      <c r="J956"/>
      <c r="K956"/>
    </row>
    <row r="957" spans="1:11" ht="12.75" x14ac:dyDescent="0.35">
      <c r="A957"/>
      <c r="B957"/>
      <c r="C957"/>
      <c r="D957"/>
      <c r="E957"/>
      <c r="F957"/>
      <c r="G957"/>
      <c r="H957"/>
      <c r="I957"/>
      <c r="J957"/>
      <c r="K957"/>
    </row>
    <row r="958" spans="1:11" ht="12.75" x14ac:dyDescent="0.35">
      <c r="A958"/>
      <c r="B958"/>
      <c r="C958"/>
      <c r="D958"/>
      <c r="E958"/>
      <c r="F958"/>
      <c r="G958"/>
      <c r="H958"/>
      <c r="I958"/>
      <c r="J958"/>
      <c r="K958"/>
    </row>
    <row r="959" spans="1:11" ht="12.75" x14ac:dyDescent="0.35">
      <c r="A959"/>
      <c r="B959"/>
      <c r="C959"/>
      <c r="D959"/>
      <c r="E959"/>
      <c r="F959"/>
      <c r="G959"/>
      <c r="H959"/>
      <c r="I959"/>
      <c r="J959"/>
      <c r="K959"/>
    </row>
    <row r="960" spans="1:11" ht="12.75" x14ac:dyDescent="0.35">
      <c r="A960"/>
      <c r="B960"/>
      <c r="C960"/>
      <c r="D960"/>
      <c r="E960"/>
      <c r="F960"/>
      <c r="G960"/>
      <c r="H960"/>
      <c r="I960"/>
      <c r="J960"/>
      <c r="K960"/>
    </row>
    <row r="961" spans="1:11" ht="12.75" x14ac:dyDescent="0.35">
      <c r="A961"/>
      <c r="B961"/>
      <c r="C961"/>
      <c r="D961"/>
      <c r="E961"/>
      <c r="F961"/>
      <c r="G961"/>
      <c r="H961"/>
      <c r="I961"/>
      <c r="J961"/>
      <c r="K961"/>
    </row>
    <row r="962" spans="1:11" ht="12.75" x14ac:dyDescent="0.35">
      <c r="A962"/>
      <c r="B962"/>
      <c r="C962"/>
      <c r="D962"/>
      <c r="E962"/>
      <c r="F962"/>
      <c r="G962"/>
      <c r="H962"/>
      <c r="I962"/>
      <c r="J962"/>
      <c r="K962"/>
    </row>
    <row r="963" spans="1:11" ht="12.75" x14ac:dyDescent="0.35">
      <c r="A963"/>
      <c r="B963"/>
      <c r="C963"/>
      <c r="D963"/>
      <c r="E963"/>
      <c r="F963"/>
      <c r="G963"/>
      <c r="H963"/>
      <c r="I963"/>
      <c r="J963"/>
      <c r="K963"/>
    </row>
    <row r="964" spans="1:11" ht="12.75" x14ac:dyDescent="0.35">
      <c r="A964"/>
      <c r="B964"/>
      <c r="C964"/>
      <c r="D964"/>
      <c r="E964"/>
      <c r="F964"/>
      <c r="G964"/>
      <c r="H964"/>
      <c r="I964"/>
      <c r="J964"/>
      <c r="K964"/>
    </row>
    <row r="965" spans="1:11" ht="12.75" x14ac:dyDescent="0.35">
      <c r="A965"/>
      <c r="B965"/>
      <c r="C965"/>
      <c r="D965"/>
      <c r="E965"/>
      <c r="F965"/>
      <c r="G965"/>
      <c r="H965"/>
      <c r="I965"/>
      <c r="J965"/>
      <c r="K965"/>
    </row>
    <row r="966" spans="1:11" ht="12.75" x14ac:dyDescent="0.35">
      <c r="A966"/>
      <c r="B966"/>
      <c r="C966"/>
      <c r="D966"/>
      <c r="E966"/>
      <c r="F966"/>
      <c r="G966"/>
      <c r="H966"/>
      <c r="I966"/>
      <c r="J966"/>
      <c r="K966"/>
    </row>
    <row r="967" spans="1:11" ht="12.75" x14ac:dyDescent="0.35">
      <c r="A967"/>
      <c r="B967"/>
      <c r="C967"/>
      <c r="D967"/>
      <c r="E967"/>
      <c r="F967"/>
      <c r="G967"/>
      <c r="H967"/>
      <c r="I967"/>
      <c r="J967"/>
      <c r="K967"/>
    </row>
    <row r="968" spans="1:11" ht="12.75" x14ac:dyDescent="0.35">
      <c r="A968"/>
      <c r="B968"/>
      <c r="C968"/>
      <c r="D968"/>
      <c r="E968"/>
      <c r="F968"/>
      <c r="G968"/>
      <c r="H968"/>
      <c r="I968"/>
      <c r="J968"/>
      <c r="K968"/>
    </row>
    <row r="969" spans="1:11" ht="12.75" x14ac:dyDescent="0.35">
      <c r="A969"/>
      <c r="B969"/>
      <c r="C969"/>
      <c r="D969"/>
      <c r="E969"/>
      <c r="F969"/>
      <c r="G969"/>
      <c r="H969"/>
      <c r="I969"/>
      <c r="J969"/>
      <c r="K969"/>
    </row>
    <row r="970" spans="1:11" ht="12.75" x14ac:dyDescent="0.35">
      <c r="A970"/>
      <c r="B970"/>
      <c r="C970"/>
      <c r="D970"/>
      <c r="E970"/>
      <c r="F970"/>
      <c r="G970"/>
      <c r="H970"/>
      <c r="I970"/>
      <c r="J970"/>
      <c r="K970"/>
    </row>
    <row r="971" spans="1:11" ht="12.75" x14ac:dyDescent="0.35">
      <c r="A971"/>
      <c r="B971"/>
      <c r="C971"/>
      <c r="D971"/>
      <c r="E971"/>
      <c r="F971"/>
      <c r="G971"/>
      <c r="H971"/>
      <c r="I971"/>
      <c r="J971"/>
      <c r="K971"/>
    </row>
    <row r="972" spans="1:11" ht="12.75" x14ac:dyDescent="0.35">
      <c r="A972"/>
      <c r="B972"/>
      <c r="C972"/>
      <c r="D972"/>
      <c r="E972"/>
      <c r="F972"/>
      <c r="G972"/>
      <c r="H972"/>
      <c r="I972"/>
      <c r="J972"/>
      <c r="K972"/>
    </row>
    <row r="973" spans="1:11" ht="12.75" x14ac:dyDescent="0.35">
      <c r="A973"/>
      <c r="B973"/>
      <c r="C973"/>
      <c r="D973"/>
      <c r="E973"/>
      <c r="F973"/>
      <c r="G973"/>
      <c r="H973"/>
      <c r="I973"/>
      <c r="J973"/>
      <c r="K973"/>
    </row>
    <row r="974" spans="1:11" ht="12.75" x14ac:dyDescent="0.35">
      <c r="A974"/>
      <c r="B974"/>
      <c r="C974"/>
      <c r="D974"/>
      <c r="E974"/>
      <c r="F974"/>
      <c r="G974"/>
      <c r="H974"/>
      <c r="I974"/>
      <c r="J974"/>
      <c r="K974"/>
    </row>
    <row r="975" spans="1:11" ht="12.75" x14ac:dyDescent="0.35">
      <c r="A975"/>
      <c r="B975"/>
      <c r="C975"/>
      <c r="D975"/>
      <c r="E975"/>
      <c r="F975"/>
      <c r="G975"/>
      <c r="H975"/>
      <c r="I975"/>
      <c r="J975"/>
      <c r="K975"/>
    </row>
    <row r="976" spans="1:11" ht="12.75" x14ac:dyDescent="0.35">
      <c r="A976"/>
      <c r="B976"/>
      <c r="C976"/>
      <c r="D976"/>
      <c r="E976"/>
      <c r="F976"/>
      <c r="G976"/>
      <c r="H976"/>
      <c r="I976"/>
      <c r="J976"/>
      <c r="K976"/>
    </row>
    <row r="977" spans="1:11" ht="12.75" x14ac:dyDescent="0.35">
      <c r="A977"/>
      <c r="B977"/>
      <c r="C977"/>
      <c r="D977"/>
      <c r="E977"/>
      <c r="F977"/>
      <c r="G977"/>
      <c r="H977"/>
      <c r="I977"/>
      <c r="J977"/>
      <c r="K977"/>
    </row>
    <row r="978" spans="1:11" ht="12.75" x14ac:dyDescent="0.35">
      <c r="A978"/>
      <c r="B978"/>
      <c r="C978"/>
      <c r="D978"/>
      <c r="E978"/>
      <c r="F978"/>
      <c r="G978"/>
      <c r="H978"/>
      <c r="I978"/>
      <c r="J978"/>
      <c r="K978"/>
    </row>
    <row r="979" spans="1:11" ht="12.75" x14ac:dyDescent="0.35">
      <c r="A979"/>
      <c r="B979"/>
      <c r="C979"/>
      <c r="D979"/>
      <c r="E979"/>
      <c r="F979"/>
      <c r="G979"/>
      <c r="H979"/>
      <c r="I979"/>
      <c r="J979"/>
      <c r="K979"/>
    </row>
    <row r="980" spans="1:11" ht="12.75" x14ac:dyDescent="0.35">
      <c r="A980"/>
      <c r="B980"/>
      <c r="C980"/>
      <c r="D980"/>
      <c r="E980"/>
      <c r="F980"/>
      <c r="G980"/>
      <c r="H980"/>
      <c r="I980"/>
      <c r="J980"/>
      <c r="K980"/>
    </row>
    <row r="981" spans="1:11" ht="12.75" x14ac:dyDescent="0.35">
      <c r="A981"/>
      <c r="B981"/>
      <c r="C981"/>
      <c r="D981"/>
      <c r="E981"/>
      <c r="F981"/>
      <c r="G981"/>
      <c r="H981"/>
      <c r="I981"/>
      <c r="J981"/>
      <c r="K981"/>
    </row>
    <row r="982" spans="1:11" ht="12.75" x14ac:dyDescent="0.35">
      <c r="A982"/>
      <c r="B982"/>
      <c r="C982"/>
      <c r="D982"/>
      <c r="E982"/>
      <c r="F982"/>
      <c r="G982"/>
      <c r="H982"/>
      <c r="I982"/>
      <c r="J982"/>
      <c r="K982"/>
    </row>
    <row r="983" spans="1:11" ht="12.75" x14ac:dyDescent="0.35">
      <c r="A983"/>
      <c r="B983"/>
      <c r="C983"/>
      <c r="D983"/>
      <c r="E983"/>
      <c r="F983"/>
      <c r="G983"/>
      <c r="H983"/>
      <c r="I983"/>
      <c r="J983"/>
      <c r="K983"/>
    </row>
    <row r="984" spans="1:11" ht="12.75" x14ac:dyDescent="0.35">
      <c r="A984"/>
      <c r="B984"/>
      <c r="C984"/>
      <c r="D984"/>
      <c r="E984"/>
      <c r="F984"/>
      <c r="G984"/>
      <c r="H984"/>
      <c r="I984"/>
      <c r="J984"/>
      <c r="K984"/>
    </row>
    <row r="985" spans="1:11" ht="12.75" x14ac:dyDescent="0.35">
      <c r="A985"/>
      <c r="B985"/>
      <c r="C985"/>
      <c r="D985"/>
      <c r="E985"/>
      <c r="F985"/>
      <c r="G985"/>
      <c r="H985"/>
      <c r="I985"/>
      <c r="J985"/>
      <c r="K985"/>
    </row>
    <row r="986" spans="1:11" ht="12.75" x14ac:dyDescent="0.35">
      <c r="A986"/>
      <c r="B986"/>
      <c r="C986"/>
      <c r="D986"/>
      <c r="E986"/>
      <c r="F986"/>
      <c r="G986"/>
      <c r="H986"/>
      <c r="I986"/>
      <c r="J986"/>
      <c r="K986"/>
    </row>
    <row r="987" spans="1:11" ht="12.75" x14ac:dyDescent="0.35">
      <c r="A987"/>
      <c r="B987"/>
      <c r="C987"/>
      <c r="D987"/>
      <c r="E987"/>
      <c r="F987"/>
      <c r="G987"/>
      <c r="H987"/>
      <c r="I987"/>
      <c r="J987"/>
      <c r="K987"/>
    </row>
    <row r="988" spans="1:11" ht="12.75" x14ac:dyDescent="0.35">
      <c r="A988"/>
      <c r="B988"/>
      <c r="C988"/>
      <c r="D988"/>
      <c r="E988"/>
      <c r="F988"/>
      <c r="G988"/>
      <c r="H988"/>
      <c r="I988"/>
      <c r="J988"/>
      <c r="K988"/>
    </row>
    <row r="989" spans="1:11" ht="12.75" x14ac:dyDescent="0.35">
      <c r="A989"/>
      <c r="B989"/>
      <c r="C989"/>
      <c r="D989"/>
      <c r="E989"/>
      <c r="F989"/>
      <c r="G989"/>
      <c r="H989"/>
      <c r="I989"/>
      <c r="J989"/>
      <c r="K989"/>
    </row>
    <row r="990" spans="1:11" ht="12.75" x14ac:dyDescent="0.35">
      <c r="A990"/>
      <c r="B990"/>
      <c r="C990"/>
      <c r="D990"/>
      <c r="E990"/>
      <c r="F990"/>
      <c r="G990"/>
      <c r="H990"/>
      <c r="I990"/>
      <c r="J990"/>
      <c r="K990"/>
    </row>
    <row r="991" spans="1:11" ht="12.75" x14ac:dyDescent="0.35">
      <c r="A991"/>
      <c r="B991"/>
      <c r="C991"/>
      <c r="D991"/>
      <c r="E991"/>
      <c r="F991"/>
      <c r="G991"/>
      <c r="H991"/>
      <c r="I991"/>
      <c r="J991"/>
      <c r="K991"/>
    </row>
    <row r="992" spans="1:11" ht="12.75" x14ac:dyDescent="0.35">
      <c r="A992"/>
      <c r="B992"/>
      <c r="C992"/>
      <c r="D992"/>
      <c r="E992"/>
      <c r="F992"/>
      <c r="G992"/>
      <c r="H992"/>
      <c r="I992"/>
      <c r="J992"/>
      <c r="K992"/>
    </row>
    <row r="993" spans="1:11" ht="12.75" x14ac:dyDescent="0.35">
      <c r="A993"/>
      <c r="B993"/>
      <c r="C993"/>
      <c r="D993"/>
      <c r="E993"/>
      <c r="F993"/>
      <c r="G993"/>
      <c r="H993"/>
      <c r="I993"/>
      <c r="J993"/>
      <c r="K993"/>
    </row>
    <row r="994" spans="1:11" ht="12.75" x14ac:dyDescent="0.35">
      <c r="A994"/>
      <c r="B994"/>
      <c r="C994"/>
      <c r="D994"/>
      <c r="E994"/>
      <c r="F994"/>
      <c r="G994"/>
      <c r="H994"/>
      <c r="I994"/>
      <c r="J994"/>
      <c r="K994"/>
    </row>
    <row r="995" spans="1:11" ht="12.75" x14ac:dyDescent="0.35">
      <c r="A995"/>
      <c r="B995"/>
      <c r="C995"/>
      <c r="D995"/>
      <c r="E995"/>
      <c r="F995"/>
      <c r="G995"/>
      <c r="H995"/>
      <c r="I995"/>
      <c r="J995"/>
      <c r="K995"/>
    </row>
    <row r="996" spans="1:11" ht="12.75" x14ac:dyDescent="0.35">
      <c r="A996"/>
      <c r="B996"/>
      <c r="C996"/>
      <c r="D996"/>
      <c r="E996"/>
      <c r="F996"/>
      <c r="G996"/>
      <c r="H996"/>
      <c r="I996"/>
      <c r="J996"/>
      <c r="K996"/>
    </row>
    <row r="997" spans="1:11" ht="12.75" x14ac:dyDescent="0.35">
      <c r="A997"/>
      <c r="B997"/>
      <c r="C997"/>
      <c r="D997"/>
      <c r="E997"/>
      <c r="F997"/>
      <c r="G997"/>
      <c r="H997"/>
      <c r="I997"/>
      <c r="J997"/>
      <c r="K997"/>
    </row>
    <row r="998" spans="1:11" ht="12.75" x14ac:dyDescent="0.35">
      <c r="A998"/>
      <c r="B998"/>
      <c r="C998"/>
      <c r="D998"/>
      <c r="E998"/>
      <c r="F998"/>
      <c r="G998"/>
      <c r="H998"/>
      <c r="I998"/>
      <c r="J998"/>
      <c r="K998"/>
    </row>
    <row r="999" spans="1:11" ht="12.75" x14ac:dyDescent="0.35">
      <c r="A999"/>
      <c r="B999"/>
      <c r="C999"/>
      <c r="D999"/>
      <c r="E999"/>
      <c r="F999"/>
      <c r="G999"/>
      <c r="H999"/>
      <c r="I999"/>
      <c r="J999"/>
      <c r="K999"/>
    </row>
    <row r="1000" spans="1:11" ht="12.75" x14ac:dyDescent="0.35">
      <c r="A1000"/>
      <c r="B1000"/>
      <c r="C1000"/>
      <c r="D1000"/>
      <c r="E1000"/>
      <c r="F1000"/>
      <c r="G1000"/>
      <c r="H1000"/>
      <c r="I1000"/>
      <c r="J1000"/>
      <c r="K1000"/>
    </row>
    <row r="1001" spans="1:11" ht="12.75" x14ac:dyDescent="0.35">
      <c r="A1001"/>
      <c r="B1001"/>
      <c r="C1001"/>
      <c r="D1001"/>
      <c r="E1001"/>
      <c r="F1001"/>
      <c r="G1001"/>
      <c r="H1001"/>
      <c r="I1001"/>
      <c r="J1001"/>
      <c r="K1001"/>
    </row>
    <row r="1002" spans="1:11" ht="12.75" x14ac:dyDescent="0.35">
      <c r="A1002"/>
      <c r="B1002"/>
      <c r="C1002"/>
      <c r="D1002"/>
      <c r="E1002"/>
      <c r="F1002"/>
      <c r="G1002"/>
      <c r="H1002"/>
      <c r="I1002"/>
      <c r="J1002"/>
      <c r="K1002"/>
    </row>
    <row r="1003" spans="1:11" ht="12.75" x14ac:dyDescent="0.35">
      <c r="A1003"/>
      <c r="B1003"/>
      <c r="C1003"/>
      <c r="D1003"/>
      <c r="E1003"/>
      <c r="F1003"/>
      <c r="G1003"/>
      <c r="H1003"/>
      <c r="I1003"/>
      <c r="J1003"/>
      <c r="K1003"/>
    </row>
    <row r="1004" spans="1:11" ht="12.75" x14ac:dyDescent="0.35">
      <c r="A1004"/>
      <c r="B1004"/>
      <c r="C1004"/>
      <c r="D1004"/>
      <c r="E1004"/>
      <c r="F1004"/>
      <c r="G1004"/>
      <c r="H1004"/>
      <c r="I1004"/>
      <c r="J1004"/>
      <c r="K1004"/>
    </row>
    <row r="1005" spans="1:11" ht="12.75" x14ac:dyDescent="0.35">
      <c r="A1005"/>
      <c r="B1005"/>
      <c r="C1005"/>
      <c r="D1005"/>
      <c r="E1005"/>
      <c r="F1005"/>
      <c r="G1005"/>
      <c r="H1005"/>
      <c r="I1005"/>
      <c r="J1005"/>
      <c r="K1005"/>
    </row>
    <row r="1006" spans="1:11" ht="12.75" x14ac:dyDescent="0.35">
      <c r="A1006"/>
      <c r="B1006"/>
      <c r="C1006"/>
      <c r="D1006"/>
      <c r="E1006"/>
      <c r="F1006"/>
      <c r="G1006"/>
      <c r="H1006"/>
      <c r="I1006"/>
      <c r="J1006"/>
      <c r="K1006"/>
    </row>
    <row r="1007" spans="1:11" ht="12.75" x14ac:dyDescent="0.35">
      <c r="A1007"/>
      <c r="B1007"/>
      <c r="C1007"/>
      <c r="D1007"/>
      <c r="E1007"/>
      <c r="F1007"/>
      <c r="G1007"/>
      <c r="H1007"/>
      <c r="I1007"/>
      <c r="J1007"/>
      <c r="K1007"/>
    </row>
    <row r="1008" spans="1:11" ht="12.75" x14ac:dyDescent="0.35">
      <c r="A1008"/>
      <c r="B1008"/>
      <c r="C1008"/>
      <c r="D1008"/>
      <c r="E1008"/>
      <c r="F1008"/>
      <c r="G1008"/>
      <c r="H1008"/>
      <c r="I1008"/>
      <c r="J1008"/>
      <c r="K1008"/>
    </row>
    <row r="1009" spans="1:11" ht="12.75" x14ac:dyDescent="0.35">
      <c r="A1009"/>
      <c r="B1009"/>
      <c r="C1009"/>
      <c r="D1009"/>
      <c r="E1009"/>
      <c r="F1009"/>
      <c r="G1009"/>
      <c r="H1009"/>
      <c r="I1009"/>
      <c r="J1009"/>
      <c r="K1009"/>
    </row>
    <row r="1010" spans="1:11" ht="12.75" x14ac:dyDescent="0.35">
      <c r="A1010"/>
      <c r="B1010"/>
      <c r="C1010"/>
      <c r="D1010"/>
      <c r="E1010"/>
      <c r="F1010"/>
      <c r="G1010"/>
      <c r="H1010"/>
      <c r="I1010"/>
      <c r="J1010"/>
      <c r="K1010"/>
    </row>
    <row r="1011" spans="1:11" ht="12.75" x14ac:dyDescent="0.35">
      <c r="A1011"/>
      <c r="B1011"/>
      <c r="C1011"/>
      <c r="D1011"/>
      <c r="E1011"/>
      <c r="F1011"/>
      <c r="G1011"/>
      <c r="H1011"/>
      <c r="I1011"/>
      <c r="J1011"/>
      <c r="K1011"/>
    </row>
    <row r="1012" spans="1:11" ht="12.75" x14ac:dyDescent="0.35">
      <c r="A1012"/>
      <c r="B1012"/>
      <c r="C1012"/>
      <c r="D1012"/>
      <c r="E1012"/>
      <c r="F1012"/>
      <c r="G1012"/>
      <c r="H1012"/>
      <c r="I1012"/>
      <c r="J1012"/>
      <c r="K1012"/>
    </row>
    <row r="1013" spans="1:11" ht="12.75" x14ac:dyDescent="0.35">
      <c r="A1013"/>
      <c r="B1013"/>
      <c r="C1013"/>
      <c r="D1013"/>
      <c r="E1013"/>
      <c r="F1013"/>
      <c r="G1013"/>
      <c r="H1013"/>
      <c r="I1013"/>
      <c r="J1013"/>
      <c r="K1013"/>
    </row>
    <row r="1014" spans="1:11" ht="12.75" x14ac:dyDescent="0.35">
      <c r="A1014"/>
      <c r="B1014"/>
      <c r="C1014"/>
      <c r="D1014"/>
      <c r="E1014"/>
      <c r="F1014"/>
      <c r="G1014"/>
      <c r="H1014"/>
      <c r="I1014"/>
      <c r="J1014"/>
      <c r="K1014"/>
    </row>
    <row r="1015" spans="1:11" ht="12.75" x14ac:dyDescent="0.35">
      <c r="A1015"/>
      <c r="B1015"/>
      <c r="C1015"/>
      <c r="D1015"/>
      <c r="E1015"/>
      <c r="F1015"/>
      <c r="G1015"/>
      <c r="H1015"/>
      <c r="I1015"/>
      <c r="J1015"/>
      <c r="K1015"/>
    </row>
    <row r="1016" spans="1:11" ht="12.75" x14ac:dyDescent="0.35">
      <c r="A1016"/>
      <c r="B1016"/>
      <c r="C1016"/>
      <c r="D1016"/>
      <c r="E1016"/>
      <c r="F1016"/>
      <c r="G1016"/>
      <c r="H1016"/>
      <c r="I1016"/>
      <c r="J1016"/>
      <c r="K1016"/>
    </row>
    <row r="1017" spans="1:11" ht="12.75" x14ac:dyDescent="0.35">
      <c r="A1017"/>
      <c r="B1017"/>
      <c r="C1017"/>
      <c r="D1017"/>
      <c r="E1017"/>
      <c r="F1017"/>
      <c r="G1017"/>
      <c r="H1017"/>
      <c r="I1017"/>
      <c r="J1017"/>
      <c r="K1017"/>
    </row>
    <row r="1018" spans="1:11" ht="12.75" x14ac:dyDescent="0.35">
      <c r="A1018"/>
      <c r="B1018"/>
      <c r="C1018"/>
      <c r="D1018"/>
      <c r="E1018"/>
      <c r="F1018"/>
      <c r="G1018"/>
      <c r="H1018"/>
      <c r="I1018"/>
      <c r="J1018"/>
      <c r="K1018"/>
    </row>
    <row r="1019" spans="1:11" ht="12.75" x14ac:dyDescent="0.35">
      <c r="A1019"/>
      <c r="B1019"/>
      <c r="C1019"/>
      <c r="D1019"/>
      <c r="E1019"/>
      <c r="F1019"/>
      <c r="G1019"/>
      <c r="H1019"/>
      <c r="I1019"/>
      <c r="J1019"/>
      <c r="K1019"/>
    </row>
    <row r="1020" spans="1:11" ht="12.75" x14ac:dyDescent="0.35">
      <c r="A1020"/>
      <c r="B1020"/>
      <c r="C1020"/>
      <c r="D1020"/>
      <c r="E1020"/>
      <c r="F1020"/>
      <c r="G1020"/>
      <c r="H1020"/>
      <c r="I1020"/>
      <c r="J1020"/>
      <c r="K1020"/>
    </row>
    <row r="1021" spans="1:11" ht="12.75" x14ac:dyDescent="0.35">
      <c r="A1021"/>
      <c r="B1021"/>
      <c r="C1021"/>
      <c r="D1021"/>
      <c r="E1021"/>
      <c r="F1021"/>
      <c r="G1021"/>
      <c r="H1021"/>
      <c r="I1021"/>
      <c r="J1021"/>
      <c r="K1021"/>
    </row>
    <row r="1022" spans="1:11" ht="12.75" x14ac:dyDescent="0.35">
      <c r="A1022"/>
      <c r="B1022"/>
      <c r="C1022"/>
      <c r="D1022"/>
      <c r="E1022"/>
      <c r="F1022"/>
      <c r="G1022"/>
      <c r="H1022"/>
      <c r="I1022"/>
      <c r="J1022"/>
      <c r="K1022"/>
    </row>
    <row r="1023" spans="1:11" ht="12.75" x14ac:dyDescent="0.35">
      <c r="A1023"/>
      <c r="B1023"/>
      <c r="C1023"/>
      <c r="D1023"/>
      <c r="E1023"/>
      <c r="F1023"/>
      <c r="G1023"/>
      <c r="H1023"/>
      <c r="I1023"/>
      <c r="J1023"/>
      <c r="K1023"/>
    </row>
    <row r="1024" spans="1:11" ht="12.75" x14ac:dyDescent="0.35">
      <c r="A1024"/>
      <c r="B1024"/>
      <c r="C1024"/>
      <c r="D1024"/>
      <c r="E1024"/>
      <c r="F1024"/>
      <c r="G1024"/>
      <c r="H1024"/>
      <c r="I1024"/>
      <c r="J1024"/>
      <c r="K1024"/>
    </row>
    <row r="1025" spans="1:11" ht="12.75" x14ac:dyDescent="0.35">
      <c r="A1025"/>
      <c r="B1025"/>
      <c r="C1025"/>
      <c r="D1025"/>
      <c r="E1025"/>
      <c r="F1025"/>
      <c r="G1025"/>
      <c r="H1025"/>
      <c r="I1025"/>
      <c r="J1025"/>
      <c r="K1025"/>
    </row>
    <row r="1026" spans="1:11" ht="12.75" x14ac:dyDescent="0.35">
      <c r="A1026"/>
      <c r="B1026"/>
      <c r="C1026"/>
      <c r="D1026"/>
      <c r="E1026"/>
      <c r="F1026"/>
      <c r="G1026"/>
      <c r="H1026"/>
      <c r="I1026"/>
      <c r="J1026"/>
      <c r="K1026"/>
    </row>
    <row r="1027" spans="1:11" ht="12.75" x14ac:dyDescent="0.35">
      <c r="A1027"/>
      <c r="B1027"/>
      <c r="C1027"/>
      <c r="D1027"/>
      <c r="E1027"/>
      <c r="F1027"/>
      <c r="G1027"/>
      <c r="H1027"/>
      <c r="I1027"/>
      <c r="J1027"/>
      <c r="K1027"/>
    </row>
    <row r="1028" spans="1:11" ht="12.75" x14ac:dyDescent="0.35">
      <c r="A1028"/>
      <c r="B1028"/>
      <c r="C1028"/>
      <c r="D1028"/>
      <c r="E1028"/>
      <c r="F1028"/>
      <c r="G1028"/>
      <c r="H1028"/>
      <c r="I1028"/>
      <c r="J1028"/>
      <c r="K1028"/>
    </row>
    <row r="1029" spans="1:11" ht="12.75" x14ac:dyDescent="0.35">
      <c r="A1029"/>
      <c r="B1029"/>
      <c r="C1029"/>
      <c r="D1029"/>
      <c r="E1029"/>
      <c r="F1029"/>
      <c r="G1029"/>
      <c r="H1029"/>
      <c r="I1029"/>
      <c r="J1029"/>
      <c r="K1029"/>
    </row>
    <row r="1030" spans="1:11" ht="12.75" x14ac:dyDescent="0.35">
      <c r="A1030"/>
      <c r="B1030"/>
      <c r="C1030"/>
      <c r="D1030"/>
      <c r="E1030"/>
      <c r="F1030"/>
      <c r="G1030"/>
      <c r="H1030"/>
      <c r="I1030"/>
      <c r="J1030"/>
      <c r="K1030"/>
    </row>
    <row r="1031" spans="1:11" ht="12.75" x14ac:dyDescent="0.35">
      <c r="A1031"/>
      <c r="B1031"/>
      <c r="C1031"/>
      <c r="D1031"/>
      <c r="E1031"/>
      <c r="F1031"/>
      <c r="G1031"/>
      <c r="H1031"/>
      <c r="I1031"/>
      <c r="J1031"/>
      <c r="K1031"/>
    </row>
    <row r="1032" spans="1:11" ht="12.75" x14ac:dyDescent="0.35">
      <c r="A1032"/>
      <c r="B1032"/>
      <c r="C1032"/>
      <c r="D1032"/>
      <c r="E1032"/>
      <c r="F1032"/>
      <c r="G1032"/>
      <c r="H1032"/>
      <c r="I1032"/>
      <c r="J1032"/>
      <c r="K1032"/>
    </row>
    <row r="1033" spans="1:11" ht="12.75" x14ac:dyDescent="0.35">
      <c r="A1033"/>
      <c r="B1033"/>
      <c r="C1033"/>
      <c r="D1033"/>
      <c r="E1033"/>
      <c r="F1033"/>
      <c r="G1033"/>
      <c r="H1033"/>
      <c r="I1033"/>
      <c r="J1033"/>
      <c r="K1033"/>
    </row>
    <row r="1034" spans="1:11" ht="12.75" x14ac:dyDescent="0.35">
      <c r="A1034"/>
      <c r="B1034"/>
      <c r="C1034"/>
      <c r="D1034"/>
      <c r="E1034"/>
      <c r="F1034"/>
      <c r="G1034"/>
      <c r="H1034"/>
      <c r="I1034"/>
      <c r="J1034"/>
      <c r="K1034"/>
    </row>
    <row r="1035" spans="1:11" ht="12.75" x14ac:dyDescent="0.35">
      <c r="A1035"/>
      <c r="B1035"/>
      <c r="C1035"/>
      <c r="D1035"/>
      <c r="E1035"/>
      <c r="F1035"/>
      <c r="G1035"/>
      <c r="H1035"/>
      <c r="I1035"/>
      <c r="J1035"/>
      <c r="K1035"/>
    </row>
    <row r="1036" spans="1:11" ht="12.75" x14ac:dyDescent="0.35">
      <c r="A1036"/>
      <c r="B1036"/>
      <c r="C1036"/>
      <c r="D1036"/>
      <c r="E1036"/>
      <c r="F1036"/>
      <c r="G1036"/>
      <c r="H1036"/>
      <c r="I1036"/>
      <c r="J1036"/>
      <c r="K1036"/>
    </row>
    <row r="1037" spans="1:11" ht="12.75" x14ac:dyDescent="0.35">
      <c r="A1037"/>
      <c r="B1037"/>
      <c r="C1037"/>
      <c r="D1037"/>
      <c r="E1037"/>
      <c r="F1037"/>
      <c r="G1037"/>
      <c r="H1037"/>
      <c r="I1037"/>
      <c r="J1037"/>
      <c r="K1037"/>
    </row>
    <row r="1038" spans="1:11" ht="12.75" x14ac:dyDescent="0.35">
      <c r="A1038"/>
      <c r="B1038"/>
      <c r="C1038"/>
      <c r="D1038"/>
      <c r="E1038"/>
      <c r="F1038"/>
      <c r="G1038"/>
      <c r="H1038"/>
      <c r="I1038"/>
      <c r="J1038"/>
      <c r="K1038"/>
    </row>
    <row r="1039" spans="1:11" ht="12.75" x14ac:dyDescent="0.35">
      <c r="A1039"/>
      <c r="B1039"/>
      <c r="C1039"/>
      <c r="D1039"/>
      <c r="E1039"/>
      <c r="F1039"/>
      <c r="G1039"/>
      <c r="H1039"/>
      <c r="I1039"/>
      <c r="J1039"/>
      <c r="K1039"/>
    </row>
    <row r="1040" spans="1:11" ht="12.75" x14ac:dyDescent="0.35">
      <c r="A1040"/>
      <c r="B1040"/>
      <c r="C1040"/>
      <c r="D1040"/>
      <c r="E1040"/>
      <c r="F1040"/>
      <c r="G1040"/>
      <c r="H1040"/>
      <c r="I1040"/>
      <c r="J1040"/>
      <c r="K1040"/>
    </row>
    <row r="1041" spans="1:11" ht="12.75" x14ac:dyDescent="0.35">
      <c r="A1041"/>
      <c r="B1041"/>
      <c r="C1041"/>
      <c r="D1041"/>
      <c r="E1041"/>
      <c r="F1041"/>
      <c r="G1041"/>
      <c r="H1041"/>
      <c r="I1041"/>
      <c r="J1041"/>
      <c r="K1041"/>
    </row>
    <row r="1042" spans="1:11" ht="12.75" x14ac:dyDescent="0.35">
      <c r="A1042"/>
      <c r="B1042"/>
      <c r="C1042"/>
      <c r="D1042"/>
      <c r="E1042"/>
      <c r="F1042"/>
      <c r="G1042"/>
      <c r="H1042"/>
      <c r="I1042"/>
      <c r="J1042"/>
      <c r="K1042"/>
    </row>
    <row r="1043" spans="1:11" ht="12.75" x14ac:dyDescent="0.35">
      <c r="A1043"/>
      <c r="B1043"/>
      <c r="C1043"/>
      <c r="D1043"/>
      <c r="E1043"/>
      <c r="F1043"/>
      <c r="G1043"/>
      <c r="H1043"/>
      <c r="I1043"/>
      <c r="J1043"/>
      <c r="K1043"/>
    </row>
    <row r="1044" spans="1:11" ht="12.75" x14ac:dyDescent="0.35">
      <c r="A1044"/>
      <c r="B1044"/>
      <c r="C1044"/>
      <c r="D1044"/>
      <c r="E1044"/>
      <c r="F1044"/>
      <c r="G1044"/>
      <c r="H1044"/>
      <c r="I1044"/>
      <c r="J1044"/>
      <c r="K1044"/>
    </row>
    <row r="1045" spans="1:11" ht="12.75" x14ac:dyDescent="0.35">
      <c r="A1045"/>
      <c r="B1045"/>
      <c r="C1045"/>
      <c r="D1045"/>
      <c r="E1045"/>
      <c r="F1045"/>
      <c r="G1045"/>
      <c r="H1045"/>
      <c r="I1045"/>
      <c r="J1045"/>
      <c r="K1045"/>
    </row>
    <row r="1046" spans="1:11" ht="12.75" x14ac:dyDescent="0.35">
      <c r="A1046"/>
      <c r="B1046"/>
      <c r="C1046"/>
      <c r="D1046"/>
      <c r="E1046"/>
      <c r="F1046"/>
      <c r="G1046"/>
      <c r="H1046"/>
      <c r="I1046"/>
      <c r="J1046"/>
      <c r="K1046"/>
    </row>
    <row r="1047" spans="1:11" ht="12.75" x14ac:dyDescent="0.35">
      <c r="A1047"/>
      <c r="B1047"/>
      <c r="C1047"/>
      <c r="D1047"/>
      <c r="E1047"/>
      <c r="F1047"/>
      <c r="G1047"/>
      <c r="H1047"/>
      <c r="I1047"/>
      <c r="J1047"/>
      <c r="K1047"/>
    </row>
    <row r="1048" spans="1:11" ht="12.75" x14ac:dyDescent="0.35">
      <c r="A1048"/>
      <c r="B1048"/>
      <c r="C1048"/>
      <c r="D1048"/>
      <c r="E1048"/>
      <c r="F1048"/>
      <c r="G1048"/>
      <c r="H1048"/>
      <c r="I1048"/>
      <c r="J1048"/>
      <c r="K1048"/>
    </row>
    <row r="1049" spans="1:11" ht="12.75" x14ac:dyDescent="0.35">
      <c r="A1049"/>
      <c r="B1049"/>
      <c r="C1049"/>
      <c r="D1049"/>
      <c r="E1049"/>
      <c r="F1049"/>
      <c r="G1049"/>
      <c r="H1049"/>
      <c r="I1049"/>
      <c r="J1049"/>
      <c r="K1049"/>
    </row>
    <row r="1050" spans="1:11" ht="12.75" x14ac:dyDescent="0.35">
      <c r="A1050"/>
      <c r="B1050"/>
      <c r="C1050"/>
      <c r="D1050"/>
      <c r="E1050"/>
      <c r="F1050"/>
      <c r="G1050"/>
      <c r="H1050"/>
      <c r="I1050"/>
      <c r="J1050"/>
      <c r="K1050"/>
    </row>
    <row r="1051" spans="1:11" ht="12.75" x14ac:dyDescent="0.35">
      <c r="A1051"/>
      <c r="B1051"/>
      <c r="C1051"/>
      <c r="D1051"/>
      <c r="E1051"/>
      <c r="F1051"/>
      <c r="G1051"/>
      <c r="H1051"/>
      <c r="I1051"/>
      <c r="J1051"/>
      <c r="K1051"/>
    </row>
    <row r="1052" spans="1:11" ht="12.75" x14ac:dyDescent="0.35">
      <c r="A1052"/>
      <c r="B1052"/>
      <c r="C1052"/>
      <c r="D1052"/>
      <c r="E1052"/>
      <c r="F1052"/>
      <c r="G1052"/>
      <c r="H1052"/>
      <c r="I1052"/>
      <c r="J1052"/>
      <c r="K1052"/>
    </row>
    <row r="1053" spans="1:11" ht="12.75" x14ac:dyDescent="0.35">
      <c r="A1053"/>
      <c r="B1053"/>
      <c r="C1053"/>
      <c r="D1053"/>
      <c r="E1053"/>
      <c r="F1053"/>
      <c r="G1053"/>
      <c r="H1053"/>
      <c r="I1053"/>
      <c r="J1053"/>
      <c r="K1053"/>
    </row>
    <row r="1054" spans="1:11" ht="12.75" x14ac:dyDescent="0.35">
      <c r="A1054"/>
      <c r="B1054"/>
      <c r="C1054"/>
      <c r="D1054"/>
      <c r="E1054"/>
      <c r="F1054"/>
      <c r="G1054"/>
      <c r="H1054"/>
      <c r="I1054"/>
      <c r="J1054"/>
      <c r="K1054"/>
    </row>
    <row r="1055" spans="1:11" ht="12.75" x14ac:dyDescent="0.35">
      <c r="A1055"/>
      <c r="B1055"/>
      <c r="C1055"/>
      <c r="D1055"/>
      <c r="E1055"/>
      <c r="F1055"/>
      <c r="G1055"/>
      <c r="H1055"/>
      <c r="I1055"/>
      <c r="J1055"/>
      <c r="K1055"/>
    </row>
    <row r="1056" spans="1:11" ht="12.75" x14ac:dyDescent="0.35">
      <c r="A1056"/>
      <c r="B1056"/>
      <c r="C1056"/>
      <c r="D1056"/>
      <c r="E1056"/>
      <c r="F1056"/>
      <c r="G1056"/>
      <c r="H1056"/>
      <c r="I1056"/>
      <c r="J1056"/>
      <c r="K1056"/>
    </row>
    <row r="1057" spans="1:11" ht="12.75" x14ac:dyDescent="0.35">
      <c r="A1057"/>
      <c r="B1057"/>
      <c r="C1057"/>
      <c r="D1057"/>
      <c r="E1057"/>
      <c r="F1057"/>
      <c r="G1057"/>
      <c r="H1057"/>
      <c r="I1057"/>
      <c r="J1057"/>
      <c r="K1057"/>
    </row>
    <row r="1058" spans="1:11" ht="12.75" x14ac:dyDescent="0.35">
      <c r="A1058"/>
      <c r="B1058"/>
      <c r="C1058"/>
      <c r="D1058"/>
      <c r="E1058"/>
      <c r="F1058"/>
      <c r="G1058"/>
      <c r="H1058"/>
      <c r="I1058"/>
      <c r="J1058"/>
      <c r="K1058"/>
    </row>
    <row r="1059" spans="1:11" ht="12.75" x14ac:dyDescent="0.35">
      <c r="A1059"/>
      <c r="B1059"/>
      <c r="C1059"/>
      <c r="D1059"/>
      <c r="E1059"/>
      <c r="F1059"/>
      <c r="G1059"/>
      <c r="H1059"/>
      <c r="I1059"/>
      <c r="J1059"/>
      <c r="K1059"/>
    </row>
    <row r="1060" spans="1:11" ht="12.75" x14ac:dyDescent="0.35">
      <c r="A1060"/>
      <c r="B1060"/>
      <c r="C1060"/>
      <c r="D1060"/>
      <c r="E1060"/>
      <c r="F1060"/>
      <c r="G1060"/>
      <c r="H1060"/>
      <c r="I1060"/>
      <c r="J1060"/>
      <c r="K1060"/>
    </row>
    <row r="1061" spans="1:11" ht="12.75" x14ac:dyDescent="0.35">
      <c r="A1061"/>
      <c r="B1061"/>
      <c r="C1061"/>
      <c r="D1061"/>
      <c r="E1061"/>
      <c r="F1061"/>
      <c r="G1061"/>
      <c r="H1061"/>
      <c r="I1061"/>
      <c r="J1061"/>
      <c r="K1061"/>
    </row>
    <row r="1062" spans="1:11" ht="12.75" x14ac:dyDescent="0.35">
      <c r="A1062"/>
      <c r="B1062"/>
      <c r="C1062"/>
      <c r="D1062"/>
      <c r="E1062"/>
      <c r="F1062"/>
      <c r="G1062"/>
      <c r="H1062"/>
      <c r="I1062"/>
      <c r="J1062"/>
      <c r="K1062"/>
    </row>
    <row r="1063" spans="1:11" ht="12.75" x14ac:dyDescent="0.35">
      <c r="A1063"/>
      <c r="B1063"/>
      <c r="C1063"/>
      <c r="D1063"/>
      <c r="E1063"/>
      <c r="F1063"/>
      <c r="G1063"/>
      <c r="H1063"/>
      <c r="I1063"/>
      <c r="J1063"/>
      <c r="K1063"/>
    </row>
    <row r="1064" spans="1:11" ht="12.75" x14ac:dyDescent="0.35">
      <c r="A1064"/>
      <c r="B1064"/>
      <c r="C1064"/>
      <c r="D1064"/>
      <c r="E1064"/>
      <c r="F1064"/>
      <c r="G1064"/>
      <c r="H1064"/>
      <c r="I1064"/>
      <c r="J1064"/>
      <c r="K1064"/>
    </row>
    <row r="1065" spans="1:11" ht="12.75" x14ac:dyDescent="0.35">
      <c r="A1065"/>
      <c r="B1065"/>
      <c r="C1065"/>
      <c r="D1065"/>
      <c r="E1065"/>
      <c r="F1065"/>
      <c r="G1065"/>
      <c r="H1065"/>
      <c r="I1065"/>
      <c r="J1065"/>
      <c r="K1065"/>
    </row>
    <row r="1066" spans="1:11" ht="12.75" x14ac:dyDescent="0.35">
      <c r="A1066"/>
      <c r="B1066"/>
      <c r="C1066"/>
      <c r="D1066"/>
      <c r="E1066"/>
      <c r="F1066"/>
      <c r="G1066"/>
      <c r="H1066"/>
      <c r="I1066"/>
      <c r="J1066"/>
      <c r="K1066"/>
    </row>
    <row r="1067" spans="1:11" ht="12.75" x14ac:dyDescent="0.35">
      <c r="A1067"/>
      <c r="B1067"/>
      <c r="C1067"/>
      <c r="D1067"/>
      <c r="E1067"/>
      <c r="F1067"/>
      <c r="G1067"/>
      <c r="H1067"/>
      <c r="I1067"/>
      <c r="J1067"/>
      <c r="K1067"/>
    </row>
    <row r="1068" spans="1:11" ht="12.75" x14ac:dyDescent="0.35">
      <c r="A1068"/>
      <c r="B1068"/>
      <c r="C1068"/>
      <c r="D1068"/>
      <c r="E1068"/>
      <c r="F1068"/>
      <c r="G1068"/>
      <c r="H1068"/>
      <c r="I1068"/>
      <c r="J1068"/>
      <c r="K1068"/>
    </row>
    <row r="1069" spans="1:11" ht="12.75" x14ac:dyDescent="0.35">
      <c r="A1069"/>
      <c r="B1069"/>
      <c r="C1069"/>
      <c r="D1069"/>
      <c r="E1069"/>
      <c r="F1069"/>
      <c r="G1069"/>
      <c r="H1069"/>
      <c r="I1069"/>
      <c r="J1069"/>
      <c r="K1069"/>
    </row>
    <row r="1070" spans="1:11" ht="12.75" x14ac:dyDescent="0.35">
      <c r="A1070"/>
      <c r="B1070"/>
      <c r="C1070"/>
      <c r="D1070"/>
      <c r="E1070"/>
      <c r="F1070"/>
      <c r="G1070"/>
      <c r="H1070"/>
      <c r="I1070"/>
      <c r="J1070"/>
      <c r="K1070"/>
    </row>
    <row r="1071" spans="1:11" ht="12.75" x14ac:dyDescent="0.35">
      <c r="A1071"/>
      <c r="B1071"/>
      <c r="C1071"/>
      <c r="D1071"/>
      <c r="E1071"/>
      <c r="F1071"/>
      <c r="G1071"/>
      <c r="H1071"/>
      <c r="I1071"/>
      <c r="J1071"/>
      <c r="K1071"/>
    </row>
    <row r="1072" spans="1:11" ht="12.75" x14ac:dyDescent="0.35">
      <c r="A1072"/>
      <c r="B1072"/>
      <c r="C1072"/>
      <c r="D1072"/>
      <c r="E1072"/>
      <c r="F1072"/>
      <c r="G1072"/>
      <c r="H1072"/>
      <c r="I1072"/>
      <c r="J1072"/>
      <c r="K1072"/>
    </row>
    <row r="1073" spans="1:11" ht="12.75" x14ac:dyDescent="0.35">
      <c r="A1073"/>
      <c r="B1073"/>
      <c r="C1073"/>
      <c r="D1073"/>
      <c r="E1073"/>
      <c r="F1073"/>
      <c r="G1073"/>
      <c r="H1073"/>
      <c r="I1073"/>
      <c r="J1073"/>
      <c r="K1073"/>
    </row>
    <row r="1074" spans="1:11" ht="12.75" x14ac:dyDescent="0.35">
      <c r="A1074"/>
      <c r="B1074"/>
      <c r="C1074"/>
      <c r="D1074"/>
      <c r="E1074"/>
      <c r="F1074"/>
      <c r="G1074"/>
      <c r="H1074"/>
      <c r="I1074"/>
      <c r="J1074"/>
      <c r="K1074"/>
    </row>
    <row r="1075" spans="1:11" ht="12.75" x14ac:dyDescent="0.35">
      <c r="A1075"/>
      <c r="B1075"/>
      <c r="C1075"/>
      <c r="D1075"/>
      <c r="E1075"/>
      <c r="F1075"/>
      <c r="G1075"/>
      <c r="H1075"/>
      <c r="I1075"/>
      <c r="J1075"/>
      <c r="K1075"/>
    </row>
    <row r="1076" spans="1:11" ht="12.75" x14ac:dyDescent="0.35">
      <c r="A1076"/>
      <c r="B1076"/>
      <c r="C1076"/>
      <c r="D1076"/>
      <c r="E1076"/>
      <c r="F1076"/>
      <c r="G1076"/>
      <c r="H1076"/>
      <c r="I1076"/>
      <c r="J1076"/>
      <c r="K1076"/>
    </row>
    <row r="1077" spans="1:11" ht="12.75" x14ac:dyDescent="0.35">
      <c r="A1077"/>
      <c r="B1077"/>
      <c r="C1077"/>
      <c r="D1077"/>
      <c r="E1077"/>
      <c r="F1077"/>
      <c r="G1077"/>
      <c r="H1077"/>
      <c r="I1077"/>
      <c r="J1077"/>
      <c r="K1077"/>
    </row>
    <row r="1078" spans="1:11" ht="12.75" x14ac:dyDescent="0.35">
      <c r="A1078"/>
      <c r="B1078"/>
      <c r="C1078"/>
      <c r="D1078"/>
      <c r="E1078"/>
      <c r="F1078"/>
      <c r="G1078"/>
      <c r="H1078"/>
      <c r="I1078"/>
      <c r="J1078"/>
      <c r="K1078"/>
    </row>
    <row r="1079" spans="1:11" ht="12.75" x14ac:dyDescent="0.35">
      <c r="A1079"/>
      <c r="B1079"/>
      <c r="C1079"/>
      <c r="D1079"/>
      <c r="E1079"/>
      <c r="F1079"/>
      <c r="G1079"/>
      <c r="H1079"/>
      <c r="I1079"/>
      <c r="J1079"/>
      <c r="K1079"/>
    </row>
    <row r="1080" spans="1:11" ht="12.75" x14ac:dyDescent="0.35">
      <c r="A1080"/>
      <c r="B1080"/>
      <c r="C1080"/>
      <c r="D1080"/>
      <c r="E1080"/>
      <c r="F1080"/>
      <c r="G1080"/>
      <c r="H1080"/>
      <c r="I1080"/>
      <c r="J1080"/>
      <c r="K1080"/>
    </row>
    <row r="1081" spans="1:11" ht="12.75" x14ac:dyDescent="0.35">
      <c r="A1081"/>
      <c r="B1081"/>
      <c r="C1081"/>
      <c r="D1081"/>
      <c r="E1081"/>
      <c r="F1081"/>
      <c r="G1081"/>
      <c r="H1081"/>
      <c r="I1081"/>
      <c r="J1081"/>
      <c r="K1081"/>
    </row>
    <row r="1082" spans="1:11" ht="12.75" x14ac:dyDescent="0.35">
      <c r="A1082"/>
      <c r="B1082"/>
      <c r="C1082"/>
      <c r="D1082"/>
      <c r="E1082"/>
      <c r="F1082"/>
      <c r="G1082"/>
      <c r="H1082"/>
      <c r="I1082"/>
      <c r="J1082"/>
      <c r="K1082"/>
    </row>
    <row r="1083" spans="1:11" ht="12.75" x14ac:dyDescent="0.35">
      <c r="A1083"/>
      <c r="B1083"/>
      <c r="C1083"/>
      <c r="D1083"/>
      <c r="E1083"/>
      <c r="F1083"/>
      <c r="G1083"/>
      <c r="H1083"/>
      <c r="I1083"/>
      <c r="J1083"/>
      <c r="K1083"/>
    </row>
    <row r="1084" spans="1:11" ht="12.75" x14ac:dyDescent="0.35">
      <c r="A1084"/>
      <c r="B1084"/>
      <c r="C1084"/>
      <c r="D1084"/>
      <c r="E1084"/>
      <c r="F1084"/>
      <c r="G1084"/>
      <c r="H1084"/>
      <c r="I1084"/>
      <c r="J1084"/>
      <c r="K1084"/>
    </row>
    <row r="1085" spans="1:11" ht="12.75" x14ac:dyDescent="0.35">
      <c r="A1085"/>
      <c r="B1085"/>
      <c r="C1085"/>
      <c r="D1085"/>
      <c r="E1085"/>
      <c r="F1085"/>
      <c r="G1085"/>
      <c r="H1085"/>
      <c r="I1085"/>
      <c r="J1085"/>
      <c r="K1085"/>
    </row>
    <row r="1086" spans="1:11" ht="12.75" x14ac:dyDescent="0.35">
      <c r="A1086"/>
      <c r="B1086"/>
      <c r="C1086"/>
      <c r="D1086"/>
      <c r="E1086"/>
      <c r="F1086"/>
      <c r="G1086"/>
      <c r="H1086"/>
      <c r="I1086"/>
      <c r="J1086"/>
      <c r="K1086"/>
    </row>
    <row r="1087" spans="1:11" ht="12.75" x14ac:dyDescent="0.35">
      <c r="A1087"/>
      <c r="B1087"/>
      <c r="C1087"/>
      <c r="D1087"/>
      <c r="E1087"/>
      <c r="F1087"/>
      <c r="G1087"/>
      <c r="H1087"/>
      <c r="I1087"/>
      <c r="J1087"/>
      <c r="K1087"/>
    </row>
    <row r="1088" spans="1:11" ht="12.75" x14ac:dyDescent="0.35">
      <c r="A1088"/>
      <c r="B1088"/>
      <c r="C1088"/>
      <c r="D1088"/>
      <c r="E1088"/>
      <c r="F1088"/>
      <c r="G1088"/>
      <c r="H1088"/>
      <c r="I1088"/>
      <c r="J1088"/>
      <c r="K1088"/>
    </row>
    <row r="1089" spans="1:11" ht="12.75" x14ac:dyDescent="0.35">
      <c r="A1089"/>
      <c r="B1089"/>
      <c r="C1089"/>
      <c r="D1089"/>
      <c r="E1089"/>
      <c r="F1089"/>
      <c r="G1089"/>
      <c r="H1089"/>
      <c r="I1089"/>
      <c r="J1089"/>
      <c r="K1089"/>
    </row>
    <row r="1090" spans="1:11" ht="12.75" x14ac:dyDescent="0.35">
      <c r="A1090"/>
      <c r="B1090"/>
      <c r="C1090"/>
      <c r="D1090"/>
      <c r="E1090"/>
      <c r="F1090"/>
      <c r="G1090"/>
      <c r="H1090"/>
      <c r="I1090"/>
      <c r="J1090"/>
      <c r="K1090"/>
    </row>
    <row r="1091" spans="1:11" ht="12.75" x14ac:dyDescent="0.35">
      <c r="A1091"/>
      <c r="B1091"/>
      <c r="C1091"/>
      <c r="D1091"/>
      <c r="E1091"/>
      <c r="F1091"/>
      <c r="G1091"/>
      <c r="H1091"/>
      <c r="I1091"/>
      <c r="J1091"/>
      <c r="K1091"/>
    </row>
    <row r="1092" spans="1:11" ht="12.75" x14ac:dyDescent="0.35">
      <c r="A1092"/>
      <c r="B1092"/>
      <c r="C1092"/>
      <c r="D1092"/>
      <c r="E1092"/>
      <c r="F1092"/>
      <c r="G1092"/>
      <c r="H1092"/>
      <c r="I1092"/>
      <c r="J1092"/>
      <c r="K1092"/>
    </row>
    <row r="1093" spans="1:11" ht="12.75" x14ac:dyDescent="0.35">
      <c r="A1093"/>
      <c r="B1093"/>
      <c r="C1093"/>
      <c r="D1093"/>
      <c r="E1093"/>
      <c r="F1093"/>
      <c r="G1093"/>
      <c r="H1093"/>
      <c r="I1093"/>
      <c r="J1093"/>
      <c r="K1093"/>
    </row>
    <row r="1094" spans="1:11" ht="12.75" x14ac:dyDescent="0.35">
      <c r="A1094"/>
      <c r="B1094"/>
      <c r="C1094"/>
      <c r="D1094"/>
      <c r="E1094"/>
      <c r="F1094"/>
      <c r="G1094"/>
      <c r="H1094"/>
      <c r="I1094"/>
      <c r="J1094"/>
      <c r="K1094"/>
    </row>
    <row r="1095" spans="1:11" ht="12.75" x14ac:dyDescent="0.35">
      <c r="A1095"/>
      <c r="B1095"/>
      <c r="C1095"/>
      <c r="D1095"/>
      <c r="E1095"/>
      <c r="F1095"/>
      <c r="G1095"/>
      <c r="H1095"/>
      <c r="I1095"/>
      <c r="J1095"/>
      <c r="K1095"/>
    </row>
    <row r="1096" spans="1:11" ht="12.75" x14ac:dyDescent="0.35">
      <c r="A1096"/>
      <c r="B1096"/>
      <c r="C1096"/>
      <c r="D1096"/>
      <c r="E1096"/>
      <c r="F1096"/>
      <c r="G1096"/>
      <c r="H1096"/>
      <c r="I1096"/>
      <c r="J1096"/>
      <c r="K1096"/>
    </row>
    <row r="1097" spans="1:11" ht="12.75" x14ac:dyDescent="0.35">
      <c r="A1097"/>
      <c r="B1097"/>
      <c r="C1097"/>
      <c r="D1097"/>
      <c r="E1097"/>
      <c r="F1097"/>
      <c r="G1097"/>
      <c r="H1097"/>
      <c r="I1097"/>
      <c r="J1097"/>
      <c r="K1097"/>
    </row>
    <row r="1098" spans="1:11" ht="12.75" x14ac:dyDescent="0.35">
      <c r="A1098"/>
      <c r="B1098"/>
      <c r="C1098"/>
      <c r="D1098"/>
      <c r="E1098"/>
      <c r="F1098"/>
      <c r="G1098"/>
      <c r="H1098"/>
      <c r="I1098"/>
      <c r="J1098"/>
      <c r="K1098"/>
    </row>
    <row r="1099" spans="1:11" ht="12.75" x14ac:dyDescent="0.35">
      <c r="A1099"/>
      <c r="B1099"/>
      <c r="C1099"/>
      <c r="D1099"/>
      <c r="E1099"/>
      <c r="F1099"/>
      <c r="G1099"/>
      <c r="H1099"/>
      <c r="I1099"/>
      <c r="J1099"/>
      <c r="K1099"/>
    </row>
    <row r="1100" spans="1:11" ht="12.75" x14ac:dyDescent="0.35">
      <c r="A1100"/>
      <c r="B1100"/>
      <c r="C1100"/>
      <c r="D1100"/>
      <c r="E1100"/>
      <c r="F1100"/>
      <c r="G1100"/>
      <c r="H1100"/>
      <c r="I1100"/>
      <c r="J1100"/>
      <c r="K1100"/>
    </row>
    <row r="1101" spans="1:11" ht="12.75" x14ac:dyDescent="0.35">
      <c r="A1101"/>
      <c r="B1101"/>
      <c r="C1101"/>
      <c r="D1101"/>
      <c r="E1101"/>
      <c r="F1101"/>
      <c r="G1101"/>
      <c r="H1101"/>
      <c r="I1101"/>
      <c r="J1101"/>
      <c r="K1101"/>
    </row>
    <row r="1102" spans="1:11" ht="12.75" x14ac:dyDescent="0.35">
      <c r="A1102"/>
      <c r="B1102"/>
      <c r="C1102"/>
      <c r="D1102"/>
      <c r="E1102"/>
      <c r="F1102"/>
      <c r="G1102"/>
      <c r="H1102"/>
      <c r="I1102"/>
      <c r="J1102"/>
      <c r="K1102"/>
    </row>
    <row r="1103" spans="1:11" ht="12.75" x14ac:dyDescent="0.35">
      <c r="A1103"/>
      <c r="B1103"/>
      <c r="C1103"/>
      <c r="D1103"/>
      <c r="E1103"/>
      <c r="F1103"/>
      <c r="G1103"/>
      <c r="H1103"/>
      <c r="I1103"/>
      <c r="J1103"/>
      <c r="K1103"/>
    </row>
    <row r="1104" spans="1:11" ht="12.75" x14ac:dyDescent="0.35">
      <c r="A1104"/>
      <c r="B1104"/>
      <c r="C1104"/>
      <c r="D1104"/>
      <c r="E1104"/>
      <c r="F1104"/>
      <c r="G1104"/>
      <c r="H1104"/>
      <c r="I1104"/>
      <c r="J1104"/>
      <c r="K1104"/>
    </row>
    <row r="1105" spans="1:11" ht="12.75" x14ac:dyDescent="0.35">
      <c r="A1105"/>
      <c r="B1105"/>
      <c r="C1105"/>
      <c r="D1105"/>
      <c r="E1105"/>
      <c r="F1105"/>
      <c r="G1105"/>
      <c r="H1105"/>
      <c r="I1105"/>
      <c r="J1105"/>
      <c r="K1105"/>
    </row>
    <row r="1106" spans="1:11" ht="12.75" x14ac:dyDescent="0.35">
      <c r="A1106"/>
      <c r="B1106"/>
      <c r="C1106"/>
      <c r="D1106"/>
      <c r="E1106"/>
      <c r="F1106"/>
      <c r="G1106"/>
      <c r="H1106"/>
      <c r="I1106"/>
      <c r="J1106"/>
      <c r="K1106"/>
    </row>
    <row r="1107" spans="1:11" ht="12.75" x14ac:dyDescent="0.35">
      <c r="A1107"/>
      <c r="B1107"/>
      <c r="C1107"/>
      <c r="D1107"/>
      <c r="E1107"/>
      <c r="F1107"/>
      <c r="G1107"/>
      <c r="H1107"/>
      <c r="I1107"/>
      <c r="J1107"/>
      <c r="K1107"/>
    </row>
    <row r="1108" spans="1:11" ht="12.75" x14ac:dyDescent="0.35">
      <c r="A1108"/>
      <c r="B1108"/>
      <c r="C1108"/>
      <c r="D1108"/>
      <c r="E1108"/>
      <c r="F1108"/>
      <c r="G1108"/>
      <c r="H1108"/>
      <c r="I1108"/>
      <c r="J1108"/>
      <c r="K1108"/>
    </row>
    <row r="1109" spans="1:11" ht="12.75" x14ac:dyDescent="0.35">
      <c r="A1109"/>
      <c r="B1109"/>
      <c r="C1109"/>
      <c r="D1109"/>
      <c r="E1109"/>
      <c r="F1109"/>
      <c r="G1109"/>
      <c r="H1109"/>
      <c r="I1109"/>
      <c r="J1109"/>
      <c r="K1109"/>
    </row>
    <row r="1110" spans="1:11" ht="12.75" x14ac:dyDescent="0.35">
      <c r="A1110"/>
      <c r="B1110"/>
      <c r="C1110"/>
      <c r="D1110"/>
      <c r="E1110"/>
      <c r="F1110"/>
      <c r="G1110"/>
      <c r="H1110"/>
      <c r="I1110"/>
      <c r="J1110"/>
      <c r="K1110"/>
    </row>
    <row r="1111" spans="1:11" ht="12.75" x14ac:dyDescent="0.35">
      <c r="A1111"/>
      <c r="B1111"/>
      <c r="C1111"/>
      <c r="D1111"/>
      <c r="E1111"/>
      <c r="F1111"/>
      <c r="G1111"/>
      <c r="H1111"/>
      <c r="I1111"/>
      <c r="J1111"/>
      <c r="K1111"/>
    </row>
    <row r="1112" spans="1:11" ht="12.75" x14ac:dyDescent="0.35">
      <c r="A1112"/>
      <c r="B1112"/>
      <c r="C1112"/>
      <c r="D1112"/>
      <c r="E1112"/>
      <c r="F1112"/>
      <c r="G1112"/>
      <c r="H1112"/>
      <c r="I1112"/>
      <c r="J1112"/>
      <c r="K1112"/>
    </row>
    <row r="1113" spans="1:11" ht="12.75" x14ac:dyDescent="0.35">
      <c r="A1113"/>
      <c r="B1113"/>
      <c r="C1113"/>
      <c r="D1113"/>
      <c r="E1113"/>
      <c r="F1113"/>
      <c r="G1113"/>
      <c r="H1113"/>
      <c r="I1113"/>
      <c r="J1113"/>
      <c r="K1113"/>
    </row>
    <row r="1114" spans="1:11" ht="12.75" x14ac:dyDescent="0.35">
      <c r="A1114"/>
      <c r="B1114"/>
      <c r="C1114"/>
      <c r="D1114"/>
      <c r="E1114"/>
      <c r="F1114"/>
      <c r="G1114"/>
      <c r="H1114"/>
      <c r="I1114"/>
      <c r="J1114"/>
      <c r="K1114"/>
    </row>
    <row r="1115" spans="1:11" ht="12.75" x14ac:dyDescent="0.35">
      <c r="A1115"/>
      <c r="B1115"/>
      <c r="C1115"/>
      <c r="D1115"/>
      <c r="E1115"/>
      <c r="F1115"/>
      <c r="G1115"/>
      <c r="H1115"/>
      <c r="I1115"/>
      <c r="J1115"/>
      <c r="K1115"/>
    </row>
    <row r="1116" spans="1:11" ht="12.75" x14ac:dyDescent="0.35">
      <c r="A1116"/>
      <c r="B1116"/>
      <c r="C1116"/>
      <c r="D1116"/>
      <c r="E1116"/>
      <c r="F1116"/>
      <c r="G1116"/>
      <c r="H1116"/>
      <c r="I1116"/>
      <c r="J1116"/>
      <c r="K1116"/>
    </row>
    <row r="1117" spans="1:11" ht="12.75" x14ac:dyDescent="0.35">
      <c r="A1117"/>
      <c r="B1117"/>
      <c r="C1117"/>
      <c r="D1117"/>
      <c r="E1117"/>
      <c r="F1117"/>
      <c r="G1117"/>
      <c r="H1117"/>
      <c r="I1117"/>
      <c r="J1117"/>
      <c r="K1117"/>
    </row>
    <row r="1118" spans="1:11" ht="12.75" x14ac:dyDescent="0.35">
      <c r="A1118"/>
      <c r="B1118"/>
      <c r="C1118"/>
      <c r="D1118"/>
      <c r="E1118"/>
      <c r="F1118"/>
      <c r="G1118"/>
      <c r="H1118"/>
      <c r="I1118"/>
      <c r="J1118"/>
      <c r="K1118"/>
    </row>
    <row r="1119" spans="1:11" ht="12.75" x14ac:dyDescent="0.35">
      <c r="A1119"/>
      <c r="B1119"/>
      <c r="C1119"/>
      <c r="D1119"/>
      <c r="E1119"/>
      <c r="F1119"/>
      <c r="G1119"/>
      <c r="H1119"/>
      <c r="I1119"/>
      <c r="J1119"/>
      <c r="K1119"/>
    </row>
    <row r="1120" spans="1:11" ht="12.75" x14ac:dyDescent="0.35">
      <c r="A1120"/>
      <c r="B1120"/>
      <c r="C1120"/>
      <c r="D1120"/>
      <c r="E1120"/>
      <c r="F1120"/>
      <c r="G1120"/>
      <c r="H1120"/>
      <c r="I1120"/>
      <c r="J1120"/>
      <c r="K1120"/>
    </row>
    <row r="1121" spans="1:11" ht="12.75" x14ac:dyDescent="0.35">
      <c r="A1121"/>
      <c r="B1121"/>
      <c r="C1121"/>
      <c r="D1121"/>
      <c r="E1121"/>
      <c r="F1121"/>
      <c r="G1121"/>
      <c r="H1121"/>
      <c r="I1121"/>
      <c r="J1121"/>
      <c r="K1121"/>
    </row>
    <row r="1122" spans="1:11" ht="12.75" x14ac:dyDescent="0.35">
      <c r="A1122"/>
      <c r="B1122"/>
      <c r="C1122"/>
      <c r="D1122"/>
      <c r="E1122"/>
      <c r="F1122"/>
      <c r="G1122"/>
      <c r="H1122"/>
      <c r="I1122"/>
      <c r="J1122"/>
      <c r="K1122"/>
    </row>
    <row r="1123" spans="1:11" ht="12.75" x14ac:dyDescent="0.35">
      <c r="A1123"/>
      <c r="B1123"/>
      <c r="C1123"/>
      <c r="D1123"/>
      <c r="E1123"/>
      <c r="F1123"/>
      <c r="G1123"/>
      <c r="H1123"/>
      <c r="I1123"/>
      <c r="J1123"/>
      <c r="K1123"/>
    </row>
    <row r="1124" spans="1:11" ht="12.75" x14ac:dyDescent="0.35">
      <c r="A1124"/>
      <c r="B1124"/>
      <c r="C1124"/>
      <c r="D1124"/>
      <c r="E1124"/>
      <c r="F1124"/>
      <c r="G1124"/>
      <c r="H1124"/>
      <c r="I1124"/>
      <c r="J1124"/>
      <c r="K1124"/>
    </row>
    <row r="1125" spans="1:11" ht="12.75" x14ac:dyDescent="0.35">
      <c r="A1125"/>
      <c r="B1125"/>
      <c r="C1125"/>
      <c r="D1125"/>
      <c r="E1125"/>
      <c r="F1125"/>
      <c r="G1125"/>
      <c r="H1125"/>
      <c r="I1125"/>
      <c r="J1125"/>
      <c r="K1125"/>
    </row>
    <row r="1126" spans="1:11" ht="12.75" x14ac:dyDescent="0.35">
      <c r="A1126"/>
      <c r="B1126"/>
      <c r="C1126"/>
      <c r="D1126"/>
      <c r="E1126"/>
      <c r="F1126"/>
      <c r="G1126"/>
      <c r="H1126"/>
      <c r="I1126"/>
      <c r="J1126"/>
      <c r="K1126"/>
    </row>
    <row r="1127" spans="1:11" ht="12.75" x14ac:dyDescent="0.35">
      <c r="A1127"/>
      <c r="B1127"/>
      <c r="C1127"/>
      <c r="D1127"/>
      <c r="E1127"/>
      <c r="F1127"/>
      <c r="G1127"/>
      <c r="H1127"/>
      <c r="I1127"/>
      <c r="J1127"/>
      <c r="K1127"/>
    </row>
    <row r="1128" spans="1:11" ht="12.75" x14ac:dyDescent="0.35">
      <c r="A1128"/>
      <c r="B1128"/>
      <c r="C1128"/>
      <c r="D1128"/>
      <c r="E1128"/>
      <c r="F1128"/>
      <c r="G1128"/>
      <c r="H1128"/>
      <c r="I1128"/>
      <c r="J1128"/>
      <c r="K1128"/>
    </row>
    <row r="1129" spans="1:11" ht="12.75" x14ac:dyDescent="0.35">
      <c r="A1129"/>
      <c r="B1129"/>
      <c r="C1129"/>
      <c r="D1129"/>
      <c r="E1129"/>
      <c r="F1129"/>
      <c r="G1129"/>
      <c r="H1129"/>
      <c r="I1129"/>
      <c r="J1129"/>
      <c r="K1129"/>
    </row>
    <row r="1130" spans="1:11" ht="12.75" x14ac:dyDescent="0.35">
      <c r="A1130"/>
      <c r="B1130"/>
      <c r="C1130"/>
      <c r="D1130"/>
      <c r="E1130"/>
      <c r="F1130"/>
      <c r="G1130"/>
      <c r="H1130"/>
      <c r="I1130"/>
      <c r="J1130"/>
      <c r="K1130"/>
    </row>
    <row r="1131" spans="1:11" ht="12.75" x14ac:dyDescent="0.35">
      <c r="A1131"/>
      <c r="B1131"/>
      <c r="C1131"/>
      <c r="D1131"/>
      <c r="E1131"/>
      <c r="F1131"/>
      <c r="G1131"/>
      <c r="H1131"/>
      <c r="I1131"/>
      <c r="J1131"/>
      <c r="K1131"/>
    </row>
    <row r="1132" spans="1:11" ht="12.75" x14ac:dyDescent="0.35">
      <c r="A1132"/>
      <c r="B1132"/>
      <c r="C1132"/>
      <c r="D1132"/>
      <c r="E1132"/>
      <c r="F1132"/>
      <c r="G1132"/>
      <c r="H1132"/>
      <c r="I1132"/>
      <c r="J1132"/>
      <c r="K1132"/>
    </row>
    <row r="1133" spans="1:11" ht="12.75" x14ac:dyDescent="0.35">
      <c r="A1133"/>
      <c r="B1133"/>
      <c r="C1133"/>
      <c r="D1133"/>
      <c r="E1133"/>
      <c r="F1133"/>
      <c r="G1133"/>
      <c r="H1133"/>
      <c r="I1133"/>
      <c r="J1133"/>
      <c r="K1133"/>
    </row>
    <row r="1134" spans="1:11" ht="12.75" x14ac:dyDescent="0.35">
      <c r="A1134"/>
      <c r="B1134"/>
      <c r="C1134"/>
      <c r="D1134"/>
      <c r="E1134"/>
      <c r="F1134"/>
      <c r="G1134"/>
      <c r="H1134"/>
      <c r="I1134"/>
      <c r="J1134"/>
      <c r="K1134"/>
    </row>
    <row r="1135" spans="1:11" ht="12.75" x14ac:dyDescent="0.35">
      <c r="A1135"/>
      <c r="B1135"/>
      <c r="C1135"/>
      <c r="D1135"/>
      <c r="E1135"/>
      <c r="F1135"/>
      <c r="G1135"/>
      <c r="H1135"/>
      <c r="I1135"/>
      <c r="J1135"/>
      <c r="K1135"/>
    </row>
    <row r="1136" spans="1:11" ht="12.75" x14ac:dyDescent="0.35">
      <c r="A1136"/>
      <c r="B1136"/>
      <c r="C1136"/>
      <c r="D1136"/>
      <c r="E1136"/>
      <c r="F1136"/>
      <c r="G1136"/>
      <c r="H1136"/>
      <c r="I1136"/>
      <c r="J1136"/>
      <c r="K1136"/>
    </row>
    <row r="1137" spans="1:11" ht="12.75" x14ac:dyDescent="0.35">
      <c r="A1137"/>
      <c r="B1137"/>
      <c r="C1137"/>
      <c r="D1137"/>
      <c r="E1137"/>
      <c r="F1137"/>
      <c r="G1137"/>
      <c r="H1137"/>
      <c r="I1137"/>
      <c r="J1137"/>
      <c r="K1137"/>
    </row>
    <row r="1138" spans="1:11" ht="12.75" x14ac:dyDescent="0.35">
      <c r="A1138"/>
      <c r="B1138"/>
      <c r="C1138"/>
      <c r="D1138"/>
      <c r="E1138"/>
      <c r="F1138"/>
      <c r="G1138"/>
      <c r="H1138"/>
      <c r="I1138"/>
      <c r="J1138"/>
      <c r="K1138"/>
    </row>
    <row r="1139" spans="1:11" ht="12.75" x14ac:dyDescent="0.35">
      <c r="A1139"/>
      <c r="B1139"/>
      <c r="C1139"/>
      <c r="D1139"/>
      <c r="E1139"/>
      <c r="F1139"/>
      <c r="G1139"/>
      <c r="H1139"/>
      <c r="I1139"/>
      <c r="J1139"/>
      <c r="K1139"/>
    </row>
    <row r="1140" spans="1:11" ht="12.75" x14ac:dyDescent="0.35">
      <c r="A1140"/>
      <c r="B1140"/>
      <c r="C1140"/>
      <c r="D1140"/>
      <c r="E1140"/>
      <c r="F1140"/>
      <c r="G1140"/>
      <c r="H1140"/>
      <c r="I1140"/>
      <c r="J1140"/>
      <c r="K1140"/>
    </row>
    <row r="1141" spans="1:11" ht="12.75" x14ac:dyDescent="0.35">
      <c r="A1141"/>
      <c r="B1141"/>
      <c r="C1141"/>
      <c r="D1141"/>
      <c r="E1141"/>
      <c r="F1141"/>
      <c r="G1141"/>
      <c r="H1141"/>
      <c r="I1141"/>
      <c r="J1141"/>
      <c r="K1141"/>
    </row>
    <row r="1142" spans="1:11" ht="12.75" x14ac:dyDescent="0.35">
      <c r="A1142"/>
      <c r="B1142"/>
      <c r="C1142"/>
      <c r="D1142"/>
      <c r="E1142"/>
      <c r="F1142"/>
      <c r="G1142"/>
      <c r="H1142"/>
      <c r="I1142"/>
      <c r="J1142"/>
      <c r="K1142"/>
    </row>
    <row r="1143" spans="1:11" ht="12.75" x14ac:dyDescent="0.35">
      <c r="A1143"/>
      <c r="B1143"/>
      <c r="C1143"/>
      <c r="D1143"/>
      <c r="E1143"/>
      <c r="F1143"/>
      <c r="G1143"/>
      <c r="H1143"/>
      <c r="I1143"/>
      <c r="J1143"/>
      <c r="K1143"/>
    </row>
    <row r="1144" spans="1:11" ht="12.75" x14ac:dyDescent="0.35">
      <c r="A1144"/>
      <c r="B1144"/>
      <c r="C1144"/>
      <c r="D1144"/>
      <c r="E1144"/>
      <c r="F1144"/>
      <c r="G1144"/>
      <c r="H1144"/>
      <c r="I1144"/>
      <c r="J1144"/>
      <c r="K1144"/>
    </row>
    <row r="1145" spans="1:11" ht="12.75" x14ac:dyDescent="0.35">
      <c r="A1145"/>
      <c r="B1145"/>
      <c r="C1145"/>
      <c r="D1145"/>
      <c r="E1145"/>
      <c r="F1145"/>
      <c r="G1145"/>
      <c r="H1145"/>
      <c r="I1145"/>
      <c r="J1145"/>
      <c r="K1145"/>
    </row>
    <row r="1146" spans="1:11" ht="12.75" x14ac:dyDescent="0.35">
      <c r="A1146"/>
      <c r="B1146"/>
      <c r="C1146"/>
      <c r="D1146"/>
      <c r="E1146"/>
      <c r="F1146"/>
      <c r="G1146"/>
      <c r="H1146"/>
      <c r="I1146"/>
      <c r="J1146"/>
      <c r="K1146"/>
    </row>
    <row r="1147" spans="1:11" ht="12.75" x14ac:dyDescent="0.35">
      <c r="A1147"/>
      <c r="B1147"/>
      <c r="C1147"/>
      <c r="D1147"/>
      <c r="E1147"/>
      <c r="F1147"/>
      <c r="G1147"/>
      <c r="H1147"/>
      <c r="I1147"/>
      <c r="J1147"/>
      <c r="K1147"/>
    </row>
    <row r="1148" spans="1:11" ht="12.75" x14ac:dyDescent="0.35">
      <c r="A1148"/>
      <c r="B1148"/>
      <c r="C1148"/>
      <c r="D1148"/>
      <c r="E1148"/>
      <c r="F1148"/>
      <c r="G1148"/>
      <c r="H1148"/>
      <c r="I1148"/>
      <c r="J1148"/>
      <c r="K1148"/>
    </row>
    <row r="1149" spans="1:11" ht="12.75" x14ac:dyDescent="0.35">
      <c r="A1149"/>
      <c r="B1149"/>
      <c r="C1149"/>
      <c r="D1149"/>
      <c r="E1149"/>
      <c r="F1149"/>
      <c r="G1149"/>
      <c r="H1149"/>
      <c r="I1149"/>
      <c r="J1149"/>
      <c r="K1149"/>
    </row>
    <row r="1150" spans="1:11" ht="12.75" x14ac:dyDescent="0.35">
      <c r="A1150"/>
      <c r="B1150"/>
      <c r="C1150"/>
      <c r="D1150"/>
      <c r="E1150"/>
      <c r="F1150"/>
      <c r="G1150"/>
      <c r="H1150"/>
      <c r="I1150"/>
      <c r="J1150"/>
      <c r="K1150"/>
    </row>
    <row r="1151" spans="1:11" ht="12.75" x14ac:dyDescent="0.35">
      <c r="A1151"/>
      <c r="B1151"/>
      <c r="C1151"/>
      <c r="D1151"/>
      <c r="E1151"/>
      <c r="F1151"/>
      <c r="G1151"/>
      <c r="H1151"/>
      <c r="I1151"/>
      <c r="J1151"/>
      <c r="K1151"/>
    </row>
    <row r="1152" spans="1:11" ht="12.75" x14ac:dyDescent="0.35">
      <c r="A1152"/>
      <c r="B1152"/>
      <c r="C1152"/>
      <c r="D1152"/>
      <c r="E1152"/>
      <c r="F1152"/>
      <c r="G1152"/>
      <c r="H1152"/>
      <c r="I1152"/>
      <c r="J1152"/>
      <c r="K1152"/>
    </row>
    <row r="1153" spans="1:11" ht="12.75" x14ac:dyDescent="0.35">
      <c r="A1153"/>
      <c r="B1153"/>
      <c r="C1153"/>
      <c r="D1153"/>
      <c r="E1153"/>
      <c r="F1153"/>
      <c r="G1153"/>
      <c r="H1153"/>
      <c r="I1153"/>
      <c r="J1153"/>
      <c r="K1153"/>
    </row>
    <row r="1154" spans="1:11" ht="12.75" x14ac:dyDescent="0.35">
      <c r="A1154"/>
      <c r="B1154"/>
      <c r="C1154"/>
      <c r="D1154"/>
      <c r="E1154"/>
      <c r="F1154"/>
      <c r="G1154"/>
      <c r="H1154"/>
      <c r="I1154"/>
      <c r="J1154"/>
      <c r="K1154"/>
    </row>
    <row r="1155" spans="1:11" ht="12.75" x14ac:dyDescent="0.35">
      <c r="A1155"/>
      <c r="B1155"/>
      <c r="C1155"/>
      <c r="D1155"/>
      <c r="E1155"/>
      <c r="F1155"/>
      <c r="G1155"/>
      <c r="H1155"/>
      <c r="I1155"/>
      <c r="J1155"/>
      <c r="K1155"/>
    </row>
    <row r="1156" spans="1:11" ht="12.75" x14ac:dyDescent="0.35">
      <c r="A1156"/>
      <c r="B1156"/>
      <c r="C1156"/>
      <c r="D1156"/>
      <c r="E1156"/>
      <c r="F1156"/>
      <c r="G1156"/>
      <c r="H1156"/>
      <c r="I1156"/>
      <c r="J1156"/>
      <c r="K1156"/>
    </row>
    <row r="1157" spans="1:11" ht="12.75" x14ac:dyDescent="0.35">
      <c r="A1157"/>
      <c r="B1157"/>
      <c r="C1157"/>
      <c r="D1157"/>
      <c r="E1157"/>
      <c r="F1157"/>
      <c r="G1157"/>
      <c r="H1157"/>
      <c r="I1157"/>
      <c r="J1157"/>
      <c r="K1157"/>
    </row>
    <row r="1158" spans="1:11" ht="12.75" x14ac:dyDescent="0.35">
      <c r="A1158"/>
      <c r="B1158"/>
      <c r="C1158"/>
      <c r="D1158"/>
      <c r="E1158"/>
      <c r="F1158"/>
      <c r="G1158"/>
      <c r="H1158"/>
      <c r="I1158"/>
      <c r="J1158"/>
      <c r="K1158"/>
    </row>
    <row r="1159" spans="1:11" ht="12.75" x14ac:dyDescent="0.35">
      <c r="A1159"/>
      <c r="B1159"/>
      <c r="C1159"/>
      <c r="D1159"/>
      <c r="E1159"/>
      <c r="F1159"/>
      <c r="G1159"/>
      <c r="H1159"/>
      <c r="I1159"/>
      <c r="J1159"/>
      <c r="K1159"/>
    </row>
    <row r="1160" spans="1:11" ht="12.75" x14ac:dyDescent="0.35">
      <c r="A1160"/>
      <c r="B1160"/>
      <c r="C1160"/>
      <c r="D1160"/>
      <c r="E1160"/>
      <c r="F1160"/>
      <c r="G1160"/>
      <c r="H1160"/>
      <c r="I1160"/>
      <c r="J1160"/>
      <c r="K1160"/>
    </row>
    <row r="1161" spans="1:11" ht="12.75" x14ac:dyDescent="0.35">
      <c r="A1161"/>
      <c r="B1161"/>
      <c r="C1161"/>
      <c r="D1161"/>
      <c r="E1161"/>
      <c r="F1161"/>
      <c r="G1161"/>
      <c r="H1161"/>
      <c r="I1161"/>
      <c r="J1161"/>
      <c r="K1161"/>
    </row>
    <row r="1162" spans="1:11" ht="12.75" x14ac:dyDescent="0.35">
      <c r="A1162"/>
      <c r="B1162"/>
      <c r="C1162"/>
      <c r="D1162"/>
      <c r="E1162"/>
      <c r="F1162"/>
      <c r="G1162"/>
      <c r="H1162"/>
      <c r="I1162"/>
      <c r="J1162"/>
      <c r="K1162"/>
    </row>
    <row r="1163" spans="1:11" ht="12.75" x14ac:dyDescent="0.35">
      <c r="A1163"/>
      <c r="B1163"/>
      <c r="C1163"/>
      <c r="D1163"/>
      <c r="E1163"/>
      <c r="F1163"/>
      <c r="G1163"/>
      <c r="H1163"/>
      <c r="I1163"/>
      <c r="J1163"/>
      <c r="K1163"/>
    </row>
    <row r="1164" spans="1:11" ht="12.75" x14ac:dyDescent="0.35">
      <c r="A1164"/>
      <c r="B1164"/>
      <c r="C1164"/>
      <c r="D1164"/>
      <c r="E1164"/>
      <c r="F1164"/>
      <c r="G1164"/>
      <c r="H1164"/>
      <c r="I1164"/>
      <c r="J1164"/>
      <c r="K1164"/>
    </row>
    <row r="1165" spans="1:11" ht="12.75" x14ac:dyDescent="0.35">
      <c r="A1165"/>
      <c r="B1165"/>
      <c r="C1165"/>
      <c r="D1165"/>
      <c r="E1165"/>
      <c r="F1165"/>
      <c r="G1165"/>
      <c r="H1165"/>
      <c r="I1165"/>
      <c r="J1165"/>
      <c r="K1165"/>
    </row>
    <row r="1166" spans="1:11" ht="12.75" x14ac:dyDescent="0.35">
      <c r="A1166"/>
      <c r="B1166"/>
      <c r="C1166"/>
      <c r="D1166"/>
      <c r="E1166"/>
      <c r="F1166"/>
      <c r="G1166"/>
      <c r="H1166"/>
      <c r="I1166"/>
      <c r="J1166"/>
      <c r="K1166"/>
    </row>
    <row r="1167" spans="1:11" ht="12.75" x14ac:dyDescent="0.35">
      <c r="A1167"/>
      <c r="B1167"/>
      <c r="C1167"/>
      <c r="D1167"/>
      <c r="E1167"/>
      <c r="F1167"/>
      <c r="G1167"/>
      <c r="H1167"/>
      <c r="I1167"/>
      <c r="J1167"/>
      <c r="K1167"/>
    </row>
    <row r="1168" spans="1:11" ht="12.75" x14ac:dyDescent="0.35">
      <c r="A1168"/>
      <c r="B1168"/>
      <c r="C1168"/>
      <c r="D1168"/>
      <c r="E1168"/>
      <c r="F1168"/>
      <c r="G1168"/>
      <c r="H1168"/>
      <c r="I1168"/>
      <c r="J1168"/>
      <c r="K1168"/>
    </row>
    <row r="1169" spans="1:11" ht="12.75" x14ac:dyDescent="0.35">
      <c r="A1169"/>
      <c r="B1169"/>
      <c r="C1169"/>
      <c r="D1169"/>
      <c r="E1169"/>
      <c r="F1169"/>
      <c r="G1169"/>
      <c r="H1169"/>
      <c r="I1169"/>
      <c r="J1169"/>
      <c r="K1169"/>
    </row>
    <row r="1170" spans="1:11" ht="12.75" x14ac:dyDescent="0.35">
      <c r="A1170"/>
      <c r="B1170"/>
      <c r="C1170"/>
      <c r="D1170"/>
      <c r="E1170"/>
      <c r="F1170"/>
      <c r="G1170"/>
      <c r="H1170"/>
      <c r="I1170"/>
      <c r="J1170"/>
      <c r="K1170"/>
    </row>
    <row r="1171" spans="1:11" ht="12.75" x14ac:dyDescent="0.35">
      <c r="A1171"/>
      <c r="B1171"/>
      <c r="C1171"/>
      <c r="D1171"/>
      <c r="E1171"/>
      <c r="F1171"/>
      <c r="G1171"/>
      <c r="H1171"/>
      <c r="I1171"/>
      <c r="J1171"/>
      <c r="K1171"/>
    </row>
    <row r="1172" spans="1:11" ht="12.75" x14ac:dyDescent="0.35">
      <c r="A1172"/>
      <c r="B1172"/>
      <c r="C1172"/>
      <c r="D1172"/>
      <c r="E1172"/>
      <c r="F1172"/>
      <c r="G1172"/>
      <c r="H1172"/>
      <c r="I1172"/>
      <c r="J1172"/>
      <c r="K1172"/>
    </row>
    <row r="1173" spans="1:11" ht="12.75" x14ac:dyDescent="0.35">
      <c r="A1173"/>
      <c r="B1173"/>
      <c r="C1173"/>
      <c r="D1173"/>
      <c r="E1173"/>
      <c r="F1173"/>
      <c r="G1173"/>
      <c r="H1173"/>
      <c r="I1173"/>
      <c r="J1173"/>
      <c r="K1173"/>
    </row>
    <row r="1174" spans="1:11" ht="12.75" x14ac:dyDescent="0.35">
      <c r="A1174"/>
      <c r="B1174"/>
      <c r="C1174"/>
      <c r="D1174"/>
      <c r="E1174"/>
      <c r="F1174"/>
      <c r="G1174"/>
      <c r="H1174"/>
      <c r="I1174"/>
      <c r="J1174"/>
      <c r="K1174"/>
    </row>
    <row r="1175" spans="1:11" ht="12.75" x14ac:dyDescent="0.35">
      <c r="A1175"/>
      <c r="B1175"/>
      <c r="C1175"/>
      <c r="D1175"/>
      <c r="E1175"/>
      <c r="F1175"/>
      <c r="G1175"/>
      <c r="H1175"/>
      <c r="I1175"/>
      <c r="J1175"/>
      <c r="K1175"/>
    </row>
    <row r="1176" spans="1:11" ht="12.75" x14ac:dyDescent="0.35">
      <c r="A1176"/>
      <c r="B1176"/>
      <c r="C1176"/>
      <c r="D1176"/>
      <c r="E1176"/>
      <c r="F1176"/>
      <c r="G1176"/>
      <c r="H1176"/>
      <c r="I1176"/>
      <c r="J1176"/>
      <c r="K1176"/>
    </row>
    <row r="1177" spans="1:11" ht="12.75" x14ac:dyDescent="0.35">
      <c r="A1177"/>
      <c r="B1177"/>
      <c r="C1177"/>
      <c r="D1177"/>
      <c r="E1177"/>
      <c r="F1177"/>
      <c r="G1177"/>
      <c r="H1177"/>
      <c r="I1177"/>
      <c r="J1177"/>
      <c r="K1177"/>
    </row>
    <row r="1178" spans="1:11" ht="12.75" x14ac:dyDescent="0.35">
      <c r="A1178"/>
      <c r="B1178"/>
      <c r="C1178"/>
      <c r="D1178"/>
      <c r="E1178"/>
      <c r="F1178"/>
      <c r="G1178"/>
      <c r="H1178"/>
      <c r="I1178"/>
      <c r="J1178"/>
      <c r="K1178"/>
    </row>
    <row r="1179" spans="1:11" ht="12.75" x14ac:dyDescent="0.35">
      <c r="A1179"/>
      <c r="B1179"/>
      <c r="C1179"/>
      <c r="D1179"/>
      <c r="E1179"/>
      <c r="F1179"/>
      <c r="G1179"/>
      <c r="H1179"/>
      <c r="I1179"/>
      <c r="J1179"/>
      <c r="K1179"/>
    </row>
    <row r="1180" spans="1:11" ht="12.75" x14ac:dyDescent="0.35">
      <c r="A1180"/>
      <c r="B1180"/>
      <c r="C1180"/>
      <c r="D1180"/>
      <c r="E1180"/>
      <c r="F1180"/>
      <c r="G1180"/>
      <c r="H1180"/>
      <c r="I1180"/>
      <c r="J1180"/>
      <c r="K1180"/>
    </row>
    <row r="1181" spans="1:11" ht="12.75" x14ac:dyDescent="0.35">
      <c r="A1181"/>
      <c r="B1181"/>
      <c r="C1181"/>
      <c r="D1181"/>
      <c r="E1181"/>
      <c r="F1181"/>
      <c r="G1181"/>
      <c r="H1181"/>
      <c r="I1181"/>
      <c r="J1181"/>
      <c r="K1181"/>
    </row>
    <row r="1182" spans="1:11" ht="12.75" x14ac:dyDescent="0.35">
      <c r="A1182"/>
      <c r="B1182"/>
      <c r="C1182"/>
      <c r="D1182"/>
      <c r="E1182"/>
      <c r="F1182"/>
      <c r="G1182"/>
      <c r="H1182"/>
      <c r="I1182"/>
      <c r="J1182"/>
      <c r="K1182"/>
    </row>
    <row r="1183" spans="1:11" ht="12.75" x14ac:dyDescent="0.35">
      <c r="A1183"/>
      <c r="B1183"/>
      <c r="C1183"/>
      <c r="D1183"/>
      <c r="E1183"/>
      <c r="F1183"/>
      <c r="G1183"/>
      <c r="H1183"/>
      <c r="I1183"/>
      <c r="J1183"/>
      <c r="K1183"/>
    </row>
    <row r="1184" spans="1:11" ht="12.75" x14ac:dyDescent="0.35">
      <c r="A1184"/>
      <c r="B1184"/>
      <c r="C1184"/>
      <c r="D1184"/>
      <c r="E1184"/>
      <c r="F1184"/>
      <c r="G1184"/>
      <c r="H1184"/>
      <c r="I1184"/>
      <c r="J1184"/>
      <c r="K1184"/>
    </row>
    <row r="1185" spans="1:11" ht="12.75" x14ac:dyDescent="0.35">
      <c r="A1185"/>
      <c r="B1185"/>
      <c r="C1185"/>
      <c r="D1185"/>
      <c r="E1185"/>
      <c r="F1185"/>
      <c r="G1185"/>
      <c r="H1185"/>
      <c r="I1185"/>
      <c r="J1185"/>
      <c r="K1185"/>
    </row>
    <row r="1186" spans="1:11" ht="12.75" x14ac:dyDescent="0.35">
      <c r="A1186"/>
      <c r="B1186"/>
      <c r="C1186"/>
      <c r="D1186"/>
      <c r="E1186"/>
      <c r="F1186"/>
      <c r="G1186"/>
      <c r="H1186"/>
      <c r="I1186"/>
      <c r="J1186"/>
      <c r="K1186"/>
    </row>
    <row r="1187" spans="1:11" ht="12.75" x14ac:dyDescent="0.35">
      <c r="A1187"/>
      <c r="B1187"/>
      <c r="C1187"/>
      <c r="D1187"/>
      <c r="E1187"/>
      <c r="F1187"/>
      <c r="G1187"/>
      <c r="H1187"/>
      <c r="I1187"/>
      <c r="J1187"/>
      <c r="K1187"/>
    </row>
    <row r="1188" spans="1:11" ht="12.75" x14ac:dyDescent="0.35">
      <c r="A1188"/>
      <c r="B1188"/>
      <c r="C1188"/>
      <c r="D1188"/>
      <c r="E1188"/>
      <c r="F1188"/>
      <c r="G1188"/>
      <c r="H1188"/>
      <c r="I1188"/>
      <c r="J1188"/>
      <c r="K1188"/>
    </row>
    <row r="1189" spans="1:11" ht="12.75" x14ac:dyDescent="0.35">
      <c r="A1189"/>
      <c r="B1189"/>
      <c r="C1189"/>
      <c r="D1189"/>
      <c r="E1189"/>
      <c r="F1189"/>
      <c r="G1189"/>
      <c r="H1189"/>
      <c r="I1189"/>
      <c r="J1189"/>
      <c r="K1189"/>
    </row>
    <row r="1190" spans="1:11" ht="12.75" x14ac:dyDescent="0.35">
      <c r="A1190"/>
      <c r="B1190"/>
      <c r="C1190"/>
      <c r="D1190"/>
      <c r="E1190"/>
      <c r="F1190"/>
      <c r="G1190"/>
      <c r="H1190"/>
      <c r="I1190"/>
      <c r="J1190"/>
      <c r="K1190"/>
    </row>
    <row r="1191" spans="1:11" ht="12.75" x14ac:dyDescent="0.35">
      <c r="A1191"/>
      <c r="B1191"/>
      <c r="C1191"/>
      <c r="D1191"/>
      <c r="E1191"/>
      <c r="F1191"/>
      <c r="G1191"/>
      <c r="H1191"/>
      <c r="I1191"/>
      <c r="J1191"/>
      <c r="K1191"/>
    </row>
    <row r="1192" spans="1:11" ht="12.75" x14ac:dyDescent="0.35">
      <c r="A1192"/>
      <c r="B1192"/>
      <c r="C1192"/>
      <c r="D1192"/>
      <c r="E1192"/>
      <c r="F1192"/>
      <c r="G1192"/>
      <c r="H1192"/>
      <c r="I1192"/>
      <c r="J1192"/>
      <c r="K1192"/>
    </row>
    <row r="1193" spans="1:11" ht="12.75" x14ac:dyDescent="0.35">
      <c r="A1193"/>
      <c r="B1193"/>
      <c r="C1193"/>
      <c r="D1193"/>
      <c r="E1193"/>
      <c r="F1193"/>
      <c r="G1193"/>
      <c r="H1193"/>
      <c r="I1193"/>
      <c r="J1193"/>
      <c r="K1193"/>
    </row>
    <row r="1194" spans="1:11" ht="12.75" x14ac:dyDescent="0.35">
      <c r="A1194"/>
      <c r="B1194"/>
      <c r="C1194"/>
      <c r="D1194"/>
      <c r="E1194"/>
      <c r="F1194"/>
      <c r="G1194"/>
      <c r="H1194"/>
      <c r="I1194"/>
      <c r="J1194"/>
      <c r="K1194"/>
    </row>
    <row r="1195" spans="1:11" ht="12.75" x14ac:dyDescent="0.35">
      <c r="A1195"/>
      <c r="B1195"/>
      <c r="C1195"/>
      <c r="D1195"/>
      <c r="E1195"/>
      <c r="F1195"/>
      <c r="G1195"/>
      <c r="H1195"/>
      <c r="I1195"/>
      <c r="J1195"/>
      <c r="K1195"/>
    </row>
    <row r="1196" spans="1:11" ht="12.75" x14ac:dyDescent="0.35">
      <c r="A1196"/>
      <c r="B1196"/>
      <c r="C1196"/>
      <c r="D1196"/>
      <c r="E1196"/>
      <c r="F1196"/>
      <c r="G1196"/>
      <c r="H1196"/>
      <c r="I1196"/>
      <c r="J1196"/>
      <c r="K1196"/>
    </row>
    <row r="1197" spans="1:11" ht="12.75" x14ac:dyDescent="0.35">
      <c r="A1197"/>
      <c r="B1197"/>
      <c r="C1197"/>
      <c r="D1197"/>
      <c r="E1197"/>
      <c r="F1197"/>
      <c r="G1197"/>
      <c r="H1197"/>
      <c r="I1197"/>
      <c r="J1197"/>
      <c r="K1197"/>
    </row>
    <row r="1198" spans="1:11" ht="12.75" x14ac:dyDescent="0.35">
      <c r="A1198"/>
      <c r="B1198"/>
      <c r="C1198"/>
      <c r="D1198"/>
      <c r="E1198"/>
      <c r="F1198"/>
      <c r="G1198"/>
      <c r="H1198"/>
      <c r="I1198"/>
      <c r="J1198"/>
      <c r="K1198"/>
    </row>
    <row r="1199" spans="1:11" ht="12.75" x14ac:dyDescent="0.35">
      <c r="A1199"/>
      <c r="B1199"/>
      <c r="C1199"/>
      <c r="D1199"/>
      <c r="E1199"/>
      <c r="F1199"/>
      <c r="G1199"/>
      <c r="H1199"/>
      <c r="I1199"/>
      <c r="J1199"/>
      <c r="K1199"/>
    </row>
    <row r="1200" spans="1:11" ht="12.75" x14ac:dyDescent="0.35">
      <c r="A1200"/>
      <c r="B1200"/>
      <c r="C1200"/>
      <c r="D1200"/>
      <c r="E1200"/>
      <c r="F1200"/>
      <c r="G1200"/>
      <c r="H1200"/>
      <c r="I1200"/>
      <c r="J1200"/>
      <c r="K1200"/>
    </row>
    <row r="1201" spans="1:11" ht="12.75" x14ac:dyDescent="0.35">
      <c r="A1201"/>
      <c r="B1201"/>
      <c r="C1201"/>
      <c r="D1201"/>
      <c r="E1201"/>
      <c r="F1201"/>
      <c r="G1201"/>
      <c r="H1201"/>
      <c r="I1201"/>
      <c r="J1201"/>
      <c r="K1201"/>
    </row>
    <row r="1202" spans="1:11" ht="12.75" x14ac:dyDescent="0.35">
      <c r="A1202"/>
      <c r="B1202"/>
      <c r="C1202"/>
      <c r="D1202"/>
      <c r="E1202"/>
      <c r="F1202"/>
      <c r="G1202"/>
      <c r="H1202"/>
      <c r="I1202"/>
      <c r="J1202"/>
      <c r="K1202"/>
    </row>
    <row r="1203" spans="1:11" ht="12.75" x14ac:dyDescent="0.35">
      <c r="A1203"/>
      <c r="B1203"/>
      <c r="C1203"/>
      <c r="D1203"/>
      <c r="E1203"/>
      <c r="F1203"/>
      <c r="G1203"/>
      <c r="H1203"/>
      <c r="I1203"/>
      <c r="J1203"/>
      <c r="K1203"/>
    </row>
    <row r="1204" spans="1:11" ht="12.75" x14ac:dyDescent="0.35">
      <c r="A1204"/>
      <c r="B1204"/>
      <c r="C1204"/>
      <c r="D1204"/>
      <c r="E1204"/>
      <c r="F1204"/>
      <c r="G1204"/>
      <c r="H1204"/>
      <c r="I1204"/>
      <c r="J1204"/>
      <c r="K1204"/>
    </row>
    <row r="1205" spans="1:11" ht="12.75" x14ac:dyDescent="0.35">
      <c r="A1205"/>
      <c r="B1205"/>
      <c r="C1205"/>
      <c r="D1205"/>
      <c r="E1205"/>
      <c r="F1205"/>
      <c r="G1205"/>
      <c r="H1205"/>
      <c r="I1205"/>
      <c r="J1205"/>
      <c r="K1205"/>
    </row>
    <row r="1206" spans="1:11" ht="12.75" x14ac:dyDescent="0.35">
      <c r="A1206"/>
      <c r="B1206"/>
      <c r="C1206"/>
      <c r="D1206"/>
      <c r="E1206"/>
      <c r="F1206"/>
      <c r="G1206"/>
      <c r="H1206"/>
      <c r="I1206"/>
      <c r="J1206"/>
      <c r="K1206"/>
    </row>
    <row r="1207" spans="1:11" ht="12.75" x14ac:dyDescent="0.35">
      <c r="A1207"/>
      <c r="B1207"/>
      <c r="C1207"/>
      <c r="D1207"/>
      <c r="E1207"/>
      <c r="F1207"/>
      <c r="G1207"/>
      <c r="H1207"/>
      <c r="I1207"/>
      <c r="J1207"/>
      <c r="K1207"/>
    </row>
    <row r="1208" spans="1:11" ht="12.75" x14ac:dyDescent="0.35">
      <c r="A1208"/>
      <c r="B1208"/>
      <c r="C1208"/>
      <c r="D1208"/>
      <c r="E1208"/>
      <c r="F1208"/>
      <c r="G1208"/>
      <c r="H1208"/>
      <c r="I1208"/>
      <c r="J1208"/>
      <c r="K1208"/>
    </row>
    <row r="1209" spans="1:11" ht="12.75" x14ac:dyDescent="0.35">
      <c r="A1209"/>
      <c r="B1209"/>
      <c r="C1209"/>
      <c r="D1209"/>
      <c r="E1209"/>
      <c r="F1209"/>
      <c r="G1209"/>
      <c r="H1209"/>
      <c r="I1209"/>
      <c r="J1209"/>
      <c r="K1209"/>
    </row>
    <row r="1210" spans="1:11" ht="12.75" x14ac:dyDescent="0.35">
      <c r="A1210"/>
      <c r="B1210"/>
      <c r="C1210"/>
      <c r="D1210"/>
      <c r="E1210"/>
      <c r="F1210"/>
      <c r="G1210"/>
      <c r="H1210"/>
      <c r="I1210"/>
      <c r="J1210"/>
      <c r="K1210"/>
    </row>
    <row r="1211" spans="1:11" ht="12.75" x14ac:dyDescent="0.35">
      <c r="A1211"/>
      <c r="B1211"/>
      <c r="C1211"/>
      <c r="D1211"/>
      <c r="E1211"/>
      <c r="F1211"/>
      <c r="G1211"/>
      <c r="H1211"/>
      <c r="I1211"/>
      <c r="J1211"/>
      <c r="K1211"/>
    </row>
    <row r="1212" spans="1:11" ht="12.75" x14ac:dyDescent="0.35">
      <c r="A1212"/>
      <c r="B1212"/>
      <c r="C1212"/>
      <c r="D1212"/>
      <c r="E1212"/>
      <c r="F1212"/>
      <c r="G1212"/>
      <c r="H1212"/>
      <c r="I1212"/>
      <c r="J1212"/>
      <c r="K1212"/>
    </row>
    <row r="1213" spans="1:11" ht="12.75" x14ac:dyDescent="0.35">
      <c r="A1213"/>
      <c r="B1213"/>
      <c r="C1213"/>
      <c r="D1213"/>
      <c r="E1213"/>
      <c r="F1213"/>
      <c r="G1213"/>
      <c r="H1213"/>
      <c r="I1213"/>
      <c r="J1213"/>
      <c r="K1213"/>
    </row>
    <row r="1214" spans="1:11" ht="12.75" x14ac:dyDescent="0.35">
      <c r="A1214"/>
      <c r="B1214"/>
      <c r="C1214"/>
      <c r="D1214"/>
      <c r="E1214"/>
      <c r="F1214"/>
      <c r="G1214"/>
      <c r="H1214"/>
      <c r="I1214"/>
      <c r="J1214"/>
      <c r="K1214"/>
    </row>
    <row r="1215" spans="1:11" ht="12.75" x14ac:dyDescent="0.35">
      <c r="A1215"/>
      <c r="B1215"/>
      <c r="C1215"/>
      <c r="D1215"/>
      <c r="E1215"/>
      <c r="F1215"/>
      <c r="G1215"/>
      <c r="H1215"/>
      <c r="I1215"/>
      <c r="J1215"/>
      <c r="K1215"/>
    </row>
    <row r="1216" spans="1:11" ht="12.75" x14ac:dyDescent="0.35">
      <c r="A1216"/>
      <c r="B1216"/>
      <c r="C1216"/>
      <c r="D1216"/>
      <c r="E1216"/>
      <c r="F1216"/>
      <c r="G1216"/>
      <c r="H1216"/>
      <c r="I1216"/>
      <c r="J1216"/>
      <c r="K1216"/>
    </row>
    <row r="1217" spans="1:11" ht="12.75" x14ac:dyDescent="0.35">
      <c r="A1217"/>
      <c r="B1217"/>
      <c r="C1217"/>
      <c r="D1217"/>
      <c r="E1217"/>
      <c r="F1217"/>
      <c r="G1217"/>
      <c r="H1217"/>
      <c r="I1217"/>
      <c r="J1217"/>
      <c r="K1217"/>
    </row>
    <row r="1218" spans="1:11" ht="12.75" x14ac:dyDescent="0.35">
      <c r="A1218"/>
      <c r="B1218"/>
      <c r="C1218"/>
      <c r="D1218"/>
      <c r="E1218"/>
      <c r="F1218"/>
      <c r="G1218"/>
      <c r="H1218"/>
      <c r="I1218"/>
      <c r="J1218"/>
      <c r="K1218"/>
    </row>
    <row r="1219" spans="1:11" ht="12.75" x14ac:dyDescent="0.35">
      <c r="A1219"/>
      <c r="B1219"/>
      <c r="C1219"/>
      <c r="D1219"/>
      <c r="E1219"/>
      <c r="F1219"/>
      <c r="G1219"/>
      <c r="H1219"/>
      <c r="I1219"/>
      <c r="J1219"/>
      <c r="K1219"/>
    </row>
    <row r="1220" spans="1:11" ht="12.75" x14ac:dyDescent="0.35">
      <c r="A1220"/>
      <c r="B1220"/>
      <c r="C1220"/>
      <c r="D1220"/>
      <c r="E1220"/>
      <c r="F1220"/>
      <c r="G1220"/>
      <c r="H1220"/>
      <c r="I1220"/>
      <c r="J1220"/>
      <c r="K1220"/>
    </row>
    <row r="1221" spans="1:11" ht="12.75" x14ac:dyDescent="0.35">
      <c r="A1221"/>
      <c r="B1221"/>
      <c r="C1221"/>
      <c r="D1221"/>
      <c r="E1221"/>
      <c r="F1221"/>
      <c r="G1221"/>
      <c r="H1221"/>
      <c r="I1221"/>
      <c r="J1221"/>
      <c r="K1221"/>
    </row>
    <row r="1222" spans="1:11" ht="12.75" x14ac:dyDescent="0.35">
      <c r="A1222"/>
      <c r="B1222"/>
      <c r="C1222"/>
      <c r="D1222"/>
      <c r="E1222"/>
      <c r="F1222"/>
      <c r="G1222"/>
      <c r="H1222"/>
      <c r="I1222"/>
      <c r="J1222"/>
      <c r="K1222"/>
    </row>
    <row r="1223" spans="1:11" ht="12.75" x14ac:dyDescent="0.35">
      <c r="A1223"/>
      <c r="B1223"/>
      <c r="C1223"/>
      <c r="D1223"/>
      <c r="E1223"/>
      <c r="F1223"/>
      <c r="G1223"/>
      <c r="H1223"/>
      <c r="I1223"/>
      <c r="J1223"/>
      <c r="K1223"/>
    </row>
    <row r="1224" spans="1:11" ht="12.75" x14ac:dyDescent="0.35">
      <c r="A1224"/>
      <c r="B1224"/>
      <c r="C1224"/>
      <c r="D1224"/>
      <c r="E1224"/>
      <c r="F1224"/>
      <c r="G1224"/>
      <c r="H1224"/>
      <c r="I1224"/>
      <c r="J1224"/>
      <c r="K1224"/>
    </row>
    <row r="1225" spans="1:11" ht="12.75" x14ac:dyDescent="0.35">
      <c r="A1225"/>
      <c r="B1225"/>
      <c r="C1225"/>
      <c r="D1225"/>
      <c r="E1225"/>
      <c r="F1225"/>
      <c r="G1225"/>
      <c r="H1225"/>
      <c r="I1225"/>
      <c r="J1225"/>
      <c r="K1225"/>
    </row>
    <row r="1226" spans="1:11" ht="12.75" x14ac:dyDescent="0.35">
      <c r="A1226"/>
      <c r="B1226"/>
      <c r="C1226"/>
      <c r="D1226"/>
      <c r="E1226"/>
      <c r="F1226"/>
      <c r="G1226"/>
      <c r="H1226"/>
      <c r="I1226"/>
      <c r="J1226"/>
      <c r="K1226"/>
    </row>
    <row r="1227" spans="1:11" ht="12.75" x14ac:dyDescent="0.35">
      <c r="A1227"/>
      <c r="B1227"/>
      <c r="C1227"/>
      <c r="D1227"/>
      <c r="E1227"/>
      <c r="F1227"/>
      <c r="G1227"/>
      <c r="H1227"/>
      <c r="I1227"/>
      <c r="J1227"/>
      <c r="K1227"/>
    </row>
    <row r="1228" spans="1:11" ht="12.75" x14ac:dyDescent="0.35">
      <c r="A1228"/>
      <c r="B1228"/>
      <c r="C1228"/>
      <c r="D1228"/>
      <c r="E1228"/>
      <c r="F1228"/>
      <c r="G1228"/>
      <c r="H1228"/>
      <c r="I1228"/>
      <c r="J1228"/>
      <c r="K1228"/>
    </row>
    <row r="1229" spans="1:11" ht="12.75" x14ac:dyDescent="0.35">
      <c r="A1229"/>
      <c r="B1229"/>
      <c r="C1229"/>
      <c r="D1229"/>
      <c r="E1229"/>
      <c r="F1229"/>
      <c r="G1229"/>
      <c r="H1229"/>
      <c r="I1229"/>
      <c r="J1229"/>
      <c r="K1229"/>
    </row>
    <row r="1230" spans="1:11" ht="12.75" x14ac:dyDescent="0.35">
      <c r="A1230"/>
      <c r="B1230"/>
      <c r="C1230"/>
      <c r="D1230"/>
      <c r="E1230"/>
      <c r="F1230"/>
      <c r="G1230"/>
      <c r="H1230"/>
      <c r="I1230"/>
      <c r="J1230"/>
      <c r="K1230"/>
    </row>
    <row r="1231" spans="1:11" ht="12.75" x14ac:dyDescent="0.35">
      <c r="A1231"/>
      <c r="B1231"/>
      <c r="C1231"/>
      <c r="D1231"/>
      <c r="E1231"/>
      <c r="F1231"/>
      <c r="G1231"/>
      <c r="H1231"/>
      <c r="I1231"/>
      <c r="J1231"/>
      <c r="K1231"/>
    </row>
    <row r="1232" spans="1:11" ht="12.75" x14ac:dyDescent="0.35">
      <c r="A1232"/>
      <c r="B1232"/>
      <c r="C1232"/>
      <c r="D1232"/>
      <c r="E1232"/>
      <c r="F1232"/>
      <c r="G1232"/>
      <c r="H1232"/>
      <c r="I1232"/>
      <c r="J1232"/>
      <c r="K1232"/>
    </row>
    <row r="1233" spans="1:11" ht="12.75" x14ac:dyDescent="0.35">
      <c r="A1233"/>
      <c r="B1233"/>
      <c r="C1233"/>
      <c r="D1233"/>
      <c r="E1233"/>
      <c r="F1233"/>
      <c r="G1233"/>
      <c r="H1233"/>
      <c r="I1233"/>
      <c r="J1233"/>
      <c r="K1233"/>
    </row>
    <row r="1234" spans="1:11" ht="12.75" x14ac:dyDescent="0.35">
      <c r="A1234"/>
      <c r="B1234"/>
      <c r="C1234"/>
      <c r="D1234"/>
      <c r="E1234"/>
      <c r="F1234"/>
      <c r="G1234"/>
      <c r="H1234"/>
      <c r="I1234"/>
      <c r="J1234"/>
      <c r="K1234"/>
    </row>
    <row r="1235" spans="1:11" ht="12.75" x14ac:dyDescent="0.35">
      <c r="A1235"/>
      <c r="B1235"/>
      <c r="C1235"/>
      <c r="D1235"/>
      <c r="E1235"/>
      <c r="F1235"/>
      <c r="G1235"/>
      <c r="H1235"/>
      <c r="I1235"/>
      <c r="J1235"/>
      <c r="K1235"/>
    </row>
    <row r="1236" spans="1:11" ht="12.75" x14ac:dyDescent="0.35">
      <c r="A1236"/>
      <c r="B1236"/>
      <c r="C1236"/>
      <c r="D1236"/>
      <c r="E1236"/>
      <c r="F1236"/>
      <c r="G1236"/>
      <c r="H1236"/>
      <c r="I1236"/>
      <c r="J1236"/>
      <c r="K1236"/>
    </row>
    <row r="1237" spans="1:11" ht="12.75" x14ac:dyDescent="0.35">
      <c r="A1237"/>
      <c r="B1237"/>
      <c r="C1237"/>
      <c r="D1237"/>
      <c r="E1237"/>
      <c r="F1237"/>
      <c r="G1237"/>
      <c r="H1237"/>
      <c r="I1237"/>
      <c r="J1237"/>
      <c r="K1237"/>
    </row>
    <row r="1238" spans="1:11" ht="12.75" x14ac:dyDescent="0.35">
      <c r="A1238"/>
      <c r="B1238"/>
      <c r="C1238"/>
      <c r="D1238"/>
      <c r="E1238"/>
      <c r="F1238"/>
      <c r="G1238"/>
      <c r="H1238"/>
      <c r="I1238"/>
      <c r="J1238"/>
      <c r="K1238"/>
    </row>
    <row r="1239" spans="1:11" ht="12.75" x14ac:dyDescent="0.35">
      <c r="A1239"/>
      <c r="B1239"/>
      <c r="C1239"/>
      <c r="D1239"/>
      <c r="E1239"/>
      <c r="F1239"/>
      <c r="G1239"/>
      <c r="H1239"/>
      <c r="I1239"/>
      <c r="J1239"/>
      <c r="K1239"/>
    </row>
    <row r="1240" spans="1:11" ht="12.75" x14ac:dyDescent="0.35">
      <c r="A1240"/>
      <c r="B1240"/>
      <c r="C1240"/>
      <c r="D1240"/>
      <c r="E1240"/>
      <c r="F1240"/>
      <c r="G1240"/>
      <c r="H1240"/>
      <c r="I1240"/>
      <c r="J1240"/>
      <c r="K1240"/>
    </row>
    <row r="1241" spans="1:11" ht="12.75" x14ac:dyDescent="0.35">
      <c r="A1241"/>
      <c r="B1241"/>
      <c r="C1241"/>
      <c r="D1241"/>
      <c r="E1241"/>
      <c r="F1241"/>
      <c r="G1241"/>
      <c r="H1241"/>
      <c r="I1241"/>
      <c r="J1241"/>
      <c r="K1241"/>
    </row>
    <row r="1242" spans="1:11" ht="12.75" x14ac:dyDescent="0.35">
      <c r="A1242"/>
      <c r="B1242"/>
      <c r="C1242"/>
      <c r="D1242"/>
      <c r="E1242"/>
      <c r="F1242"/>
      <c r="G1242"/>
      <c r="H1242"/>
      <c r="I1242"/>
      <c r="J1242"/>
      <c r="K1242"/>
    </row>
    <row r="1243" spans="1:11" ht="12.75" x14ac:dyDescent="0.35">
      <c r="A1243"/>
      <c r="B1243"/>
      <c r="C1243"/>
      <c r="D1243"/>
      <c r="E1243"/>
      <c r="F1243"/>
      <c r="G1243"/>
      <c r="H1243"/>
      <c r="I1243"/>
      <c r="J1243"/>
      <c r="K1243"/>
    </row>
    <row r="1244" spans="1:11" ht="12.75" x14ac:dyDescent="0.35">
      <c r="A1244"/>
      <c r="B1244"/>
      <c r="C1244"/>
      <c r="D1244"/>
      <c r="E1244"/>
      <c r="F1244"/>
      <c r="G1244"/>
      <c r="H1244"/>
      <c r="I1244"/>
      <c r="J1244"/>
      <c r="K1244"/>
    </row>
    <row r="1245" spans="1:11" ht="12.75" x14ac:dyDescent="0.35">
      <c r="A1245"/>
      <c r="B1245"/>
      <c r="C1245"/>
      <c r="D1245"/>
      <c r="E1245"/>
      <c r="F1245"/>
      <c r="G1245"/>
      <c r="H1245"/>
      <c r="I1245"/>
      <c r="J1245"/>
      <c r="K1245"/>
    </row>
    <row r="1246" spans="1:11" ht="12.75" x14ac:dyDescent="0.35">
      <c r="A1246"/>
      <c r="B1246"/>
      <c r="C1246"/>
      <c r="D1246"/>
      <c r="E1246"/>
      <c r="F1246"/>
      <c r="G1246"/>
      <c r="H1246"/>
      <c r="I1246"/>
      <c r="J1246"/>
      <c r="K1246"/>
    </row>
    <row r="1247" spans="1:11" ht="12.75" x14ac:dyDescent="0.35">
      <c r="A1247"/>
      <c r="B1247"/>
      <c r="C1247"/>
      <c r="D1247"/>
      <c r="E1247"/>
      <c r="F1247"/>
      <c r="G1247"/>
      <c r="H1247"/>
      <c r="I1247"/>
      <c r="J1247"/>
      <c r="K1247"/>
    </row>
    <row r="1248" spans="1:11" ht="12.75" x14ac:dyDescent="0.35">
      <c r="A1248"/>
      <c r="B1248"/>
      <c r="C1248"/>
      <c r="D1248"/>
      <c r="E1248"/>
      <c r="F1248"/>
      <c r="G1248"/>
      <c r="H1248"/>
      <c r="I1248"/>
      <c r="J1248"/>
      <c r="K1248"/>
    </row>
    <row r="1249" spans="1:11" ht="12.75" x14ac:dyDescent="0.35">
      <c r="A1249"/>
      <c r="B1249"/>
      <c r="C1249"/>
      <c r="D1249"/>
      <c r="E1249"/>
      <c r="F1249"/>
      <c r="G1249"/>
      <c r="H1249"/>
      <c r="I1249"/>
      <c r="J1249"/>
      <c r="K1249"/>
    </row>
    <row r="1250" spans="1:11" ht="12.75" x14ac:dyDescent="0.35">
      <c r="A1250"/>
      <c r="B1250"/>
      <c r="C1250"/>
      <c r="D1250"/>
      <c r="E1250"/>
      <c r="F1250"/>
      <c r="G1250"/>
      <c r="H1250"/>
      <c r="I1250"/>
      <c r="J1250"/>
      <c r="K1250"/>
    </row>
    <row r="1251" spans="1:11" ht="12.75" x14ac:dyDescent="0.35">
      <c r="A1251"/>
      <c r="B1251"/>
      <c r="C1251"/>
      <c r="D1251"/>
      <c r="E1251"/>
      <c r="F1251"/>
      <c r="G1251"/>
      <c r="H1251"/>
      <c r="I1251"/>
      <c r="J1251"/>
      <c r="K1251"/>
    </row>
    <row r="1252" spans="1:11" ht="12.75" x14ac:dyDescent="0.35">
      <c r="A1252"/>
      <c r="B1252"/>
      <c r="C1252"/>
      <c r="D1252"/>
      <c r="E1252"/>
      <c r="F1252"/>
      <c r="G1252"/>
      <c r="H1252"/>
      <c r="I1252"/>
      <c r="J1252"/>
      <c r="K1252"/>
    </row>
    <row r="1253" spans="1:11" ht="12.75" x14ac:dyDescent="0.35">
      <c r="A1253"/>
      <c r="B1253"/>
      <c r="C1253"/>
      <c r="D1253"/>
      <c r="E1253"/>
      <c r="F1253"/>
      <c r="G1253"/>
      <c r="H1253"/>
      <c r="I1253"/>
      <c r="J1253"/>
      <c r="K1253"/>
    </row>
    <row r="1254" spans="1:11" ht="12.75" x14ac:dyDescent="0.35">
      <c r="A1254"/>
      <c r="B1254"/>
      <c r="C1254"/>
      <c r="D1254"/>
      <c r="E1254"/>
      <c r="F1254"/>
      <c r="G1254"/>
      <c r="H1254"/>
      <c r="I1254"/>
      <c r="J1254"/>
      <c r="K1254"/>
    </row>
    <row r="1255" spans="1:11" ht="12.75" x14ac:dyDescent="0.35">
      <c r="A1255"/>
      <c r="B1255"/>
      <c r="C1255"/>
      <c r="D1255"/>
      <c r="E1255"/>
      <c r="F1255"/>
      <c r="G1255"/>
      <c r="H1255"/>
      <c r="I1255"/>
      <c r="J1255"/>
      <c r="K1255"/>
    </row>
    <row r="1256" spans="1:11" ht="12.75" x14ac:dyDescent="0.35">
      <c r="A1256"/>
      <c r="B1256"/>
      <c r="C1256"/>
      <c r="D1256"/>
      <c r="E1256"/>
      <c r="F1256"/>
      <c r="G1256"/>
      <c r="H1256"/>
      <c r="I1256"/>
      <c r="J1256"/>
      <c r="K1256"/>
    </row>
    <row r="1257" spans="1:11" ht="12.75" x14ac:dyDescent="0.35">
      <c r="A1257"/>
      <c r="B1257"/>
      <c r="C1257"/>
      <c r="D1257"/>
      <c r="E1257"/>
      <c r="F1257"/>
      <c r="G1257"/>
      <c r="H1257"/>
      <c r="I1257"/>
      <c r="J1257"/>
      <c r="K1257"/>
    </row>
    <row r="1258" spans="1:11" ht="12.75" x14ac:dyDescent="0.35">
      <c r="A1258"/>
      <c r="B1258"/>
      <c r="C1258"/>
      <c r="D1258"/>
      <c r="E1258"/>
      <c r="F1258"/>
      <c r="G1258"/>
      <c r="H1258"/>
      <c r="I1258"/>
      <c r="J1258"/>
      <c r="K1258"/>
    </row>
    <row r="1259" spans="1:11" ht="12.75" x14ac:dyDescent="0.35">
      <c r="A1259"/>
      <c r="B1259"/>
      <c r="C1259"/>
      <c r="D1259"/>
      <c r="E1259"/>
      <c r="F1259"/>
      <c r="G1259"/>
      <c r="H1259"/>
      <c r="I1259"/>
      <c r="J1259"/>
      <c r="K1259"/>
    </row>
    <row r="1260" spans="1:11" ht="12.75" x14ac:dyDescent="0.35">
      <c r="A1260"/>
      <c r="B1260"/>
      <c r="C1260"/>
      <c r="D1260"/>
      <c r="E1260"/>
      <c r="F1260"/>
      <c r="G1260"/>
      <c r="H1260"/>
      <c r="I1260"/>
      <c r="J1260"/>
      <c r="K1260"/>
    </row>
    <row r="1261" spans="1:11" ht="12.75" x14ac:dyDescent="0.35">
      <c r="A1261"/>
      <c r="B1261"/>
      <c r="C1261"/>
      <c r="D1261"/>
      <c r="E1261"/>
      <c r="F1261"/>
      <c r="G1261"/>
      <c r="H1261"/>
      <c r="I1261"/>
      <c r="J1261"/>
      <c r="K1261"/>
    </row>
    <row r="1262" spans="1:11" ht="12.75" x14ac:dyDescent="0.35">
      <c r="A1262"/>
      <c r="B1262"/>
      <c r="C1262"/>
      <c r="D1262"/>
      <c r="E1262"/>
      <c r="F1262"/>
      <c r="G1262"/>
      <c r="H1262"/>
      <c r="I1262"/>
      <c r="J1262"/>
      <c r="K1262"/>
    </row>
    <row r="1263" spans="1:11" ht="12.75" x14ac:dyDescent="0.35">
      <c r="A1263"/>
      <c r="B1263"/>
      <c r="C1263"/>
      <c r="D1263"/>
      <c r="E1263"/>
      <c r="F1263"/>
      <c r="G1263"/>
      <c r="H1263"/>
      <c r="I1263"/>
      <c r="J1263"/>
      <c r="K1263"/>
    </row>
    <row r="1264" spans="1:11" ht="12.75" x14ac:dyDescent="0.35">
      <c r="A1264"/>
      <c r="B1264"/>
      <c r="C1264"/>
      <c r="D1264"/>
      <c r="E1264"/>
      <c r="F1264"/>
      <c r="G1264"/>
      <c r="H1264"/>
      <c r="I1264"/>
      <c r="J1264"/>
      <c r="K1264"/>
    </row>
    <row r="1265" spans="1:11" ht="12.75" x14ac:dyDescent="0.35">
      <c r="A1265"/>
      <c r="B1265"/>
      <c r="C1265"/>
      <c r="D1265"/>
      <c r="E1265"/>
      <c r="F1265"/>
      <c r="G1265"/>
      <c r="H1265"/>
      <c r="I1265"/>
      <c r="J1265"/>
      <c r="K1265"/>
    </row>
    <row r="1266" spans="1:11" ht="12.75" x14ac:dyDescent="0.35">
      <c r="A1266"/>
      <c r="B1266"/>
      <c r="C1266"/>
      <c r="D1266"/>
      <c r="E1266"/>
      <c r="F1266"/>
      <c r="G1266"/>
      <c r="H1266"/>
      <c r="I1266"/>
      <c r="J1266"/>
      <c r="K1266"/>
    </row>
    <row r="1267" spans="1:11" ht="12.75" x14ac:dyDescent="0.35">
      <c r="A1267"/>
      <c r="B1267"/>
      <c r="C1267"/>
      <c r="D1267"/>
      <c r="E1267"/>
      <c r="F1267"/>
      <c r="G1267"/>
      <c r="H1267"/>
      <c r="I1267"/>
      <c r="J1267"/>
      <c r="K1267"/>
    </row>
    <row r="1268" spans="1:11" ht="12.75" x14ac:dyDescent="0.35">
      <c r="A1268"/>
      <c r="B1268"/>
      <c r="C1268"/>
      <c r="D1268"/>
      <c r="E1268"/>
      <c r="F1268"/>
      <c r="G1268"/>
      <c r="H1268"/>
      <c r="I1268"/>
      <c r="J1268"/>
      <c r="K1268"/>
    </row>
    <row r="1269" spans="1:11" ht="12.75" x14ac:dyDescent="0.35">
      <c r="A1269"/>
      <c r="B1269"/>
      <c r="C1269"/>
      <c r="D1269"/>
      <c r="E1269"/>
      <c r="F1269"/>
      <c r="G1269"/>
      <c r="H1269"/>
      <c r="I1269"/>
      <c r="J1269"/>
      <c r="K1269"/>
    </row>
    <row r="1270" spans="1:11" ht="12.75" x14ac:dyDescent="0.35">
      <c r="A1270"/>
      <c r="B1270"/>
      <c r="C1270"/>
      <c r="D1270"/>
      <c r="E1270"/>
      <c r="F1270"/>
      <c r="G1270"/>
      <c r="H1270"/>
      <c r="I1270"/>
      <c r="J1270"/>
      <c r="K1270"/>
    </row>
    <row r="1271" spans="1:11" ht="12.75" x14ac:dyDescent="0.35">
      <c r="A1271"/>
      <c r="B1271"/>
      <c r="C1271"/>
      <c r="D1271"/>
      <c r="E1271"/>
      <c r="F1271"/>
      <c r="G1271"/>
      <c r="H1271"/>
      <c r="I1271"/>
      <c r="J1271"/>
      <c r="K1271"/>
    </row>
    <row r="1272" spans="1:11" ht="12.75" x14ac:dyDescent="0.35">
      <c r="A1272"/>
      <c r="B1272"/>
      <c r="C1272"/>
      <c r="D1272"/>
      <c r="E1272"/>
      <c r="F1272"/>
      <c r="G1272"/>
      <c r="H1272"/>
      <c r="I1272"/>
      <c r="J1272"/>
      <c r="K1272"/>
    </row>
    <row r="1273" spans="1:11" ht="12.75" x14ac:dyDescent="0.35">
      <c r="A1273"/>
      <c r="B1273"/>
      <c r="C1273"/>
      <c r="D1273"/>
      <c r="E1273"/>
      <c r="F1273"/>
      <c r="G1273"/>
      <c r="H1273"/>
      <c r="I1273"/>
      <c r="J1273"/>
      <c r="K1273"/>
    </row>
    <row r="1274" spans="1:11" ht="12.75" x14ac:dyDescent="0.35">
      <c r="A1274"/>
      <c r="B1274"/>
      <c r="C1274"/>
      <c r="D1274"/>
      <c r="E1274"/>
      <c r="F1274"/>
      <c r="G1274"/>
      <c r="H1274"/>
      <c r="I1274"/>
      <c r="J1274"/>
      <c r="K1274"/>
    </row>
    <row r="1275" spans="1:11" ht="12.75" x14ac:dyDescent="0.35">
      <c r="A1275"/>
      <c r="B1275"/>
      <c r="C1275"/>
      <c r="D1275"/>
      <c r="E1275"/>
      <c r="F1275"/>
      <c r="G1275"/>
      <c r="H1275"/>
      <c r="I1275"/>
      <c r="J1275"/>
      <c r="K1275"/>
    </row>
    <row r="1276" spans="1:11" ht="12.75" x14ac:dyDescent="0.35">
      <c r="A1276"/>
      <c r="B1276"/>
      <c r="C1276"/>
      <c r="D1276"/>
      <c r="E1276"/>
      <c r="F1276"/>
      <c r="G1276"/>
      <c r="H1276"/>
      <c r="I1276"/>
      <c r="J1276"/>
      <c r="K1276"/>
    </row>
    <row r="1277" spans="1:11" ht="12.75" x14ac:dyDescent="0.35">
      <c r="A1277"/>
      <c r="B1277"/>
      <c r="C1277"/>
      <c r="D1277"/>
      <c r="E1277"/>
      <c r="F1277"/>
      <c r="G1277"/>
      <c r="H1277"/>
      <c r="I1277"/>
      <c r="J1277"/>
      <c r="K1277"/>
    </row>
    <row r="1278" spans="1:11" ht="12.75" x14ac:dyDescent="0.35">
      <c r="A1278"/>
      <c r="B1278"/>
      <c r="C1278"/>
      <c r="D1278"/>
      <c r="E1278"/>
      <c r="F1278"/>
      <c r="G1278"/>
      <c r="H1278"/>
      <c r="I1278"/>
      <c r="J1278"/>
      <c r="K1278"/>
    </row>
    <row r="1279" spans="1:11" ht="12.75" x14ac:dyDescent="0.35">
      <c r="A1279"/>
      <c r="B1279"/>
      <c r="C1279"/>
      <c r="D1279"/>
      <c r="E1279"/>
      <c r="F1279"/>
      <c r="G1279"/>
      <c r="H1279"/>
      <c r="I1279"/>
      <c r="J1279"/>
      <c r="K1279"/>
    </row>
    <row r="1280" spans="1:11" ht="12.75" x14ac:dyDescent="0.35">
      <c r="A1280"/>
      <c r="B1280"/>
      <c r="C1280"/>
      <c r="D1280"/>
      <c r="E1280"/>
      <c r="F1280"/>
      <c r="G1280"/>
      <c r="H1280"/>
      <c r="I1280"/>
      <c r="J1280"/>
      <c r="K1280"/>
    </row>
    <row r="1281" spans="1:11" ht="12.75" x14ac:dyDescent="0.35">
      <c r="A1281"/>
      <c r="B1281"/>
      <c r="C1281"/>
      <c r="D1281"/>
      <c r="E1281"/>
      <c r="F1281"/>
      <c r="G1281"/>
      <c r="H1281"/>
      <c r="I1281"/>
      <c r="J1281"/>
      <c r="K1281"/>
    </row>
    <row r="1282" spans="1:11" ht="12.75" x14ac:dyDescent="0.35">
      <c r="A1282"/>
      <c r="B1282"/>
      <c r="C1282"/>
      <c r="D1282"/>
      <c r="E1282"/>
      <c r="F1282"/>
      <c r="G1282"/>
      <c r="H1282"/>
      <c r="I1282"/>
      <c r="J1282"/>
      <c r="K1282"/>
    </row>
    <row r="1283" spans="1:11" ht="12.75" x14ac:dyDescent="0.35">
      <c r="A1283"/>
      <c r="B1283"/>
      <c r="C1283"/>
      <c r="D1283"/>
      <c r="E1283"/>
      <c r="F1283"/>
      <c r="G1283"/>
      <c r="H1283"/>
      <c r="I1283"/>
      <c r="J1283"/>
      <c r="K1283"/>
    </row>
    <row r="1284" spans="1:11" ht="12.75" x14ac:dyDescent="0.35">
      <c r="A1284"/>
      <c r="B1284"/>
      <c r="C1284"/>
      <c r="D1284"/>
      <c r="E1284"/>
      <c r="F1284"/>
      <c r="G1284"/>
      <c r="H1284"/>
      <c r="I1284"/>
      <c r="J1284"/>
      <c r="K1284"/>
    </row>
    <row r="1285" spans="1:11" ht="12.75" x14ac:dyDescent="0.35">
      <c r="A1285"/>
      <c r="B1285"/>
      <c r="C1285"/>
      <c r="D1285"/>
      <c r="E1285"/>
      <c r="F1285"/>
      <c r="G1285"/>
      <c r="H1285"/>
      <c r="I1285"/>
      <c r="J1285"/>
      <c r="K1285"/>
    </row>
    <row r="1286" spans="1:11" ht="12.75" x14ac:dyDescent="0.35">
      <c r="A1286"/>
      <c r="B1286"/>
      <c r="C1286"/>
      <c r="D1286"/>
      <c r="E1286"/>
      <c r="F1286"/>
      <c r="G1286"/>
      <c r="H1286"/>
      <c r="I1286"/>
      <c r="J1286"/>
      <c r="K1286"/>
    </row>
    <row r="1287" spans="1:11" ht="12.75" x14ac:dyDescent="0.35">
      <c r="A1287"/>
      <c r="B1287"/>
      <c r="C1287"/>
      <c r="D1287"/>
      <c r="E1287"/>
      <c r="F1287"/>
      <c r="G1287"/>
      <c r="H1287"/>
      <c r="I1287"/>
      <c r="J1287"/>
      <c r="K1287"/>
    </row>
    <row r="1288" spans="1:11" ht="12.75" x14ac:dyDescent="0.35">
      <c r="A1288"/>
      <c r="B1288"/>
      <c r="C1288"/>
      <c r="D1288"/>
      <c r="E1288"/>
      <c r="F1288"/>
      <c r="G1288"/>
      <c r="H1288"/>
      <c r="I1288"/>
      <c r="J1288"/>
      <c r="K1288"/>
    </row>
    <row r="1289" spans="1:11" ht="12.75" x14ac:dyDescent="0.35">
      <c r="A1289"/>
      <c r="B1289"/>
      <c r="C1289"/>
      <c r="D1289"/>
      <c r="E1289"/>
      <c r="F1289"/>
      <c r="G1289"/>
      <c r="H1289"/>
      <c r="I1289"/>
      <c r="J1289"/>
      <c r="K1289"/>
    </row>
    <row r="1290" spans="1:11" ht="12.75" x14ac:dyDescent="0.35">
      <c r="A1290"/>
      <c r="B1290"/>
      <c r="C1290"/>
      <c r="D1290"/>
      <c r="E1290"/>
      <c r="F1290"/>
      <c r="G1290"/>
      <c r="H1290"/>
      <c r="I1290"/>
      <c r="J1290"/>
      <c r="K1290"/>
    </row>
    <row r="1291" spans="1:11" ht="12.75" x14ac:dyDescent="0.35">
      <c r="A1291"/>
      <c r="B1291"/>
      <c r="C1291"/>
      <c r="D1291"/>
      <c r="E1291"/>
      <c r="F1291"/>
      <c r="G1291"/>
      <c r="H1291"/>
      <c r="I1291"/>
      <c r="J1291"/>
      <c r="K1291"/>
    </row>
    <row r="1292" spans="1:11" ht="12.75" x14ac:dyDescent="0.35">
      <c r="A1292"/>
      <c r="B1292"/>
      <c r="C1292"/>
      <c r="D1292"/>
      <c r="E1292"/>
      <c r="F1292"/>
      <c r="G1292"/>
      <c r="H1292"/>
      <c r="I1292"/>
      <c r="J1292"/>
      <c r="K1292"/>
    </row>
    <row r="1293" spans="1:11" ht="12.75" x14ac:dyDescent="0.35">
      <c r="A1293"/>
      <c r="B1293"/>
      <c r="C1293"/>
      <c r="D1293"/>
      <c r="E1293"/>
      <c r="F1293"/>
      <c r="G1293"/>
      <c r="H1293"/>
      <c r="I1293"/>
      <c r="J1293"/>
      <c r="K1293"/>
    </row>
    <row r="1294" spans="1:11" ht="12.75" x14ac:dyDescent="0.35">
      <c r="A1294"/>
      <c r="B1294"/>
      <c r="C1294"/>
      <c r="D1294"/>
      <c r="E1294"/>
      <c r="F1294"/>
      <c r="G1294"/>
      <c r="H1294"/>
      <c r="I1294"/>
      <c r="J1294"/>
      <c r="K1294"/>
    </row>
    <row r="1295" spans="1:11" ht="12.75" x14ac:dyDescent="0.35">
      <c r="A1295"/>
      <c r="B1295"/>
      <c r="C1295"/>
      <c r="D1295"/>
      <c r="E1295"/>
      <c r="F1295"/>
      <c r="G1295"/>
      <c r="H1295"/>
      <c r="I1295"/>
      <c r="J1295"/>
      <c r="K1295"/>
    </row>
    <row r="1296" spans="1:11" ht="12.75" x14ac:dyDescent="0.35">
      <c r="A1296"/>
      <c r="B1296"/>
      <c r="C1296"/>
      <c r="D1296"/>
      <c r="E1296"/>
      <c r="F1296"/>
      <c r="G1296"/>
      <c r="H1296"/>
      <c r="I1296"/>
      <c r="J1296"/>
      <c r="K1296"/>
    </row>
    <row r="1297" spans="1:11" ht="12.75" x14ac:dyDescent="0.35">
      <c r="A1297"/>
      <c r="B1297"/>
      <c r="C1297"/>
      <c r="D1297"/>
      <c r="E1297"/>
      <c r="F1297"/>
      <c r="G1297"/>
      <c r="H1297"/>
      <c r="I1297"/>
      <c r="J1297"/>
      <c r="K1297"/>
    </row>
    <row r="1298" spans="1:11" ht="12.75" x14ac:dyDescent="0.35">
      <c r="A1298"/>
      <c r="B1298"/>
      <c r="C1298"/>
      <c r="D1298"/>
      <c r="E1298"/>
      <c r="F1298"/>
      <c r="G1298"/>
      <c r="H1298"/>
      <c r="I1298"/>
      <c r="J1298"/>
      <c r="K1298"/>
    </row>
    <row r="1299" spans="1:11" ht="12.75" x14ac:dyDescent="0.35">
      <c r="A1299"/>
      <c r="B1299"/>
      <c r="C1299"/>
      <c r="D1299"/>
      <c r="E1299"/>
      <c r="F1299"/>
      <c r="G1299"/>
      <c r="H1299"/>
      <c r="I1299"/>
      <c r="J1299"/>
      <c r="K1299"/>
    </row>
    <row r="1300" spans="1:11" ht="12.75" x14ac:dyDescent="0.35">
      <c r="A1300"/>
      <c r="B1300"/>
      <c r="C1300"/>
      <c r="D1300"/>
      <c r="E1300"/>
      <c r="F1300"/>
      <c r="G1300"/>
      <c r="H1300"/>
      <c r="I1300"/>
      <c r="J1300"/>
      <c r="K1300"/>
    </row>
    <row r="1301" spans="1:11" ht="12.75" x14ac:dyDescent="0.35">
      <c r="A1301"/>
      <c r="B1301"/>
      <c r="C1301"/>
      <c r="D1301"/>
      <c r="E1301"/>
      <c r="F1301"/>
      <c r="G1301"/>
      <c r="H1301"/>
      <c r="I1301"/>
      <c r="J1301"/>
      <c r="K1301"/>
    </row>
    <row r="1302" spans="1:11" ht="12.75" x14ac:dyDescent="0.35">
      <c r="A1302"/>
      <c r="B1302"/>
      <c r="C1302"/>
      <c r="D1302"/>
      <c r="E1302"/>
      <c r="F1302"/>
      <c r="G1302"/>
      <c r="H1302"/>
      <c r="I1302"/>
      <c r="J1302"/>
      <c r="K1302"/>
    </row>
    <row r="1303" spans="1:11" ht="12.75" x14ac:dyDescent="0.35">
      <c r="A1303"/>
      <c r="B1303"/>
      <c r="C1303"/>
      <c r="D1303"/>
      <c r="E1303"/>
      <c r="F1303"/>
      <c r="G1303"/>
      <c r="H1303"/>
      <c r="I1303"/>
      <c r="J1303"/>
      <c r="K1303"/>
    </row>
    <row r="1304" spans="1:11" ht="12.75" x14ac:dyDescent="0.35">
      <c r="A1304"/>
      <c r="B1304"/>
      <c r="C1304"/>
      <c r="D1304"/>
      <c r="E1304"/>
      <c r="F1304"/>
      <c r="G1304"/>
      <c r="H1304"/>
      <c r="I1304"/>
      <c r="J1304"/>
      <c r="K1304"/>
    </row>
    <row r="1305" spans="1:11" ht="12.75" x14ac:dyDescent="0.35">
      <c r="A1305"/>
      <c r="B1305"/>
      <c r="C1305"/>
      <c r="D1305"/>
      <c r="E1305"/>
      <c r="F1305"/>
      <c r="G1305"/>
      <c r="H1305"/>
      <c r="I1305"/>
      <c r="J1305"/>
      <c r="K1305"/>
    </row>
    <row r="1306" spans="1:11" ht="12.75" x14ac:dyDescent="0.35">
      <c r="A1306"/>
      <c r="B1306"/>
      <c r="C1306"/>
      <c r="D1306"/>
      <c r="E1306"/>
      <c r="F1306"/>
      <c r="G1306"/>
      <c r="H1306"/>
      <c r="I1306"/>
      <c r="J1306"/>
      <c r="K1306"/>
    </row>
    <row r="1307" spans="1:11" ht="12.75" x14ac:dyDescent="0.35">
      <c r="A1307"/>
      <c r="B1307"/>
      <c r="C1307"/>
      <c r="D1307"/>
      <c r="E1307"/>
      <c r="F1307"/>
      <c r="G1307"/>
      <c r="H1307"/>
      <c r="I1307"/>
      <c r="J1307"/>
      <c r="K1307"/>
    </row>
    <row r="1308" spans="1:11" ht="12.75" x14ac:dyDescent="0.35">
      <c r="A1308"/>
      <c r="B1308"/>
      <c r="C1308"/>
      <c r="D1308"/>
      <c r="E1308"/>
      <c r="F1308"/>
      <c r="G1308"/>
      <c r="H1308"/>
      <c r="I1308"/>
      <c r="J1308"/>
      <c r="K1308"/>
    </row>
    <row r="1309" spans="1:11" ht="12.75" x14ac:dyDescent="0.35">
      <c r="A1309"/>
      <c r="B1309"/>
      <c r="C1309"/>
      <c r="D1309"/>
      <c r="E1309"/>
      <c r="F1309"/>
      <c r="G1309"/>
      <c r="H1309"/>
      <c r="I1309"/>
      <c r="J1309"/>
      <c r="K1309"/>
    </row>
    <row r="1310" spans="1:11" ht="12.75" x14ac:dyDescent="0.35">
      <c r="A1310"/>
      <c r="B1310"/>
      <c r="C1310"/>
      <c r="D1310"/>
      <c r="E1310"/>
      <c r="F1310"/>
      <c r="G1310"/>
      <c r="H1310"/>
      <c r="I1310"/>
      <c r="J1310"/>
      <c r="K1310"/>
    </row>
    <row r="1311" spans="1:11" ht="12.75" x14ac:dyDescent="0.35">
      <c r="A1311"/>
      <c r="B1311"/>
      <c r="C1311"/>
      <c r="D1311"/>
      <c r="E1311"/>
      <c r="F1311"/>
      <c r="G1311"/>
      <c r="H1311"/>
      <c r="I1311"/>
      <c r="J1311"/>
      <c r="K1311"/>
    </row>
    <row r="1312" spans="1:11" ht="12.75" x14ac:dyDescent="0.35">
      <c r="A1312"/>
      <c r="B1312"/>
      <c r="C1312"/>
      <c r="D1312"/>
      <c r="E1312"/>
      <c r="F1312"/>
      <c r="G1312"/>
      <c r="H1312"/>
      <c r="I1312"/>
      <c r="J1312"/>
      <c r="K1312"/>
    </row>
    <row r="1313" spans="1:11" ht="12.75" x14ac:dyDescent="0.35">
      <c r="A1313"/>
      <c r="B1313"/>
      <c r="C1313"/>
      <c r="D1313"/>
      <c r="E1313"/>
      <c r="F1313"/>
      <c r="G1313"/>
      <c r="H1313"/>
      <c r="I1313"/>
      <c r="J1313"/>
      <c r="K1313"/>
    </row>
    <row r="1314" spans="1:11" ht="12.75" x14ac:dyDescent="0.35">
      <c r="A1314"/>
      <c r="B1314"/>
      <c r="C1314"/>
      <c r="D1314"/>
      <c r="E1314"/>
      <c r="F1314"/>
      <c r="G1314"/>
      <c r="H1314"/>
      <c r="I1314"/>
      <c r="J1314"/>
      <c r="K1314"/>
    </row>
    <row r="1315" spans="1:11" ht="12.75" x14ac:dyDescent="0.35">
      <c r="A1315"/>
      <c r="B1315"/>
      <c r="C1315"/>
      <c r="D1315"/>
      <c r="E1315"/>
      <c r="F1315"/>
      <c r="G1315"/>
      <c r="H1315"/>
      <c r="I1315"/>
      <c r="J1315"/>
      <c r="K1315"/>
    </row>
    <row r="1316" spans="1:11" ht="12.75" x14ac:dyDescent="0.35">
      <c r="A1316"/>
      <c r="B1316"/>
      <c r="C1316"/>
      <c r="D1316"/>
      <c r="E1316"/>
      <c r="F1316"/>
      <c r="G1316"/>
      <c r="H1316"/>
      <c r="I1316"/>
      <c r="J1316"/>
      <c r="K1316"/>
    </row>
    <row r="1317" spans="1:11" ht="12.75" x14ac:dyDescent="0.35">
      <c r="A1317"/>
      <c r="B1317"/>
      <c r="C1317"/>
      <c r="D1317"/>
      <c r="E1317"/>
      <c r="F1317"/>
      <c r="G1317"/>
      <c r="H1317"/>
      <c r="I1317"/>
      <c r="J1317"/>
      <c r="K1317"/>
    </row>
    <row r="1318" spans="1:11" ht="12.75" x14ac:dyDescent="0.35">
      <c r="A1318"/>
      <c r="B1318"/>
      <c r="C1318"/>
      <c r="D1318"/>
      <c r="E1318"/>
      <c r="F1318"/>
      <c r="G1318"/>
      <c r="H1318"/>
      <c r="I1318"/>
      <c r="J1318"/>
      <c r="K1318"/>
    </row>
    <row r="1319" spans="1:11" ht="12.75" x14ac:dyDescent="0.35">
      <c r="A1319"/>
      <c r="B1319"/>
      <c r="C1319"/>
      <c r="D1319"/>
      <c r="E1319"/>
      <c r="F1319"/>
      <c r="G1319"/>
      <c r="H1319"/>
      <c r="I1319"/>
      <c r="J1319"/>
      <c r="K1319"/>
    </row>
    <row r="1320" spans="1:11" ht="12.75" x14ac:dyDescent="0.35">
      <c r="A1320"/>
      <c r="B1320"/>
      <c r="C1320"/>
      <c r="D1320"/>
      <c r="E1320"/>
      <c r="F1320"/>
      <c r="G1320"/>
      <c r="H1320"/>
      <c r="I1320"/>
      <c r="J1320"/>
      <c r="K1320"/>
    </row>
    <row r="1321" spans="1:11" ht="12.75" x14ac:dyDescent="0.35">
      <c r="A1321"/>
      <c r="B1321"/>
      <c r="C1321"/>
      <c r="D1321"/>
      <c r="E1321"/>
      <c r="F1321"/>
      <c r="G1321"/>
      <c r="H1321"/>
      <c r="I1321"/>
      <c r="J1321"/>
      <c r="K1321"/>
    </row>
    <row r="1322" spans="1:11" ht="12.75" x14ac:dyDescent="0.35">
      <c r="A1322"/>
      <c r="B1322"/>
      <c r="C1322"/>
      <c r="D1322"/>
      <c r="E1322"/>
      <c r="F1322"/>
      <c r="G1322"/>
      <c r="H1322"/>
      <c r="I1322"/>
      <c r="J1322"/>
      <c r="K1322"/>
    </row>
    <row r="1323" spans="1:11" ht="12.75" x14ac:dyDescent="0.35">
      <c r="A1323"/>
      <c r="B1323"/>
      <c r="C1323"/>
      <c r="D1323"/>
      <c r="E1323"/>
      <c r="F1323"/>
      <c r="G1323"/>
      <c r="H1323"/>
      <c r="I1323"/>
      <c r="J1323"/>
      <c r="K1323"/>
    </row>
    <row r="1324" spans="1:11" ht="12.75" x14ac:dyDescent="0.35">
      <c r="A1324"/>
      <c r="B1324"/>
      <c r="C1324"/>
      <c r="D1324"/>
      <c r="E1324"/>
      <c r="F1324"/>
      <c r="G1324"/>
      <c r="H1324"/>
      <c r="I1324"/>
      <c r="J1324"/>
      <c r="K1324"/>
    </row>
    <row r="1325" spans="1:11" ht="12.75" x14ac:dyDescent="0.35">
      <c r="A1325"/>
      <c r="B1325"/>
      <c r="C1325"/>
      <c r="D1325"/>
      <c r="E1325"/>
      <c r="F1325"/>
      <c r="G1325"/>
      <c r="H1325"/>
      <c r="I1325"/>
      <c r="J1325"/>
      <c r="K1325"/>
    </row>
    <row r="1326" spans="1:11" ht="12.75" x14ac:dyDescent="0.35">
      <c r="A1326"/>
      <c r="B1326"/>
      <c r="C1326"/>
      <c r="D1326"/>
      <c r="E1326"/>
      <c r="F1326"/>
      <c r="G1326"/>
      <c r="H1326"/>
      <c r="I1326"/>
      <c r="J1326"/>
      <c r="K1326"/>
    </row>
    <row r="1327" spans="1:11" ht="12.75" x14ac:dyDescent="0.35">
      <c r="A1327"/>
      <c r="B1327"/>
      <c r="C1327"/>
      <c r="D1327"/>
      <c r="E1327"/>
      <c r="F1327"/>
      <c r="G1327"/>
      <c r="H1327"/>
      <c r="I1327"/>
      <c r="J1327"/>
      <c r="K1327"/>
    </row>
    <row r="1328" spans="1:11" ht="12.75" x14ac:dyDescent="0.35">
      <c r="A1328"/>
      <c r="B1328"/>
      <c r="C1328"/>
      <c r="D1328"/>
      <c r="E1328"/>
      <c r="F1328"/>
      <c r="G1328"/>
      <c r="H1328"/>
      <c r="I1328"/>
      <c r="J1328"/>
      <c r="K1328"/>
    </row>
    <row r="1329" spans="1:11" ht="12.75" x14ac:dyDescent="0.35">
      <c r="A1329"/>
      <c r="B1329"/>
      <c r="C1329"/>
      <c r="D1329"/>
      <c r="E1329"/>
      <c r="F1329"/>
      <c r="G1329"/>
      <c r="H1329"/>
      <c r="I1329"/>
      <c r="J1329"/>
      <c r="K1329"/>
    </row>
    <row r="1330" spans="1:11" ht="12.75" x14ac:dyDescent="0.35">
      <c r="A1330"/>
      <c r="B1330"/>
      <c r="C1330"/>
      <c r="D1330"/>
      <c r="E1330"/>
      <c r="F1330"/>
      <c r="G1330"/>
      <c r="H1330"/>
      <c r="I1330"/>
      <c r="J1330"/>
      <c r="K1330"/>
    </row>
    <row r="1331" spans="1:11" ht="12.75" x14ac:dyDescent="0.35">
      <c r="A1331"/>
      <c r="B1331"/>
      <c r="C1331"/>
      <c r="D1331"/>
      <c r="E1331"/>
      <c r="F1331"/>
      <c r="G1331"/>
      <c r="H1331"/>
      <c r="I1331"/>
      <c r="J1331"/>
      <c r="K1331"/>
    </row>
    <row r="1332" spans="1:11" ht="12.75" x14ac:dyDescent="0.35">
      <c r="A1332"/>
      <c r="B1332"/>
      <c r="C1332"/>
      <c r="D1332"/>
      <c r="E1332"/>
      <c r="F1332"/>
      <c r="G1332"/>
      <c r="H1332"/>
      <c r="I1332"/>
      <c r="J1332"/>
      <c r="K1332"/>
    </row>
    <row r="1333" spans="1:11" ht="12.75" x14ac:dyDescent="0.35">
      <c r="A1333"/>
      <c r="B1333"/>
      <c r="C1333"/>
      <c r="D1333"/>
      <c r="E1333"/>
      <c r="F1333"/>
      <c r="G1333"/>
      <c r="H1333"/>
      <c r="I1333"/>
      <c r="J1333"/>
      <c r="K1333"/>
    </row>
    <row r="1334" spans="1:11" ht="12.75" x14ac:dyDescent="0.35">
      <c r="A1334"/>
      <c r="B1334"/>
      <c r="C1334"/>
      <c r="D1334"/>
      <c r="E1334"/>
      <c r="F1334"/>
      <c r="G1334"/>
      <c r="H1334"/>
      <c r="I1334"/>
      <c r="J1334"/>
      <c r="K1334"/>
    </row>
    <row r="1335" spans="1:11" ht="12.75" x14ac:dyDescent="0.35">
      <c r="A1335"/>
      <c r="B1335"/>
      <c r="C1335"/>
      <c r="D1335"/>
      <c r="E1335"/>
      <c r="F1335"/>
      <c r="G1335"/>
      <c r="H1335"/>
      <c r="I1335"/>
      <c r="J1335"/>
      <c r="K1335"/>
    </row>
    <row r="1336" spans="1:11" ht="12.75" x14ac:dyDescent="0.35">
      <c r="A1336"/>
      <c r="B1336"/>
      <c r="C1336"/>
      <c r="D1336"/>
      <c r="E1336"/>
      <c r="F1336"/>
      <c r="G1336"/>
      <c r="H1336"/>
      <c r="I1336"/>
      <c r="J1336"/>
      <c r="K1336"/>
    </row>
    <row r="1337" spans="1:11" ht="12.75" x14ac:dyDescent="0.35">
      <c r="A1337"/>
      <c r="B1337"/>
      <c r="C1337"/>
      <c r="D1337"/>
      <c r="E1337"/>
      <c r="F1337"/>
      <c r="G1337"/>
      <c r="H1337"/>
      <c r="I1337"/>
      <c r="J1337"/>
      <c r="K1337"/>
    </row>
    <row r="1338" spans="1:11" ht="12.75" x14ac:dyDescent="0.35">
      <c r="A1338"/>
      <c r="B1338"/>
      <c r="C1338"/>
      <c r="D1338"/>
      <c r="E1338"/>
      <c r="F1338"/>
      <c r="G1338"/>
      <c r="H1338"/>
      <c r="I1338"/>
      <c r="J1338"/>
      <c r="K1338"/>
    </row>
    <row r="1339" spans="1:11" ht="12.75" x14ac:dyDescent="0.35">
      <c r="A1339"/>
      <c r="B1339"/>
      <c r="C1339"/>
      <c r="D1339"/>
      <c r="E1339"/>
      <c r="F1339"/>
      <c r="G1339"/>
      <c r="H1339"/>
      <c r="I1339"/>
      <c r="J1339"/>
      <c r="K1339"/>
    </row>
    <row r="1340" spans="1:11" ht="12.75" x14ac:dyDescent="0.35">
      <c r="A1340"/>
      <c r="B1340"/>
      <c r="C1340"/>
      <c r="D1340"/>
      <c r="E1340"/>
      <c r="F1340"/>
      <c r="G1340"/>
      <c r="H1340"/>
      <c r="I1340"/>
      <c r="J1340"/>
      <c r="K1340"/>
    </row>
    <row r="1341" spans="1:11" ht="12.75" x14ac:dyDescent="0.35">
      <c r="A1341"/>
      <c r="B1341"/>
      <c r="C1341"/>
      <c r="D1341"/>
      <c r="E1341"/>
      <c r="F1341"/>
      <c r="G1341"/>
      <c r="H1341"/>
      <c r="I1341"/>
      <c r="J1341"/>
      <c r="K1341"/>
    </row>
    <row r="1342" spans="1:11" ht="12.75" x14ac:dyDescent="0.35">
      <c r="A1342"/>
      <c r="B1342"/>
      <c r="C1342"/>
      <c r="D1342"/>
      <c r="E1342"/>
      <c r="F1342"/>
      <c r="G1342"/>
      <c r="H1342"/>
      <c r="I1342"/>
      <c r="J1342"/>
      <c r="K1342"/>
    </row>
    <row r="1343" spans="1:11" ht="12.75" x14ac:dyDescent="0.35">
      <c r="A1343"/>
      <c r="B1343"/>
      <c r="C1343"/>
      <c r="D1343"/>
      <c r="E1343"/>
      <c r="F1343"/>
      <c r="G1343"/>
      <c r="H1343"/>
      <c r="I1343"/>
      <c r="J1343"/>
      <c r="K1343"/>
    </row>
    <row r="1344" spans="1:11" ht="12.75" x14ac:dyDescent="0.35">
      <c r="A1344"/>
      <c r="B1344"/>
      <c r="C1344"/>
      <c r="D1344"/>
      <c r="E1344"/>
      <c r="F1344"/>
      <c r="G1344"/>
      <c r="H1344"/>
      <c r="I1344"/>
      <c r="J1344"/>
      <c r="K1344"/>
    </row>
    <row r="1345" spans="1:11" ht="12.75" x14ac:dyDescent="0.35">
      <c r="A1345"/>
      <c r="B1345"/>
      <c r="C1345"/>
      <c r="D1345"/>
      <c r="E1345"/>
      <c r="F1345"/>
      <c r="G1345"/>
      <c r="H1345"/>
      <c r="I1345"/>
      <c r="J1345"/>
      <c r="K1345"/>
    </row>
    <row r="1346" spans="1:11" ht="12.75" x14ac:dyDescent="0.35">
      <c r="A1346"/>
      <c r="B1346"/>
      <c r="C1346"/>
      <c r="D1346"/>
      <c r="E1346"/>
      <c r="F1346"/>
      <c r="G1346"/>
      <c r="H1346"/>
      <c r="I1346"/>
      <c r="J1346"/>
      <c r="K1346"/>
    </row>
    <row r="1347" spans="1:11" ht="12.75" x14ac:dyDescent="0.35">
      <c r="A1347"/>
      <c r="B1347"/>
      <c r="C1347"/>
      <c r="D1347"/>
      <c r="E1347"/>
      <c r="F1347"/>
      <c r="G1347"/>
      <c r="H1347"/>
      <c r="I1347"/>
      <c r="J1347"/>
      <c r="K1347"/>
    </row>
    <row r="1348" spans="1:11" ht="12.75" x14ac:dyDescent="0.35">
      <c r="A1348"/>
      <c r="B1348"/>
      <c r="C1348"/>
      <c r="D1348"/>
      <c r="E1348"/>
      <c r="F1348"/>
      <c r="G1348"/>
      <c r="H1348"/>
      <c r="I1348"/>
      <c r="J1348"/>
      <c r="K1348"/>
    </row>
    <row r="1349" spans="1:11" ht="12.75" x14ac:dyDescent="0.35">
      <c r="A1349"/>
      <c r="B1349"/>
      <c r="C1349"/>
      <c r="D1349"/>
      <c r="E1349"/>
      <c r="F1349"/>
      <c r="G1349"/>
      <c r="H1349"/>
      <c r="I1349"/>
      <c r="J1349"/>
      <c r="K1349"/>
    </row>
    <row r="1350" spans="1:11" ht="12.75" x14ac:dyDescent="0.35">
      <c r="A1350"/>
      <c r="B1350"/>
      <c r="C1350"/>
      <c r="D1350"/>
      <c r="E1350"/>
      <c r="F1350"/>
      <c r="G1350"/>
      <c r="H1350"/>
      <c r="I1350"/>
      <c r="J1350"/>
      <c r="K1350"/>
    </row>
    <row r="1351" spans="1:11" ht="12.75" x14ac:dyDescent="0.35">
      <c r="A1351"/>
      <c r="B1351"/>
      <c r="C1351"/>
      <c r="D1351"/>
      <c r="E1351"/>
      <c r="F1351"/>
      <c r="G1351"/>
      <c r="H1351"/>
      <c r="I1351"/>
      <c r="J1351"/>
      <c r="K1351"/>
    </row>
    <row r="1352" spans="1:11" ht="12.75" x14ac:dyDescent="0.35">
      <c r="A1352"/>
      <c r="B1352"/>
      <c r="C1352"/>
      <c r="D1352"/>
      <c r="E1352"/>
      <c r="F1352"/>
      <c r="G1352"/>
      <c r="H1352"/>
      <c r="I1352"/>
      <c r="J1352"/>
      <c r="K1352"/>
    </row>
    <row r="1353" spans="1:11" ht="12.75" x14ac:dyDescent="0.35">
      <c r="A1353"/>
      <c r="B1353"/>
      <c r="C1353"/>
      <c r="D1353"/>
      <c r="E1353"/>
      <c r="F1353"/>
      <c r="G1353"/>
      <c r="H1353"/>
      <c r="I1353"/>
      <c r="J1353"/>
      <c r="K1353"/>
    </row>
    <row r="1354" spans="1:11" ht="12.75" x14ac:dyDescent="0.35">
      <c r="A1354"/>
      <c r="B1354"/>
      <c r="C1354"/>
      <c r="D1354"/>
      <c r="E1354"/>
      <c r="F1354"/>
      <c r="G1354"/>
      <c r="H1354"/>
      <c r="I1354"/>
      <c r="J1354"/>
      <c r="K1354"/>
    </row>
    <row r="1355" spans="1:11" ht="12.75" x14ac:dyDescent="0.35">
      <c r="A1355"/>
      <c r="B1355"/>
      <c r="C1355"/>
      <c r="D1355"/>
      <c r="E1355"/>
      <c r="F1355"/>
      <c r="G1355"/>
      <c r="H1355"/>
      <c r="I1355"/>
      <c r="J1355"/>
      <c r="K1355"/>
    </row>
    <row r="1356" spans="1:11" ht="12.75" x14ac:dyDescent="0.35">
      <c r="A1356"/>
      <c r="B1356"/>
      <c r="C1356"/>
      <c r="D1356"/>
      <c r="E1356"/>
      <c r="F1356"/>
      <c r="G1356"/>
      <c r="H1356"/>
      <c r="I1356"/>
      <c r="J1356"/>
      <c r="K1356"/>
    </row>
    <row r="1357" spans="1:11" ht="12.75" x14ac:dyDescent="0.35">
      <c r="A1357"/>
      <c r="B1357"/>
      <c r="C1357"/>
      <c r="D1357"/>
      <c r="E1357"/>
      <c r="F1357"/>
      <c r="G1357"/>
      <c r="H1357"/>
      <c r="I1357"/>
      <c r="J1357"/>
      <c r="K1357"/>
    </row>
    <row r="1358" spans="1:11" ht="12.75" x14ac:dyDescent="0.35">
      <c r="A1358"/>
      <c r="B1358"/>
      <c r="C1358"/>
      <c r="D1358"/>
      <c r="E1358"/>
      <c r="F1358"/>
      <c r="G1358"/>
      <c r="H1358"/>
      <c r="I1358"/>
      <c r="J1358"/>
      <c r="K1358"/>
    </row>
    <row r="1359" spans="1:11" ht="12.75" x14ac:dyDescent="0.35">
      <c r="A1359"/>
      <c r="B1359"/>
      <c r="C1359"/>
      <c r="D1359"/>
      <c r="E1359"/>
      <c r="F1359"/>
      <c r="G1359"/>
      <c r="H1359"/>
      <c r="I1359"/>
      <c r="J1359"/>
      <c r="K1359"/>
    </row>
    <row r="1360" spans="1:11" ht="12.75" x14ac:dyDescent="0.35">
      <c r="A1360"/>
      <c r="B1360"/>
      <c r="C1360"/>
      <c r="D1360"/>
      <c r="E1360"/>
      <c r="F1360"/>
      <c r="G1360"/>
      <c r="H1360"/>
      <c r="I1360"/>
      <c r="J1360"/>
      <c r="K1360"/>
    </row>
    <row r="1361" spans="1:11" ht="12.75" x14ac:dyDescent="0.35">
      <c r="A1361"/>
      <c r="B1361"/>
      <c r="C1361"/>
      <c r="D1361"/>
      <c r="E1361"/>
      <c r="F1361"/>
      <c r="G1361"/>
      <c r="H1361"/>
      <c r="I1361"/>
      <c r="J1361"/>
      <c r="K1361"/>
    </row>
    <row r="1362" spans="1:11" ht="12.75" x14ac:dyDescent="0.35">
      <c r="A1362"/>
      <c r="B1362"/>
      <c r="C1362"/>
      <c r="D1362"/>
      <c r="E1362"/>
      <c r="F1362"/>
      <c r="G1362"/>
      <c r="H1362"/>
      <c r="I1362"/>
      <c r="J1362"/>
      <c r="K1362"/>
    </row>
    <row r="1363" spans="1:11" ht="12.75" x14ac:dyDescent="0.35">
      <c r="A1363"/>
      <c r="B1363"/>
      <c r="C1363"/>
      <c r="D1363"/>
      <c r="E1363"/>
      <c r="F1363"/>
      <c r="G1363"/>
      <c r="H1363"/>
      <c r="I1363"/>
      <c r="J1363"/>
      <c r="K1363"/>
    </row>
    <row r="1364" spans="1:11" ht="12.75" x14ac:dyDescent="0.35">
      <c r="A1364"/>
      <c r="B1364"/>
      <c r="C1364"/>
      <c r="D1364"/>
      <c r="E1364"/>
      <c r="F1364"/>
      <c r="G1364"/>
      <c r="H1364"/>
      <c r="I1364"/>
      <c r="J1364"/>
      <c r="K1364"/>
    </row>
    <row r="1365" spans="1:11" ht="12.75" x14ac:dyDescent="0.35">
      <c r="A1365"/>
      <c r="B1365"/>
      <c r="C1365"/>
      <c r="D1365"/>
      <c r="E1365"/>
      <c r="F1365"/>
      <c r="G1365"/>
      <c r="H1365"/>
      <c r="I1365"/>
      <c r="J1365"/>
      <c r="K1365"/>
    </row>
    <row r="1366" spans="1:11" ht="12.75" x14ac:dyDescent="0.35">
      <c r="A1366"/>
      <c r="B1366"/>
      <c r="C1366"/>
      <c r="D1366"/>
      <c r="E1366"/>
      <c r="F1366"/>
      <c r="G1366"/>
      <c r="H1366"/>
      <c r="I1366"/>
      <c r="J1366"/>
      <c r="K1366"/>
    </row>
    <row r="1367" spans="1:11" ht="12.75" x14ac:dyDescent="0.35">
      <c r="A1367"/>
      <c r="B1367"/>
      <c r="C1367"/>
      <c r="D1367"/>
      <c r="E1367"/>
      <c r="F1367"/>
      <c r="G1367"/>
      <c r="H1367"/>
      <c r="I1367"/>
      <c r="J1367"/>
      <c r="K1367"/>
    </row>
    <row r="1368" spans="1:11" ht="12.75" x14ac:dyDescent="0.35">
      <c r="A1368"/>
      <c r="B1368"/>
      <c r="C1368"/>
      <c r="D1368"/>
      <c r="E1368"/>
      <c r="F1368"/>
      <c r="G1368"/>
      <c r="H1368"/>
      <c r="I1368"/>
      <c r="J1368"/>
      <c r="K1368"/>
    </row>
    <row r="1369" spans="1:11" ht="12.75" x14ac:dyDescent="0.35">
      <c r="A1369"/>
      <c r="B1369"/>
      <c r="C1369"/>
      <c r="D1369"/>
      <c r="E1369"/>
      <c r="F1369"/>
      <c r="G1369"/>
      <c r="H1369"/>
      <c r="I1369"/>
      <c r="J1369"/>
      <c r="K1369"/>
    </row>
    <row r="1370" spans="1:11" ht="12.75" x14ac:dyDescent="0.35">
      <c r="A1370"/>
      <c r="B1370"/>
      <c r="C1370"/>
      <c r="D1370"/>
      <c r="E1370"/>
      <c r="F1370"/>
      <c r="G1370"/>
      <c r="H1370"/>
      <c r="I1370"/>
      <c r="J1370"/>
      <c r="K1370"/>
    </row>
    <row r="1371" spans="1:11" ht="12.75" x14ac:dyDescent="0.35">
      <c r="A1371"/>
      <c r="B1371"/>
      <c r="C1371"/>
      <c r="D1371"/>
      <c r="E1371"/>
      <c r="F1371"/>
      <c r="G1371"/>
      <c r="H1371"/>
      <c r="I1371"/>
      <c r="J1371"/>
      <c r="K1371"/>
    </row>
    <row r="1372" spans="1:11" ht="12.75" x14ac:dyDescent="0.35">
      <c r="A1372"/>
      <c r="B1372"/>
      <c r="C1372"/>
      <c r="D1372"/>
      <c r="E1372"/>
      <c r="F1372"/>
      <c r="G1372"/>
      <c r="H1372"/>
      <c r="I1372"/>
      <c r="J1372"/>
      <c r="K1372"/>
    </row>
    <row r="1373" spans="1:11" ht="12.75" x14ac:dyDescent="0.35">
      <c r="A1373"/>
      <c r="B1373"/>
      <c r="C1373"/>
      <c r="D1373"/>
      <c r="E1373"/>
      <c r="F1373"/>
      <c r="G1373"/>
      <c r="H1373"/>
      <c r="I1373"/>
      <c r="J1373"/>
      <c r="K1373"/>
    </row>
    <row r="1374" spans="1:11" ht="12.75" x14ac:dyDescent="0.35">
      <c r="A1374"/>
      <c r="B1374"/>
      <c r="C1374"/>
      <c r="D1374"/>
      <c r="E1374"/>
      <c r="F1374"/>
      <c r="G1374"/>
      <c r="H1374"/>
      <c r="I1374"/>
      <c r="J1374"/>
      <c r="K1374"/>
    </row>
    <row r="1375" spans="1:11" ht="12.75" x14ac:dyDescent="0.35">
      <c r="A1375"/>
      <c r="B1375"/>
      <c r="C1375"/>
      <c r="D1375"/>
      <c r="E1375"/>
      <c r="F1375"/>
      <c r="G1375"/>
      <c r="H1375"/>
      <c r="I1375"/>
      <c r="J1375"/>
      <c r="K1375"/>
    </row>
    <row r="1376" spans="1:11" ht="12.75" x14ac:dyDescent="0.35">
      <c r="A1376"/>
      <c r="B1376"/>
      <c r="C1376"/>
      <c r="D1376"/>
      <c r="E1376"/>
      <c r="F1376"/>
      <c r="G1376"/>
      <c r="H1376"/>
      <c r="I1376"/>
      <c r="J1376"/>
      <c r="K1376"/>
    </row>
    <row r="1377" spans="1:11" ht="12.75" x14ac:dyDescent="0.35">
      <c r="A1377"/>
      <c r="B1377"/>
      <c r="C1377"/>
      <c r="D1377"/>
      <c r="E1377"/>
      <c r="F1377"/>
      <c r="G1377"/>
      <c r="H1377"/>
      <c r="I1377"/>
      <c r="J1377"/>
      <c r="K1377"/>
    </row>
    <row r="1378" spans="1:11" ht="12.75" x14ac:dyDescent="0.35">
      <c r="A1378"/>
      <c r="B1378"/>
      <c r="C1378"/>
      <c r="D1378"/>
      <c r="E1378"/>
      <c r="F1378"/>
      <c r="G1378"/>
      <c r="H1378"/>
      <c r="I1378"/>
      <c r="J1378"/>
      <c r="K1378"/>
    </row>
    <row r="1379" spans="1:11" ht="12.75" x14ac:dyDescent="0.35">
      <c r="A1379"/>
      <c r="B1379"/>
      <c r="C1379"/>
      <c r="D1379"/>
      <c r="E1379"/>
      <c r="F1379"/>
      <c r="G1379"/>
      <c r="H1379"/>
      <c r="I1379"/>
      <c r="J1379"/>
      <c r="K1379"/>
    </row>
    <row r="1380" spans="1:11" ht="12.75" x14ac:dyDescent="0.35">
      <c r="A1380"/>
      <c r="B1380"/>
      <c r="C1380"/>
      <c r="D1380"/>
      <c r="E1380"/>
      <c r="F1380"/>
      <c r="G1380"/>
      <c r="H1380"/>
      <c r="I1380"/>
      <c r="J1380"/>
      <c r="K1380"/>
    </row>
    <row r="1381" spans="1:11" ht="12.75" x14ac:dyDescent="0.35">
      <c r="A1381"/>
      <c r="B1381"/>
      <c r="C1381"/>
      <c r="D1381"/>
      <c r="E1381"/>
      <c r="F1381"/>
      <c r="G1381"/>
      <c r="H1381"/>
      <c r="I1381"/>
      <c r="J1381"/>
      <c r="K1381"/>
    </row>
    <row r="1382" spans="1:11" ht="12.75" x14ac:dyDescent="0.35">
      <c r="A1382"/>
      <c r="B1382"/>
      <c r="C1382"/>
      <c r="D1382"/>
      <c r="E1382"/>
      <c r="F1382"/>
      <c r="G1382"/>
      <c r="H1382"/>
      <c r="I1382"/>
      <c r="J1382"/>
      <c r="K1382"/>
    </row>
    <row r="1383" spans="1:11" ht="12.75" x14ac:dyDescent="0.35">
      <c r="A1383"/>
      <c r="B1383"/>
      <c r="C1383"/>
      <c r="D1383"/>
      <c r="E1383"/>
      <c r="F1383"/>
      <c r="G1383"/>
      <c r="H1383"/>
      <c r="I1383"/>
      <c r="J1383"/>
      <c r="K1383"/>
    </row>
    <row r="1384" spans="1:11" ht="12.75" x14ac:dyDescent="0.35">
      <c r="A1384"/>
      <c r="B1384"/>
      <c r="C1384"/>
      <c r="D1384"/>
      <c r="E1384"/>
      <c r="F1384"/>
      <c r="G1384"/>
      <c r="H1384"/>
      <c r="I1384"/>
      <c r="J1384"/>
      <c r="K1384"/>
    </row>
    <row r="1385" spans="1:11" ht="12.75" x14ac:dyDescent="0.35">
      <c r="A1385"/>
      <c r="B1385"/>
      <c r="C1385"/>
      <c r="D1385"/>
      <c r="E1385"/>
      <c r="F1385"/>
      <c r="G1385"/>
      <c r="H1385"/>
      <c r="I1385"/>
      <c r="J1385"/>
      <c r="K1385"/>
    </row>
    <row r="1386" spans="1:11" ht="12.75" x14ac:dyDescent="0.35">
      <c r="A1386"/>
      <c r="B1386"/>
      <c r="C1386"/>
      <c r="D1386"/>
      <c r="E1386"/>
      <c r="F1386"/>
      <c r="G1386"/>
      <c r="H1386"/>
      <c r="I1386"/>
      <c r="J1386"/>
      <c r="K1386"/>
    </row>
    <row r="1387" spans="1:11" ht="12.75" x14ac:dyDescent="0.35">
      <c r="A1387"/>
      <c r="B1387"/>
      <c r="C1387"/>
      <c r="D1387"/>
      <c r="E1387"/>
      <c r="F1387"/>
      <c r="G1387"/>
      <c r="H1387"/>
      <c r="I1387"/>
      <c r="J1387"/>
      <c r="K1387"/>
    </row>
    <row r="1388" spans="1:11" ht="12.75" x14ac:dyDescent="0.35">
      <c r="A1388"/>
      <c r="B1388"/>
      <c r="C1388"/>
      <c r="D1388"/>
      <c r="E1388"/>
      <c r="F1388"/>
      <c r="G1388"/>
      <c r="H1388"/>
      <c r="I1388"/>
      <c r="J1388"/>
      <c r="K1388"/>
    </row>
    <row r="1389" spans="1:11" ht="12.75" x14ac:dyDescent="0.35">
      <c r="A1389"/>
      <c r="B1389"/>
      <c r="C1389"/>
      <c r="D1389"/>
      <c r="E1389"/>
      <c r="F1389"/>
      <c r="G1389"/>
      <c r="H1389"/>
      <c r="I1389"/>
      <c r="J1389"/>
      <c r="K1389"/>
    </row>
    <row r="1390" spans="1:11" ht="12.75" x14ac:dyDescent="0.35">
      <c r="A1390"/>
      <c r="B1390"/>
      <c r="C1390"/>
      <c r="D1390"/>
      <c r="E1390"/>
      <c r="F1390"/>
      <c r="G1390"/>
      <c r="H1390"/>
      <c r="I1390"/>
      <c r="J1390"/>
      <c r="K1390"/>
    </row>
    <row r="1391" spans="1:11" ht="12.75" x14ac:dyDescent="0.35">
      <c r="A1391"/>
      <c r="B1391"/>
      <c r="C1391"/>
      <c r="D1391"/>
      <c r="E1391"/>
      <c r="F1391"/>
      <c r="G1391"/>
      <c r="H1391"/>
      <c r="I1391"/>
      <c r="J1391"/>
      <c r="K1391"/>
    </row>
    <row r="1392" spans="1:11" ht="12.75" x14ac:dyDescent="0.35">
      <c r="A1392"/>
      <c r="B1392"/>
      <c r="C1392"/>
      <c r="D1392"/>
      <c r="E1392"/>
      <c r="F1392"/>
      <c r="G1392"/>
      <c r="H1392"/>
      <c r="I1392"/>
      <c r="J1392"/>
      <c r="K1392"/>
    </row>
    <row r="1393" spans="1:11" ht="12.75" x14ac:dyDescent="0.35">
      <c r="A1393"/>
      <c r="B1393"/>
      <c r="C1393"/>
      <c r="D1393"/>
      <c r="E1393"/>
      <c r="F1393"/>
      <c r="G1393"/>
      <c r="H1393"/>
      <c r="I1393"/>
      <c r="J1393"/>
      <c r="K1393"/>
    </row>
    <row r="1394" spans="1:11" ht="12.75" x14ac:dyDescent="0.35">
      <c r="A1394"/>
      <c r="B1394"/>
      <c r="C1394"/>
      <c r="D1394"/>
      <c r="E1394"/>
      <c r="F1394"/>
      <c r="G1394"/>
      <c r="H1394"/>
      <c r="I1394"/>
      <c r="J1394"/>
      <c r="K1394"/>
    </row>
    <row r="1395" spans="1:11" ht="12.75" x14ac:dyDescent="0.35">
      <c r="A1395"/>
      <c r="B1395"/>
      <c r="C1395"/>
      <c r="D1395"/>
      <c r="E1395"/>
      <c r="F1395"/>
      <c r="G1395"/>
      <c r="H1395"/>
      <c r="I1395"/>
      <c r="J1395"/>
      <c r="K1395"/>
    </row>
    <row r="1396" spans="1:11" ht="12.75" x14ac:dyDescent="0.35">
      <c r="A1396"/>
      <c r="B1396"/>
      <c r="C1396"/>
      <c r="D1396"/>
      <c r="E1396"/>
      <c r="F1396"/>
      <c r="G1396"/>
      <c r="H1396"/>
      <c r="I1396"/>
      <c r="J1396"/>
      <c r="K1396"/>
    </row>
    <row r="1397" spans="1:11" ht="12.75" x14ac:dyDescent="0.35">
      <c r="A1397"/>
      <c r="B1397"/>
      <c r="C1397"/>
      <c r="D1397"/>
      <c r="E1397"/>
      <c r="F1397"/>
      <c r="G1397"/>
      <c r="H1397"/>
      <c r="I1397"/>
      <c r="J1397"/>
      <c r="K1397"/>
    </row>
    <row r="1398" spans="1:11" ht="12.75" x14ac:dyDescent="0.35">
      <c r="A1398"/>
      <c r="B1398"/>
      <c r="C1398"/>
      <c r="D1398"/>
      <c r="E1398"/>
      <c r="F1398"/>
      <c r="G1398"/>
      <c r="H1398"/>
      <c r="I1398"/>
      <c r="J1398"/>
      <c r="K1398"/>
    </row>
    <row r="1399" spans="1:11" ht="12.75" x14ac:dyDescent="0.35">
      <c r="A1399"/>
      <c r="B1399"/>
      <c r="C1399"/>
      <c r="D1399"/>
      <c r="E1399"/>
      <c r="F1399"/>
      <c r="G1399"/>
      <c r="H1399"/>
      <c r="I1399"/>
      <c r="J1399"/>
      <c r="K1399"/>
    </row>
    <row r="1400" spans="1:11" ht="12.75" x14ac:dyDescent="0.35">
      <c r="A1400"/>
      <c r="B1400"/>
      <c r="C1400"/>
      <c r="D1400"/>
      <c r="E1400"/>
      <c r="F1400"/>
      <c r="G1400"/>
      <c r="H1400"/>
      <c r="I1400"/>
      <c r="J1400"/>
      <c r="K1400"/>
    </row>
    <row r="1401" spans="1:11" ht="12.75" x14ac:dyDescent="0.35">
      <c r="A1401"/>
      <c r="B1401"/>
      <c r="C1401"/>
      <c r="D1401"/>
      <c r="E1401"/>
      <c r="F1401"/>
      <c r="G1401"/>
      <c r="H1401"/>
      <c r="I1401"/>
      <c r="J1401"/>
      <c r="K1401"/>
    </row>
    <row r="1402" spans="1:11" ht="12.75" x14ac:dyDescent="0.35">
      <c r="A1402"/>
      <c r="B1402"/>
      <c r="C1402"/>
      <c r="D1402"/>
      <c r="E1402"/>
      <c r="F1402"/>
      <c r="G1402"/>
      <c r="H1402"/>
      <c r="I1402"/>
      <c r="J1402"/>
      <c r="K1402"/>
    </row>
    <row r="1403" spans="1:11" ht="12.75" x14ac:dyDescent="0.35">
      <c r="A1403"/>
      <c r="B1403"/>
      <c r="C1403"/>
      <c r="D1403"/>
      <c r="E1403"/>
      <c r="F1403"/>
      <c r="G1403"/>
      <c r="H1403"/>
      <c r="I1403"/>
      <c r="J1403"/>
      <c r="K1403"/>
    </row>
    <row r="1404" spans="1:11" ht="12.75" x14ac:dyDescent="0.35">
      <c r="A1404"/>
      <c r="B1404"/>
      <c r="C1404"/>
      <c r="D1404"/>
      <c r="E1404"/>
      <c r="F1404"/>
      <c r="G1404"/>
      <c r="H1404"/>
      <c r="I1404"/>
      <c r="J1404"/>
      <c r="K1404"/>
    </row>
    <row r="1405" spans="1:11" ht="12.75" x14ac:dyDescent="0.35">
      <c r="A1405"/>
      <c r="B1405"/>
      <c r="C1405"/>
      <c r="D1405"/>
      <c r="E1405"/>
      <c r="F1405"/>
      <c r="G1405"/>
      <c r="H1405"/>
      <c r="I1405"/>
      <c r="J1405"/>
      <c r="K1405"/>
    </row>
    <row r="1406" spans="1:11" ht="12.75" x14ac:dyDescent="0.35">
      <c r="A1406"/>
      <c r="B1406"/>
      <c r="C1406"/>
      <c r="D1406"/>
      <c r="E1406"/>
      <c r="F1406"/>
      <c r="G1406"/>
      <c r="H1406"/>
      <c r="I1406"/>
      <c r="J1406"/>
      <c r="K1406"/>
    </row>
    <row r="1407" spans="1:11" ht="12.75" x14ac:dyDescent="0.35">
      <c r="A1407"/>
      <c r="B1407"/>
      <c r="C1407"/>
      <c r="D1407"/>
      <c r="E1407"/>
      <c r="F1407"/>
      <c r="G1407"/>
      <c r="H1407"/>
      <c r="I1407"/>
      <c r="J1407"/>
      <c r="K1407"/>
    </row>
    <row r="1408" spans="1:11" ht="12.75" x14ac:dyDescent="0.35">
      <c r="A1408"/>
      <c r="B1408"/>
      <c r="C1408"/>
      <c r="D1408"/>
      <c r="E1408"/>
      <c r="F1408"/>
      <c r="G1408"/>
      <c r="H1408"/>
      <c r="I1408"/>
      <c r="J1408"/>
      <c r="K1408"/>
    </row>
    <row r="1409" spans="1:11" ht="12.75" x14ac:dyDescent="0.35">
      <c r="A1409"/>
      <c r="B1409"/>
      <c r="C1409"/>
      <c r="D1409"/>
      <c r="E1409"/>
      <c r="F1409"/>
      <c r="G1409"/>
      <c r="H1409"/>
      <c r="I1409"/>
      <c r="J1409"/>
      <c r="K1409"/>
    </row>
    <row r="1410" spans="1:11" ht="12.75" x14ac:dyDescent="0.35">
      <c r="A1410"/>
      <c r="B1410"/>
      <c r="C1410"/>
      <c r="D1410"/>
      <c r="E1410"/>
      <c r="F1410"/>
      <c r="G1410"/>
      <c r="H1410"/>
      <c r="I1410"/>
      <c r="J1410"/>
      <c r="K1410"/>
    </row>
    <row r="1411" spans="1:11" ht="12.75" x14ac:dyDescent="0.35">
      <c r="A1411"/>
      <c r="B1411"/>
      <c r="C1411"/>
      <c r="D1411"/>
      <c r="E1411"/>
      <c r="F1411"/>
      <c r="G1411"/>
      <c r="H1411"/>
      <c r="I1411"/>
      <c r="J1411"/>
      <c r="K1411"/>
    </row>
    <row r="1412" spans="1:11" ht="12.75" x14ac:dyDescent="0.35">
      <c r="A1412"/>
      <c r="B1412"/>
      <c r="C1412"/>
      <c r="D1412"/>
      <c r="E1412"/>
      <c r="F1412"/>
      <c r="G1412"/>
      <c r="H1412"/>
      <c r="I1412"/>
      <c r="J1412"/>
      <c r="K1412"/>
    </row>
    <row r="1413" spans="1:11" ht="12.75" x14ac:dyDescent="0.35">
      <c r="A1413"/>
      <c r="B1413"/>
      <c r="C1413"/>
      <c r="D1413"/>
      <c r="E1413"/>
      <c r="F1413"/>
      <c r="G1413"/>
      <c r="H1413"/>
      <c r="I1413"/>
      <c r="J1413"/>
      <c r="K1413"/>
    </row>
    <row r="1414" spans="1:11" ht="12.75" x14ac:dyDescent="0.35">
      <c r="A1414"/>
      <c r="B1414"/>
      <c r="C1414"/>
      <c r="D1414"/>
      <c r="E1414"/>
      <c r="F1414"/>
      <c r="G1414"/>
      <c r="H1414"/>
      <c r="I1414"/>
      <c r="J1414"/>
      <c r="K1414"/>
    </row>
    <row r="1415" spans="1:11" ht="12.75" x14ac:dyDescent="0.35">
      <c r="A1415"/>
      <c r="B1415"/>
      <c r="C1415"/>
      <c r="D1415"/>
      <c r="E1415"/>
      <c r="F1415"/>
      <c r="G1415"/>
      <c r="H1415"/>
      <c r="I1415"/>
      <c r="J1415"/>
      <c r="K1415"/>
    </row>
    <row r="1416" spans="1:11" ht="12.75" x14ac:dyDescent="0.35">
      <c r="A1416"/>
      <c r="B1416"/>
      <c r="C1416"/>
      <c r="D1416"/>
      <c r="E1416"/>
      <c r="F1416"/>
      <c r="G1416"/>
      <c r="H1416"/>
      <c r="I1416"/>
      <c r="J1416"/>
      <c r="K1416"/>
    </row>
    <row r="1417" spans="1:11" ht="12.75" x14ac:dyDescent="0.35">
      <c r="A1417"/>
      <c r="B1417"/>
      <c r="C1417"/>
      <c r="D1417"/>
      <c r="E1417"/>
      <c r="F1417"/>
      <c r="G1417"/>
      <c r="H1417"/>
      <c r="I1417"/>
      <c r="J1417"/>
      <c r="K1417"/>
    </row>
    <row r="1418" spans="1:11" ht="12.75" x14ac:dyDescent="0.35">
      <c r="A1418"/>
      <c r="B1418"/>
      <c r="C1418"/>
      <c r="D1418"/>
      <c r="E1418"/>
      <c r="F1418"/>
      <c r="G1418"/>
      <c r="H1418"/>
      <c r="I1418"/>
      <c r="J1418"/>
      <c r="K1418"/>
    </row>
    <row r="1419" spans="1:11" ht="12.75" x14ac:dyDescent="0.35">
      <c r="A1419"/>
      <c r="B1419"/>
      <c r="C1419"/>
      <c r="D1419"/>
      <c r="E1419"/>
      <c r="F1419"/>
      <c r="G1419"/>
      <c r="H1419"/>
      <c r="I1419"/>
      <c r="J1419"/>
      <c r="K1419"/>
    </row>
    <row r="1420" spans="1:11" ht="12.75" x14ac:dyDescent="0.35">
      <c r="A1420"/>
      <c r="B1420"/>
      <c r="C1420"/>
      <c r="D1420"/>
      <c r="E1420"/>
      <c r="F1420"/>
      <c r="G1420"/>
      <c r="H1420"/>
      <c r="I1420"/>
      <c r="J1420"/>
      <c r="K1420"/>
    </row>
    <row r="1421" spans="1:11" ht="12.75" x14ac:dyDescent="0.35">
      <c r="A1421"/>
      <c r="B1421"/>
      <c r="C1421"/>
      <c r="D1421"/>
      <c r="E1421"/>
      <c r="F1421"/>
      <c r="G1421"/>
      <c r="H1421"/>
      <c r="I1421"/>
      <c r="J1421"/>
      <c r="K1421"/>
    </row>
    <row r="1422" spans="1:11" ht="12.75" x14ac:dyDescent="0.35">
      <c r="A1422"/>
      <c r="B1422"/>
      <c r="C1422"/>
      <c r="D1422"/>
      <c r="E1422"/>
      <c r="F1422"/>
      <c r="G1422"/>
      <c r="H1422"/>
      <c r="I1422"/>
      <c r="J1422"/>
      <c r="K1422"/>
    </row>
    <row r="1423" spans="1:11" ht="12.75" x14ac:dyDescent="0.35">
      <c r="A1423"/>
      <c r="B1423"/>
      <c r="C1423"/>
      <c r="D1423"/>
      <c r="E1423"/>
      <c r="F1423"/>
      <c r="G1423"/>
      <c r="H1423"/>
      <c r="I1423"/>
      <c r="J1423"/>
      <c r="K1423"/>
    </row>
    <row r="1424" spans="1:11" ht="12.75" x14ac:dyDescent="0.35">
      <c r="A1424"/>
      <c r="B1424"/>
      <c r="C1424"/>
      <c r="D1424"/>
      <c r="E1424"/>
      <c r="F1424"/>
      <c r="G1424"/>
      <c r="H1424"/>
      <c r="I1424"/>
      <c r="J1424"/>
      <c r="K1424"/>
    </row>
    <row r="1425" spans="1:11" ht="12.75" x14ac:dyDescent="0.35">
      <c r="A1425"/>
      <c r="B1425"/>
      <c r="C1425"/>
      <c r="D1425"/>
      <c r="E1425"/>
      <c r="F1425"/>
      <c r="G1425"/>
      <c r="H1425"/>
      <c r="I1425"/>
      <c r="J1425"/>
      <c r="K1425"/>
    </row>
    <row r="1426" spans="1:11" ht="12.75" x14ac:dyDescent="0.35">
      <c r="A1426"/>
      <c r="B1426"/>
      <c r="C1426"/>
      <c r="D1426"/>
      <c r="E1426"/>
      <c r="F1426"/>
      <c r="G1426"/>
      <c r="H1426"/>
      <c r="I1426"/>
      <c r="J1426"/>
      <c r="K1426"/>
    </row>
    <row r="1427" spans="1:11" ht="12.75" x14ac:dyDescent="0.35">
      <c r="A1427"/>
      <c r="B1427"/>
      <c r="C1427"/>
      <c r="D1427"/>
      <c r="E1427"/>
      <c r="F1427"/>
      <c r="G1427"/>
      <c r="H1427"/>
      <c r="I1427"/>
      <c r="J1427"/>
      <c r="K1427"/>
    </row>
    <row r="1428" spans="1:11" ht="12.75" x14ac:dyDescent="0.35">
      <c r="A1428"/>
      <c r="B1428"/>
      <c r="C1428"/>
      <c r="D1428"/>
      <c r="E1428"/>
      <c r="F1428"/>
      <c r="G1428"/>
      <c r="H1428"/>
      <c r="I1428"/>
      <c r="J1428"/>
      <c r="K1428"/>
    </row>
    <row r="1429" spans="1:11" ht="12.75" x14ac:dyDescent="0.35">
      <c r="A1429"/>
      <c r="B1429"/>
      <c r="C1429"/>
      <c r="D1429"/>
      <c r="E1429"/>
      <c r="F1429"/>
      <c r="G1429"/>
      <c r="H1429"/>
      <c r="I1429"/>
      <c r="J1429"/>
      <c r="K1429"/>
    </row>
    <row r="1430" spans="1:11" ht="12.75" x14ac:dyDescent="0.35">
      <c r="A1430"/>
      <c r="B1430"/>
      <c r="C1430"/>
      <c r="D1430"/>
      <c r="E1430"/>
      <c r="F1430"/>
      <c r="G1430"/>
      <c r="H1430"/>
      <c r="I1430"/>
      <c r="J1430"/>
      <c r="K1430"/>
    </row>
    <row r="1431" spans="1:11" ht="12.75" x14ac:dyDescent="0.35">
      <c r="A1431"/>
      <c r="B1431"/>
      <c r="C1431"/>
      <c r="D1431"/>
      <c r="E1431"/>
      <c r="F1431"/>
      <c r="G1431"/>
      <c r="H1431"/>
      <c r="I1431"/>
      <c r="J1431"/>
      <c r="K1431"/>
    </row>
    <row r="1432" spans="1:11" ht="12.75" x14ac:dyDescent="0.35">
      <c r="A1432"/>
      <c r="B1432"/>
      <c r="C1432"/>
      <c r="D1432"/>
      <c r="E1432"/>
      <c r="F1432"/>
      <c r="G1432"/>
      <c r="H1432"/>
      <c r="I1432"/>
      <c r="J1432"/>
      <c r="K1432"/>
    </row>
    <row r="1433" spans="1:11" ht="12.75" x14ac:dyDescent="0.35">
      <c r="A1433"/>
      <c r="B1433"/>
      <c r="C1433"/>
      <c r="D1433"/>
      <c r="E1433"/>
      <c r="F1433"/>
      <c r="G1433"/>
      <c r="H1433"/>
      <c r="I1433"/>
      <c r="J1433"/>
      <c r="K1433"/>
    </row>
    <row r="1434" spans="1:11" ht="12.75" x14ac:dyDescent="0.35">
      <c r="A1434"/>
      <c r="B1434"/>
      <c r="C1434"/>
      <c r="D1434"/>
      <c r="E1434"/>
      <c r="F1434"/>
      <c r="G1434"/>
      <c r="H1434"/>
      <c r="I1434"/>
      <c r="J1434"/>
      <c r="K1434"/>
    </row>
    <row r="1435" spans="1:11" ht="12.75" x14ac:dyDescent="0.35">
      <c r="A1435"/>
      <c r="B1435"/>
      <c r="C1435"/>
      <c r="D1435"/>
      <c r="E1435"/>
      <c r="F1435"/>
      <c r="G1435"/>
      <c r="H1435"/>
      <c r="I1435"/>
      <c r="J1435"/>
      <c r="K1435"/>
    </row>
    <row r="1436" spans="1:11" ht="12.75" x14ac:dyDescent="0.35">
      <c r="A1436"/>
      <c r="B1436"/>
      <c r="C1436"/>
      <c r="D1436"/>
      <c r="E1436"/>
      <c r="F1436"/>
      <c r="G1436"/>
      <c r="H1436"/>
      <c r="I1436"/>
      <c r="J1436"/>
      <c r="K1436"/>
    </row>
    <row r="1437" spans="1:11" ht="12.75" x14ac:dyDescent="0.35">
      <c r="A1437"/>
      <c r="B1437"/>
      <c r="C1437"/>
      <c r="D1437"/>
      <c r="E1437"/>
      <c r="F1437"/>
      <c r="G1437"/>
      <c r="H1437"/>
      <c r="I1437"/>
      <c r="J1437"/>
      <c r="K1437"/>
    </row>
    <row r="1438" spans="1:11" ht="12.75" x14ac:dyDescent="0.35">
      <c r="A1438"/>
      <c r="B1438"/>
      <c r="C1438"/>
      <c r="D1438"/>
      <c r="E1438"/>
      <c r="F1438"/>
      <c r="G1438"/>
      <c r="H1438"/>
      <c r="I1438"/>
      <c r="J1438"/>
      <c r="K1438"/>
    </row>
    <row r="1439" spans="1:11" ht="12.75" x14ac:dyDescent="0.35">
      <c r="A1439"/>
      <c r="B1439"/>
      <c r="C1439"/>
      <c r="D1439"/>
      <c r="E1439"/>
      <c r="F1439"/>
      <c r="G1439"/>
      <c r="H1439"/>
      <c r="I1439"/>
      <c r="J1439"/>
      <c r="K1439"/>
    </row>
    <row r="1440" spans="1:11" ht="12.75" x14ac:dyDescent="0.35">
      <c r="A1440"/>
      <c r="B1440"/>
      <c r="C1440"/>
      <c r="D1440"/>
      <c r="E1440"/>
      <c r="F1440"/>
      <c r="G1440"/>
      <c r="H1440"/>
      <c r="I1440"/>
      <c r="J1440"/>
      <c r="K1440"/>
    </row>
    <row r="1441" spans="1:11" ht="12.75" x14ac:dyDescent="0.35">
      <c r="A1441"/>
      <c r="B1441"/>
      <c r="C1441"/>
      <c r="D1441"/>
      <c r="E1441"/>
      <c r="F1441"/>
      <c r="G1441"/>
      <c r="H1441"/>
      <c r="I1441"/>
      <c r="J1441"/>
      <c r="K1441"/>
    </row>
    <row r="1442" spans="1:11" ht="12.75" x14ac:dyDescent="0.35">
      <c r="A1442"/>
      <c r="B1442"/>
      <c r="C1442"/>
      <c r="D1442"/>
      <c r="E1442"/>
      <c r="F1442"/>
      <c r="G1442"/>
      <c r="H1442"/>
      <c r="I1442"/>
      <c r="J1442"/>
      <c r="K1442"/>
    </row>
    <row r="1443" spans="1:11" ht="12.75" x14ac:dyDescent="0.35">
      <c r="A1443"/>
      <c r="B1443"/>
      <c r="C1443"/>
      <c r="D1443"/>
      <c r="E1443"/>
      <c r="F1443"/>
      <c r="G1443"/>
      <c r="H1443"/>
      <c r="I1443"/>
      <c r="J1443"/>
      <c r="K1443"/>
    </row>
    <row r="1444" spans="1:11" ht="12.75" x14ac:dyDescent="0.35">
      <c r="A1444"/>
      <c r="B1444"/>
      <c r="C1444"/>
      <c r="D1444"/>
      <c r="E1444"/>
      <c r="F1444"/>
      <c r="G1444"/>
      <c r="H1444"/>
      <c r="I1444"/>
      <c r="J1444"/>
      <c r="K1444"/>
    </row>
    <row r="1445" spans="1:11" ht="12.75" x14ac:dyDescent="0.35">
      <c r="A1445"/>
      <c r="B1445"/>
      <c r="C1445"/>
      <c r="D1445"/>
      <c r="E1445"/>
      <c r="F1445"/>
      <c r="G1445"/>
      <c r="H1445"/>
      <c r="I1445"/>
      <c r="J1445"/>
      <c r="K1445"/>
    </row>
    <row r="1446" spans="1:11" ht="12.75" x14ac:dyDescent="0.35">
      <c r="A1446"/>
      <c r="B1446"/>
      <c r="C1446"/>
      <c r="D1446"/>
      <c r="E1446"/>
      <c r="F1446"/>
      <c r="G1446"/>
      <c r="H1446"/>
      <c r="I1446"/>
      <c r="J1446"/>
      <c r="K1446"/>
    </row>
    <row r="1447" spans="1:11" ht="12.75" x14ac:dyDescent="0.35">
      <c r="A1447"/>
      <c r="B1447"/>
      <c r="C1447"/>
      <c r="D1447"/>
      <c r="E1447"/>
      <c r="F1447"/>
      <c r="G1447"/>
      <c r="H1447"/>
      <c r="I1447"/>
      <c r="J1447"/>
      <c r="K1447"/>
    </row>
    <row r="1448" spans="1:11" ht="12.75" x14ac:dyDescent="0.35">
      <c r="A1448"/>
      <c r="B1448"/>
      <c r="C1448"/>
      <c r="D1448"/>
      <c r="E1448"/>
      <c r="F1448"/>
      <c r="G1448"/>
      <c r="H1448"/>
      <c r="I1448"/>
      <c r="J1448"/>
      <c r="K1448"/>
    </row>
    <row r="1449" spans="1:11" ht="12.75" x14ac:dyDescent="0.35">
      <c r="A1449"/>
      <c r="B1449"/>
      <c r="C1449"/>
      <c r="D1449"/>
      <c r="E1449"/>
      <c r="F1449"/>
      <c r="G1449"/>
      <c r="H1449"/>
      <c r="I1449"/>
      <c r="J1449"/>
      <c r="K1449"/>
    </row>
    <row r="1450" spans="1:11" ht="12.75" x14ac:dyDescent="0.35">
      <c r="A1450"/>
      <c r="B1450"/>
      <c r="C1450"/>
      <c r="D1450"/>
      <c r="E1450"/>
      <c r="F1450"/>
      <c r="G1450"/>
      <c r="H1450"/>
      <c r="I1450"/>
      <c r="J1450"/>
      <c r="K1450"/>
    </row>
    <row r="1451" spans="1:11" ht="12.75" x14ac:dyDescent="0.35">
      <c r="A1451"/>
      <c r="B1451"/>
      <c r="C1451"/>
      <c r="D1451"/>
      <c r="E1451"/>
      <c r="F1451"/>
      <c r="G1451"/>
      <c r="H1451"/>
      <c r="I1451"/>
      <c r="J1451"/>
      <c r="K1451"/>
    </row>
    <row r="1452" spans="1:11" ht="12.75" x14ac:dyDescent="0.35">
      <c r="A1452"/>
      <c r="B1452"/>
      <c r="C1452"/>
      <c r="D1452"/>
      <c r="E1452"/>
      <c r="F1452"/>
      <c r="G1452"/>
      <c r="H1452"/>
      <c r="I1452"/>
      <c r="J1452"/>
      <c r="K1452"/>
    </row>
    <row r="1453" spans="1:11" ht="12.75" x14ac:dyDescent="0.35">
      <c r="A1453"/>
      <c r="B1453"/>
      <c r="C1453"/>
      <c r="D1453"/>
      <c r="E1453"/>
      <c r="F1453"/>
      <c r="G1453"/>
      <c r="H1453"/>
      <c r="I1453"/>
      <c r="J1453"/>
      <c r="K1453"/>
    </row>
    <row r="1454" spans="1:11" ht="12.75" x14ac:dyDescent="0.35">
      <c r="A1454"/>
      <c r="B1454"/>
      <c r="C1454"/>
      <c r="D1454"/>
      <c r="E1454"/>
      <c r="F1454"/>
      <c r="G1454"/>
      <c r="H1454"/>
      <c r="I1454"/>
      <c r="J1454"/>
      <c r="K1454"/>
    </row>
    <row r="1455" spans="1:11" ht="12.75" x14ac:dyDescent="0.35">
      <c r="A1455"/>
      <c r="B1455"/>
      <c r="C1455"/>
      <c r="D1455"/>
      <c r="E1455"/>
      <c r="F1455"/>
      <c r="G1455"/>
      <c r="H1455"/>
      <c r="I1455"/>
      <c r="J1455"/>
      <c r="K1455"/>
    </row>
    <row r="1456" spans="1:11" ht="12.75" x14ac:dyDescent="0.35">
      <c r="A1456"/>
      <c r="B1456"/>
      <c r="C1456"/>
      <c r="D1456"/>
      <c r="E1456"/>
      <c r="F1456"/>
      <c r="G1456"/>
      <c r="H1456"/>
      <c r="I1456"/>
      <c r="J1456"/>
      <c r="K1456"/>
    </row>
    <row r="1457" spans="1:11" ht="12.75" x14ac:dyDescent="0.35">
      <c r="A1457"/>
      <c r="B1457"/>
      <c r="C1457"/>
      <c r="D1457"/>
      <c r="E1457"/>
      <c r="F1457"/>
      <c r="G1457"/>
      <c r="H1457"/>
      <c r="I1457"/>
      <c r="J1457"/>
      <c r="K1457"/>
    </row>
    <row r="1458" spans="1:11" ht="12.75" x14ac:dyDescent="0.35">
      <c r="A1458"/>
      <c r="B1458"/>
      <c r="C1458"/>
      <c r="D1458"/>
      <c r="E1458"/>
      <c r="F1458"/>
      <c r="G1458"/>
      <c r="H1458"/>
      <c r="I1458"/>
      <c r="J1458"/>
      <c r="K1458"/>
    </row>
    <row r="1459" spans="1:11" ht="12.75" x14ac:dyDescent="0.35">
      <c r="A1459"/>
      <c r="B1459"/>
      <c r="C1459"/>
      <c r="D1459"/>
      <c r="E1459"/>
      <c r="F1459"/>
      <c r="G1459"/>
      <c r="H1459"/>
      <c r="I1459"/>
      <c r="J1459"/>
      <c r="K1459"/>
    </row>
    <row r="1460" spans="1:11" ht="12.75" x14ac:dyDescent="0.35">
      <c r="A1460"/>
      <c r="B1460"/>
      <c r="C1460"/>
      <c r="D1460"/>
      <c r="E1460"/>
      <c r="F1460"/>
      <c r="G1460"/>
      <c r="H1460"/>
      <c r="I1460"/>
      <c r="J1460"/>
      <c r="K1460"/>
    </row>
    <row r="1461" spans="1:11" ht="12.75" x14ac:dyDescent="0.35">
      <c r="A1461"/>
      <c r="B1461"/>
      <c r="C1461"/>
      <c r="D1461"/>
      <c r="E1461"/>
      <c r="F1461"/>
      <c r="G1461"/>
      <c r="H1461"/>
      <c r="I1461"/>
      <c r="J1461"/>
      <c r="K1461"/>
    </row>
    <row r="1462" spans="1:11" ht="12.75" x14ac:dyDescent="0.35">
      <c r="A1462"/>
      <c r="B1462"/>
      <c r="C1462"/>
      <c r="D1462"/>
      <c r="E1462"/>
      <c r="F1462"/>
      <c r="G1462"/>
      <c r="H1462"/>
      <c r="I1462"/>
      <c r="J1462"/>
      <c r="K1462"/>
    </row>
    <row r="1463" spans="1:11" ht="12.75" x14ac:dyDescent="0.35">
      <c r="A1463"/>
      <c r="B1463"/>
      <c r="C1463"/>
      <c r="D1463"/>
      <c r="E1463"/>
      <c r="F1463"/>
      <c r="G1463"/>
      <c r="H1463"/>
      <c r="I1463"/>
      <c r="J1463"/>
      <c r="K1463"/>
    </row>
    <row r="1464" spans="1:11" ht="12.75" x14ac:dyDescent="0.35">
      <c r="A1464"/>
      <c r="B1464"/>
      <c r="C1464"/>
      <c r="D1464"/>
      <c r="E1464"/>
      <c r="F1464"/>
      <c r="G1464"/>
      <c r="H1464"/>
      <c r="I1464"/>
      <c r="J1464"/>
      <c r="K1464"/>
    </row>
    <row r="1465" spans="1:11" ht="12.75" x14ac:dyDescent="0.35">
      <c r="A1465"/>
      <c r="B1465"/>
      <c r="C1465"/>
      <c r="D1465"/>
      <c r="E1465"/>
      <c r="F1465"/>
      <c r="G1465"/>
      <c r="H1465"/>
      <c r="I1465"/>
      <c r="J1465"/>
      <c r="K1465"/>
    </row>
    <row r="1466" spans="1:11" ht="12.75" x14ac:dyDescent="0.35">
      <c r="A1466"/>
      <c r="B1466"/>
      <c r="C1466"/>
      <c r="D1466"/>
      <c r="E1466"/>
      <c r="F1466"/>
      <c r="G1466"/>
      <c r="H1466"/>
      <c r="I1466"/>
      <c r="J1466"/>
      <c r="K1466"/>
    </row>
    <row r="1467" spans="1:11" ht="12.75" x14ac:dyDescent="0.35">
      <c r="A1467"/>
      <c r="B1467"/>
      <c r="C1467"/>
      <c r="D1467"/>
      <c r="E1467"/>
      <c r="F1467"/>
      <c r="G1467"/>
      <c r="H1467"/>
      <c r="I1467"/>
      <c r="J1467"/>
      <c r="K1467"/>
    </row>
    <row r="1468" spans="1:11" ht="12.75" x14ac:dyDescent="0.35">
      <c r="A1468"/>
      <c r="B1468"/>
      <c r="C1468"/>
      <c r="D1468"/>
      <c r="E1468"/>
      <c r="F1468"/>
      <c r="G1468"/>
      <c r="H1468"/>
      <c r="I1468"/>
      <c r="J1468"/>
      <c r="K1468"/>
    </row>
    <row r="1469" spans="1:11" ht="12.75" x14ac:dyDescent="0.35">
      <c r="A1469"/>
      <c r="B1469"/>
      <c r="C1469"/>
      <c r="D1469"/>
      <c r="E1469"/>
      <c r="F1469"/>
      <c r="G1469"/>
      <c r="H1469"/>
      <c r="I1469"/>
      <c r="J1469"/>
      <c r="K1469"/>
    </row>
    <row r="1470" spans="1:11" ht="12.75" x14ac:dyDescent="0.35">
      <c r="A1470"/>
      <c r="B1470"/>
      <c r="C1470"/>
      <c r="D1470"/>
      <c r="E1470"/>
      <c r="F1470"/>
      <c r="G1470"/>
      <c r="H1470"/>
      <c r="I1470"/>
      <c r="J1470"/>
      <c r="K1470"/>
    </row>
    <row r="1471" spans="1:11" ht="12.75" x14ac:dyDescent="0.35">
      <c r="A1471"/>
      <c r="B1471"/>
      <c r="C1471"/>
      <c r="D1471"/>
      <c r="E1471"/>
      <c r="F1471"/>
      <c r="G1471"/>
      <c r="H1471"/>
      <c r="I1471"/>
      <c r="J1471"/>
      <c r="K1471"/>
    </row>
    <row r="1472" spans="1:11" ht="12.75" x14ac:dyDescent="0.35">
      <c r="A1472"/>
      <c r="B1472"/>
      <c r="C1472"/>
      <c r="D1472"/>
      <c r="E1472"/>
      <c r="F1472"/>
      <c r="G1472"/>
      <c r="H1472"/>
      <c r="I1472"/>
      <c r="J1472"/>
      <c r="K1472"/>
    </row>
    <row r="1473" spans="1:11" ht="12.75" x14ac:dyDescent="0.35">
      <c r="A1473"/>
      <c r="B1473"/>
      <c r="C1473"/>
      <c r="D1473"/>
      <c r="E1473"/>
      <c r="F1473"/>
      <c r="G1473"/>
      <c r="H1473"/>
      <c r="I1473"/>
      <c r="J1473"/>
      <c r="K1473"/>
    </row>
    <row r="1474" spans="1:11" ht="12.75" x14ac:dyDescent="0.35">
      <c r="A1474"/>
      <c r="B1474"/>
      <c r="C1474"/>
      <c r="D1474"/>
      <c r="E1474"/>
      <c r="F1474"/>
      <c r="G1474"/>
      <c r="H1474"/>
      <c r="I1474"/>
      <c r="J1474"/>
      <c r="K1474"/>
    </row>
    <row r="1475" spans="1:11" ht="12.75" x14ac:dyDescent="0.35">
      <c r="A1475"/>
      <c r="B1475"/>
      <c r="C1475"/>
      <c r="D1475"/>
      <c r="E1475"/>
      <c r="F1475"/>
      <c r="G1475"/>
      <c r="H1475"/>
      <c r="I1475"/>
      <c r="J1475"/>
      <c r="K1475"/>
    </row>
    <row r="1476" spans="1:11" ht="12.75" x14ac:dyDescent="0.35">
      <c r="A1476"/>
      <c r="B1476"/>
      <c r="C1476"/>
      <c r="D1476"/>
      <c r="E1476"/>
      <c r="F1476"/>
      <c r="G1476"/>
      <c r="H1476"/>
      <c r="I1476"/>
      <c r="J1476"/>
      <c r="K1476"/>
    </row>
    <row r="1477" spans="1:11" ht="12.75" x14ac:dyDescent="0.35">
      <c r="A1477"/>
      <c r="B1477"/>
      <c r="C1477"/>
      <c r="D1477"/>
      <c r="E1477"/>
      <c r="F1477"/>
      <c r="G1477"/>
      <c r="H1477"/>
      <c r="I1477"/>
      <c r="J1477"/>
      <c r="K1477"/>
    </row>
    <row r="1478" spans="1:11" ht="12.75" x14ac:dyDescent="0.35">
      <c r="A1478"/>
      <c r="B1478"/>
      <c r="C1478"/>
      <c r="D1478"/>
      <c r="E1478"/>
      <c r="F1478"/>
      <c r="G1478"/>
      <c r="H1478"/>
      <c r="I1478"/>
      <c r="J1478"/>
      <c r="K1478"/>
    </row>
    <row r="1479" spans="1:11" ht="12.75" x14ac:dyDescent="0.35">
      <c r="A1479"/>
      <c r="B1479"/>
      <c r="C1479"/>
      <c r="D1479"/>
      <c r="E1479"/>
      <c r="F1479"/>
      <c r="G1479"/>
      <c r="H1479"/>
      <c r="I1479"/>
      <c r="J1479"/>
      <c r="K1479"/>
    </row>
    <row r="1480" spans="1:11" ht="12.75" x14ac:dyDescent="0.35">
      <c r="A1480"/>
      <c r="B1480"/>
      <c r="C1480"/>
      <c r="D1480"/>
      <c r="E1480"/>
      <c r="F1480"/>
      <c r="G1480"/>
      <c r="H1480"/>
      <c r="I1480"/>
      <c r="J1480"/>
      <c r="K1480"/>
    </row>
    <row r="1481" spans="1:11" ht="12.75" x14ac:dyDescent="0.35">
      <c r="A1481"/>
      <c r="B1481"/>
      <c r="C1481"/>
      <c r="D1481"/>
      <c r="E1481"/>
      <c r="F1481"/>
      <c r="G1481"/>
      <c r="H1481"/>
      <c r="I1481"/>
      <c r="J1481"/>
      <c r="K1481"/>
    </row>
    <row r="1482" spans="1:11" ht="12.75" x14ac:dyDescent="0.35">
      <c r="A1482"/>
      <c r="B1482"/>
      <c r="C1482"/>
      <c r="D1482"/>
      <c r="E1482"/>
      <c r="F1482"/>
      <c r="G1482"/>
      <c r="H1482"/>
      <c r="I1482"/>
      <c r="J1482"/>
      <c r="K1482"/>
    </row>
    <row r="1483" spans="1:11" ht="12.75" x14ac:dyDescent="0.35">
      <c r="A1483"/>
      <c r="B1483"/>
      <c r="C1483"/>
      <c r="D1483"/>
      <c r="E1483"/>
      <c r="F1483"/>
      <c r="G1483"/>
      <c r="H1483"/>
      <c r="I1483"/>
      <c r="J1483"/>
      <c r="K1483"/>
    </row>
    <row r="1484" spans="1:11" ht="12.75" x14ac:dyDescent="0.35">
      <c r="A1484"/>
      <c r="B1484"/>
      <c r="C1484"/>
      <c r="D1484"/>
      <c r="E1484"/>
      <c r="F1484"/>
      <c r="G1484"/>
      <c r="H1484"/>
      <c r="I1484"/>
      <c r="J1484"/>
      <c r="K1484"/>
    </row>
    <row r="1485" spans="1:11" ht="12.75" x14ac:dyDescent="0.35">
      <c r="A1485"/>
      <c r="B1485"/>
      <c r="C1485"/>
      <c r="D1485"/>
      <c r="E1485"/>
      <c r="F1485"/>
      <c r="G1485"/>
      <c r="H1485"/>
      <c r="I1485"/>
      <c r="J1485"/>
      <c r="K1485"/>
    </row>
    <row r="1486" spans="1:11" ht="12.75" x14ac:dyDescent="0.35">
      <c r="A1486"/>
      <c r="B1486"/>
      <c r="C1486"/>
      <c r="D1486"/>
      <c r="E1486"/>
      <c r="F1486"/>
      <c r="G1486"/>
      <c r="H1486"/>
      <c r="I1486"/>
      <c r="J1486"/>
      <c r="K1486"/>
    </row>
    <row r="1487" spans="1:11" ht="12.75" x14ac:dyDescent="0.35">
      <c r="A1487"/>
      <c r="B1487"/>
      <c r="C1487"/>
      <c r="D1487"/>
      <c r="E1487"/>
      <c r="F1487"/>
      <c r="G1487"/>
      <c r="H1487"/>
      <c r="I1487"/>
      <c r="J1487"/>
      <c r="K1487"/>
    </row>
    <row r="1488" spans="1:11" ht="12.75" x14ac:dyDescent="0.35">
      <c r="A1488"/>
      <c r="B1488"/>
      <c r="C1488"/>
      <c r="D1488"/>
      <c r="E1488"/>
      <c r="F1488"/>
      <c r="G1488"/>
      <c r="H1488"/>
      <c r="I1488"/>
      <c r="J1488"/>
      <c r="K1488"/>
    </row>
    <row r="1489" spans="1:11" ht="12.75" x14ac:dyDescent="0.35">
      <c r="A1489"/>
      <c r="B1489"/>
      <c r="C1489"/>
      <c r="D1489"/>
      <c r="E1489"/>
      <c r="F1489"/>
      <c r="G1489"/>
      <c r="H1489"/>
      <c r="I1489"/>
      <c r="J1489"/>
      <c r="K1489"/>
    </row>
    <row r="1490" spans="1:11" ht="12.75" x14ac:dyDescent="0.35">
      <c r="A1490"/>
      <c r="B1490"/>
      <c r="C1490"/>
      <c r="D1490"/>
      <c r="E1490"/>
      <c r="F1490"/>
      <c r="G1490"/>
      <c r="H1490"/>
      <c r="I1490"/>
      <c r="J1490"/>
      <c r="K1490"/>
    </row>
    <row r="1491" spans="1:11" ht="12.75" x14ac:dyDescent="0.35">
      <c r="A1491"/>
      <c r="B1491"/>
      <c r="C1491"/>
      <c r="D1491"/>
      <c r="E1491"/>
      <c r="F1491"/>
      <c r="G1491"/>
      <c r="H1491"/>
      <c r="I1491"/>
      <c r="J1491"/>
      <c r="K1491"/>
    </row>
    <row r="1492" spans="1:11" ht="12.75" x14ac:dyDescent="0.35">
      <c r="A1492"/>
      <c r="B1492"/>
      <c r="C1492"/>
      <c r="D1492"/>
      <c r="E1492"/>
      <c r="F1492"/>
      <c r="G1492"/>
      <c r="H1492"/>
      <c r="I1492"/>
      <c r="J1492"/>
      <c r="K1492"/>
    </row>
    <row r="1493" spans="1:11" ht="12.75" x14ac:dyDescent="0.35">
      <c r="A1493"/>
      <c r="B1493"/>
      <c r="C1493"/>
      <c r="D1493"/>
      <c r="E1493"/>
      <c r="F1493"/>
      <c r="G1493"/>
      <c r="H1493"/>
      <c r="I1493"/>
      <c r="J1493"/>
      <c r="K1493"/>
    </row>
    <row r="1494" spans="1:11" ht="12.75" x14ac:dyDescent="0.35">
      <c r="A1494"/>
      <c r="B1494"/>
      <c r="C1494"/>
      <c r="D1494"/>
      <c r="E1494"/>
      <c r="F1494"/>
      <c r="G1494"/>
      <c r="H1494"/>
      <c r="I1494"/>
      <c r="J1494"/>
      <c r="K1494"/>
    </row>
    <row r="1495" spans="1:11" ht="12.75" x14ac:dyDescent="0.35">
      <c r="A1495"/>
      <c r="B1495"/>
      <c r="C1495"/>
      <c r="D1495"/>
      <c r="E1495"/>
      <c r="F1495"/>
      <c r="G1495"/>
      <c r="H1495"/>
      <c r="I1495"/>
      <c r="J1495"/>
      <c r="K1495"/>
    </row>
    <row r="1496" spans="1:11" ht="12.75" x14ac:dyDescent="0.35">
      <c r="A1496"/>
      <c r="B1496"/>
      <c r="C1496"/>
      <c r="D1496"/>
      <c r="E1496"/>
      <c r="F1496"/>
      <c r="G1496"/>
      <c r="H1496"/>
      <c r="I1496"/>
      <c r="J1496"/>
      <c r="K1496"/>
    </row>
    <row r="1497" spans="1:11" ht="12.75" x14ac:dyDescent="0.35">
      <c r="A1497"/>
      <c r="B1497"/>
      <c r="C1497"/>
      <c r="D1497"/>
      <c r="E1497"/>
      <c r="F1497"/>
      <c r="G1497"/>
      <c r="H1497"/>
      <c r="I1497"/>
      <c r="J1497"/>
      <c r="K1497"/>
    </row>
    <row r="1498" spans="1:11" ht="12.75" x14ac:dyDescent="0.35">
      <c r="A1498"/>
      <c r="B1498"/>
      <c r="C1498"/>
      <c r="D1498"/>
      <c r="E1498"/>
      <c r="F1498"/>
      <c r="G1498"/>
      <c r="H1498"/>
      <c r="I1498"/>
      <c r="J1498"/>
      <c r="K1498"/>
    </row>
    <row r="1499" spans="1:11" ht="12.75" x14ac:dyDescent="0.35">
      <c r="A1499"/>
      <c r="B1499"/>
      <c r="C1499"/>
      <c r="D1499"/>
      <c r="E1499"/>
      <c r="F1499"/>
      <c r="G1499"/>
      <c r="H1499"/>
      <c r="I1499"/>
      <c r="J1499"/>
      <c r="K1499"/>
    </row>
    <row r="1500" spans="1:11" ht="12.75" x14ac:dyDescent="0.35">
      <c r="A1500"/>
      <c r="B1500"/>
      <c r="C1500"/>
      <c r="D1500"/>
      <c r="E1500"/>
      <c r="F1500"/>
      <c r="G1500"/>
      <c r="H1500"/>
      <c r="I1500"/>
      <c r="J1500"/>
      <c r="K1500"/>
    </row>
    <row r="1501" spans="1:11" ht="12.75" x14ac:dyDescent="0.35">
      <c r="A1501"/>
      <c r="B1501"/>
      <c r="C1501"/>
      <c r="D1501"/>
      <c r="E1501"/>
      <c r="F1501"/>
      <c r="G1501"/>
      <c r="H1501"/>
      <c r="I1501"/>
      <c r="J1501"/>
      <c r="K1501"/>
    </row>
    <row r="1502" spans="1:11" ht="12.75" x14ac:dyDescent="0.35">
      <c r="A1502"/>
      <c r="B1502"/>
      <c r="C1502"/>
      <c r="D1502"/>
      <c r="E1502"/>
      <c r="F1502"/>
      <c r="G1502"/>
      <c r="H1502"/>
      <c r="I1502"/>
      <c r="J1502"/>
      <c r="K1502"/>
    </row>
    <row r="1503" spans="1:11" ht="12.75" x14ac:dyDescent="0.35">
      <c r="A1503"/>
      <c r="B1503"/>
      <c r="C1503"/>
      <c r="D1503"/>
      <c r="E1503"/>
      <c r="F1503"/>
      <c r="G1503"/>
      <c r="H1503"/>
      <c r="I1503"/>
      <c r="J1503"/>
      <c r="K1503"/>
    </row>
    <row r="1504" spans="1:11" ht="12.75" x14ac:dyDescent="0.35">
      <c r="A1504"/>
      <c r="B1504"/>
      <c r="C1504"/>
      <c r="D1504"/>
      <c r="E1504"/>
      <c r="F1504"/>
      <c r="G1504"/>
      <c r="H1504"/>
      <c r="I1504"/>
      <c r="J1504"/>
      <c r="K1504"/>
    </row>
    <row r="1505" spans="1:11" ht="12.75" x14ac:dyDescent="0.35">
      <c r="A1505"/>
      <c r="B1505"/>
      <c r="C1505"/>
      <c r="D1505"/>
      <c r="E1505"/>
      <c r="F1505"/>
      <c r="G1505"/>
      <c r="H1505"/>
      <c r="I1505"/>
      <c r="J1505"/>
      <c r="K1505"/>
    </row>
    <row r="1506" spans="1:11" ht="12.75" x14ac:dyDescent="0.35">
      <c r="A1506"/>
      <c r="B1506"/>
      <c r="C1506"/>
      <c r="D1506"/>
      <c r="E1506"/>
      <c r="F1506"/>
      <c r="G1506"/>
      <c r="H1506"/>
      <c r="I1506"/>
      <c r="J1506"/>
      <c r="K1506"/>
    </row>
    <row r="1507" spans="1:11" ht="12.75" x14ac:dyDescent="0.35">
      <c r="A1507"/>
      <c r="B1507"/>
      <c r="C1507"/>
      <c r="D1507"/>
      <c r="E1507"/>
      <c r="F1507"/>
      <c r="G1507"/>
      <c r="H1507"/>
      <c r="I1507"/>
      <c r="J1507"/>
      <c r="K1507"/>
    </row>
    <row r="1508" spans="1:11" ht="12.75" x14ac:dyDescent="0.35">
      <c r="A1508"/>
      <c r="B1508"/>
      <c r="C1508"/>
      <c r="D1508"/>
      <c r="E1508"/>
      <c r="F1508"/>
      <c r="G1508"/>
      <c r="H1508"/>
      <c r="I1508"/>
      <c r="J1508"/>
      <c r="K1508"/>
    </row>
    <row r="1509" spans="1:11" ht="12.75" x14ac:dyDescent="0.35">
      <c r="A1509"/>
      <c r="B1509"/>
      <c r="C1509"/>
      <c r="D1509"/>
      <c r="E1509"/>
      <c r="F1509"/>
      <c r="G1509"/>
      <c r="H1509"/>
      <c r="I1509"/>
      <c r="J1509"/>
      <c r="K1509"/>
    </row>
    <row r="1510" spans="1:11" ht="12.75" x14ac:dyDescent="0.35">
      <c r="A1510"/>
      <c r="B1510"/>
      <c r="C1510"/>
      <c r="D1510"/>
      <c r="E1510"/>
      <c r="F1510"/>
      <c r="G1510"/>
      <c r="H1510"/>
      <c r="I1510"/>
      <c r="J1510"/>
      <c r="K1510"/>
    </row>
    <row r="1511" spans="1:11" ht="12.75" x14ac:dyDescent="0.35">
      <c r="A1511"/>
      <c r="B1511"/>
      <c r="C1511"/>
      <c r="D1511"/>
      <c r="E1511"/>
      <c r="F1511"/>
      <c r="G1511"/>
      <c r="H1511"/>
      <c r="I1511"/>
      <c r="J1511"/>
      <c r="K1511"/>
    </row>
    <row r="1512" spans="1:11" ht="12.75" x14ac:dyDescent="0.35">
      <c r="A1512"/>
      <c r="B1512"/>
      <c r="C1512"/>
      <c r="D1512"/>
      <c r="E1512"/>
      <c r="F1512"/>
      <c r="G1512"/>
      <c r="H1512"/>
      <c r="I1512"/>
      <c r="J1512"/>
      <c r="K1512"/>
    </row>
    <row r="1513" spans="1:11" ht="12.75" x14ac:dyDescent="0.35">
      <c r="A1513"/>
      <c r="B1513"/>
      <c r="C1513"/>
      <c r="D1513"/>
      <c r="E1513"/>
      <c r="F1513"/>
      <c r="G1513"/>
      <c r="H1513"/>
      <c r="I1513"/>
      <c r="J1513"/>
      <c r="K1513"/>
    </row>
    <row r="1514" spans="1:11" ht="12.75" x14ac:dyDescent="0.35">
      <c r="A1514"/>
      <c r="B1514"/>
      <c r="C1514"/>
      <c r="D1514"/>
      <c r="E1514"/>
      <c r="F1514"/>
      <c r="G1514"/>
      <c r="H1514"/>
      <c r="I1514"/>
      <c r="J1514"/>
      <c r="K1514"/>
    </row>
    <row r="1515" spans="1:11" ht="12.75" x14ac:dyDescent="0.35">
      <c r="A1515"/>
      <c r="B1515"/>
      <c r="C1515"/>
      <c r="D1515"/>
      <c r="E1515"/>
      <c r="F1515"/>
      <c r="G1515"/>
      <c r="H1515"/>
      <c r="I1515"/>
      <c r="J1515"/>
      <c r="K1515"/>
    </row>
    <row r="1516" spans="1:11" ht="12.75" x14ac:dyDescent="0.35">
      <c r="A1516"/>
      <c r="B1516"/>
      <c r="C1516"/>
      <c r="D1516"/>
      <c r="E1516"/>
      <c r="F1516"/>
      <c r="G1516"/>
      <c r="H1516"/>
      <c r="I1516"/>
      <c r="J1516"/>
      <c r="K1516"/>
    </row>
    <row r="1517" spans="1:11" ht="12.75" x14ac:dyDescent="0.35">
      <c r="A1517"/>
      <c r="B1517"/>
      <c r="C1517"/>
      <c r="D1517"/>
      <c r="E1517"/>
      <c r="F1517"/>
      <c r="G1517"/>
      <c r="H1517"/>
      <c r="I1517"/>
      <c r="J1517"/>
      <c r="K1517"/>
    </row>
    <row r="1518" spans="1:11" ht="12.75" x14ac:dyDescent="0.35">
      <c r="A1518"/>
      <c r="B1518"/>
      <c r="C1518"/>
      <c r="D1518"/>
      <c r="E1518"/>
      <c r="F1518"/>
      <c r="G1518"/>
      <c r="H1518"/>
      <c r="I1518"/>
      <c r="J1518"/>
      <c r="K1518"/>
    </row>
    <row r="1519" spans="1:11" ht="12.75" x14ac:dyDescent="0.35">
      <c r="A1519"/>
      <c r="B1519"/>
      <c r="C1519"/>
      <c r="D1519"/>
      <c r="E1519"/>
      <c r="F1519"/>
      <c r="G1519"/>
      <c r="H1519"/>
      <c r="I1519"/>
      <c r="J1519"/>
      <c r="K1519"/>
    </row>
    <row r="1520" spans="1:11" ht="12.75" x14ac:dyDescent="0.35">
      <c r="A1520"/>
      <c r="B1520"/>
      <c r="C1520"/>
      <c r="D1520"/>
      <c r="E1520"/>
      <c r="F1520"/>
      <c r="G1520"/>
      <c r="H1520"/>
      <c r="I1520"/>
      <c r="J1520"/>
      <c r="K1520"/>
    </row>
    <row r="1521" spans="1:11" ht="12.75" x14ac:dyDescent="0.35">
      <c r="A1521"/>
      <c r="B1521"/>
      <c r="C1521"/>
      <c r="D1521"/>
      <c r="E1521"/>
      <c r="F1521"/>
      <c r="G1521"/>
      <c r="H1521"/>
      <c r="I1521"/>
      <c r="J1521"/>
      <c r="K1521"/>
    </row>
    <row r="1522" spans="1:11" ht="12.75" x14ac:dyDescent="0.35">
      <c r="A1522"/>
      <c r="B1522"/>
      <c r="C1522"/>
      <c r="D1522"/>
      <c r="E1522"/>
      <c r="F1522"/>
      <c r="G1522"/>
      <c r="H1522"/>
      <c r="I1522"/>
      <c r="J1522"/>
      <c r="K1522"/>
    </row>
    <row r="1523" spans="1:11" ht="12.75" x14ac:dyDescent="0.35">
      <c r="A1523"/>
      <c r="B1523"/>
      <c r="C1523"/>
      <c r="D1523"/>
      <c r="E1523"/>
      <c r="F1523"/>
      <c r="G1523"/>
      <c r="H1523"/>
      <c r="I1523"/>
      <c r="J1523"/>
      <c r="K1523"/>
    </row>
    <row r="1524" spans="1:11" ht="12.75" x14ac:dyDescent="0.35">
      <c r="A1524"/>
      <c r="B1524"/>
      <c r="C1524"/>
      <c r="D1524"/>
      <c r="E1524"/>
      <c r="F1524"/>
      <c r="G1524"/>
      <c r="H1524"/>
      <c r="I1524"/>
      <c r="J1524"/>
      <c r="K1524"/>
    </row>
    <row r="1525" spans="1:11" ht="12.75" x14ac:dyDescent="0.35">
      <c r="A1525"/>
      <c r="B1525"/>
      <c r="C1525"/>
      <c r="D1525"/>
      <c r="E1525"/>
      <c r="F1525"/>
      <c r="G1525"/>
      <c r="H1525"/>
      <c r="I1525"/>
      <c r="J1525"/>
      <c r="K1525"/>
    </row>
    <row r="1526" spans="1:11" ht="12.75" x14ac:dyDescent="0.35">
      <c r="A1526"/>
      <c r="B1526"/>
      <c r="C1526"/>
      <c r="D1526"/>
      <c r="E1526"/>
      <c r="F1526"/>
      <c r="G1526"/>
      <c r="H1526"/>
      <c r="I1526"/>
      <c r="J1526"/>
      <c r="K1526"/>
    </row>
    <row r="1527" spans="1:11" ht="12.75" x14ac:dyDescent="0.35">
      <c r="A1527"/>
      <c r="B1527"/>
      <c r="C1527"/>
      <c r="D1527"/>
      <c r="E1527"/>
      <c r="F1527"/>
      <c r="G1527"/>
      <c r="H1527"/>
      <c r="I1527"/>
      <c r="J1527"/>
      <c r="K1527"/>
    </row>
    <row r="1528" spans="1:11" ht="12.75" x14ac:dyDescent="0.35">
      <c r="A1528"/>
      <c r="B1528"/>
      <c r="C1528"/>
      <c r="D1528"/>
      <c r="E1528"/>
      <c r="F1528"/>
      <c r="G1528"/>
      <c r="H1528"/>
      <c r="I1528"/>
      <c r="J1528"/>
      <c r="K1528"/>
    </row>
    <row r="1529" spans="1:11" ht="12.75" x14ac:dyDescent="0.35">
      <c r="A1529"/>
      <c r="B1529"/>
      <c r="C1529"/>
      <c r="D1529"/>
      <c r="E1529"/>
      <c r="F1529"/>
      <c r="G1529"/>
      <c r="H1529"/>
      <c r="I1529"/>
      <c r="J1529"/>
      <c r="K1529"/>
    </row>
    <row r="1530" spans="1:11" ht="12.75" x14ac:dyDescent="0.35">
      <c r="A1530"/>
      <c r="B1530"/>
      <c r="C1530"/>
      <c r="D1530"/>
      <c r="E1530"/>
      <c r="F1530"/>
      <c r="G1530"/>
      <c r="H1530"/>
      <c r="I1530"/>
      <c r="J1530"/>
      <c r="K1530"/>
    </row>
    <row r="1531" spans="1:11" ht="12.75" x14ac:dyDescent="0.35">
      <c r="A1531"/>
      <c r="B1531"/>
      <c r="C1531"/>
      <c r="D1531"/>
      <c r="E1531"/>
      <c r="F1531"/>
      <c r="G1531"/>
      <c r="H1531"/>
      <c r="I1531"/>
      <c r="J1531"/>
      <c r="K1531"/>
    </row>
    <row r="1532" spans="1:11" ht="12.75" x14ac:dyDescent="0.35">
      <c r="A1532"/>
      <c r="B1532"/>
      <c r="C1532"/>
      <c r="D1532"/>
      <c r="E1532"/>
      <c r="F1532"/>
      <c r="G1532"/>
      <c r="H1532"/>
      <c r="I1532"/>
      <c r="J1532"/>
      <c r="K1532"/>
    </row>
    <row r="1533" spans="1:11" ht="12.75" x14ac:dyDescent="0.35">
      <c r="A1533"/>
      <c r="B1533"/>
      <c r="C1533"/>
      <c r="D1533"/>
      <c r="E1533"/>
      <c r="F1533"/>
      <c r="G1533"/>
      <c r="H1533"/>
      <c r="I1533"/>
      <c r="J1533"/>
      <c r="K1533"/>
    </row>
    <row r="1534" spans="1:11" ht="12.75" x14ac:dyDescent="0.35">
      <c r="A1534"/>
      <c r="B1534"/>
      <c r="C1534"/>
      <c r="D1534"/>
      <c r="E1534"/>
      <c r="F1534"/>
      <c r="G1534"/>
      <c r="H1534"/>
      <c r="I1534"/>
      <c r="J1534"/>
      <c r="K1534"/>
    </row>
    <row r="1535" spans="1:11" ht="12.75" x14ac:dyDescent="0.35">
      <c r="A1535"/>
      <c r="B1535"/>
      <c r="C1535"/>
      <c r="D1535"/>
      <c r="E1535"/>
      <c r="F1535"/>
      <c r="G1535"/>
      <c r="H1535"/>
      <c r="I1535"/>
      <c r="J1535"/>
      <c r="K1535"/>
    </row>
    <row r="1536" spans="1:11" ht="12.75" x14ac:dyDescent="0.35">
      <c r="A1536"/>
      <c r="B1536"/>
      <c r="C1536"/>
      <c r="D1536"/>
      <c r="E1536"/>
      <c r="F1536"/>
      <c r="G1536"/>
      <c r="H1536"/>
      <c r="I1536"/>
      <c r="J1536"/>
      <c r="K1536"/>
    </row>
    <row r="1537" spans="1:11" ht="12.75" x14ac:dyDescent="0.35">
      <c r="A1537"/>
      <c r="B1537"/>
      <c r="C1537"/>
      <c r="D1537"/>
      <c r="E1537"/>
      <c r="F1537"/>
      <c r="G1537"/>
      <c r="H1537"/>
      <c r="I1537"/>
      <c r="J1537"/>
      <c r="K1537"/>
    </row>
    <row r="1538" spans="1:11" ht="12.75" x14ac:dyDescent="0.35">
      <c r="A1538"/>
      <c r="B1538"/>
      <c r="C1538"/>
      <c r="D1538"/>
      <c r="E1538"/>
      <c r="F1538"/>
      <c r="G1538"/>
      <c r="H1538"/>
      <c r="I1538"/>
      <c r="J1538"/>
      <c r="K1538"/>
    </row>
    <row r="1539" spans="1:11" ht="12.75" x14ac:dyDescent="0.35">
      <c r="A1539"/>
      <c r="B1539"/>
      <c r="C1539"/>
      <c r="D1539"/>
      <c r="E1539"/>
      <c r="F1539"/>
      <c r="G1539"/>
      <c r="H1539"/>
      <c r="I1539"/>
      <c r="J1539"/>
      <c r="K1539"/>
    </row>
    <row r="1540" spans="1:11" ht="12.75" x14ac:dyDescent="0.35">
      <c r="A1540"/>
      <c r="B1540"/>
      <c r="C1540"/>
      <c r="D1540"/>
      <c r="E1540"/>
      <c r="F1540"/>
      <c r="G1540"/>
      <c r="H1540"/>
      <c r="I1540"/>
      <c r="J1540"/>
      <c r="K1540"/>
    </row>
    <row r="1541" spans="1:11" ht="12.75" x14ac:dyDescent="0.35">
      <c r="A1541"/>
      <c r="B1541"/>
      <c r="C1541"/>
      <c r="D1541"/>
      <c r="E1541"/>
      <c r="F1541"/>
      <c r="G1541"/>
      <c r="H1541"/>
      <c r="I1541"/>
      <c r="J1541"/>
      <c r="K1541"/>
    </row>
    <row r="1542" spans="1:11" ht="12.75" x14ac:dyDescent="0.35">
      <c r="A1542"/>
      <c r="B1542"/>
      <c r="C1542"/>
      <c r="D1542"/>
      <c r="E1542"/>
      <c r="F1542"/>
      <c r="G1542"/>
      <c r="H1542"/>
      <c r="I1542"/>
      <c r="J1542"/>
      <c r="K1542"/>
    </row>
    <row r="1543" spans="1:11" ht="12.75" x14ac:dyDescent="0.35">
      <c r="A1543"/>
      <c r="B1543"/>
      <c r="C1543"/>
      <c r="D1543"/>
      <c r="E1543"/>
      <c r="F1543"/>
      <c r="G1543"/>
      <c r="H1543"/>
      <c r="I1543"/>
      <c r="J1543"/>
      <c r="K1543"/>
    </row>
    <row r="1544" spans="1:11" ht="12.75" x14ac:dyDescent="0.35">
      <c r="A1544"/>
      <c r="B1544"/>
      <c r="C1544"/>
      <c r="D1544"/>
      <c r="E1544"/>
      <c r="F1544"/>
      <c r="G1544"/>
      <c r="H1544"/>
      <c r="I1544"/>
      <c r="J1544"/>
      <c r="K1544"/>
    </row>
    <row r="1545" spans="1:11" ht="12.75" x14ac:dyDescent="0.35">
      <c r="A1545"/>
      <c r="B1545"/>
      <c r="C1545"/>
      <c r="D1545"/>
      <c r="E1545"/>
      <c r="F1545"/>
      <c r="G1545"/>
      <c r="H1545"/>
      <c r="I1545"/>
      <c r="J1545"/>
      <c r="K1545"/>
    </row>
    <row r="1546" spans="1:11" ht="12.75" x14ac:dyDescent="0.35">
      <c r="A1546"/>
      <c r="B1546"/>
      <c r="C1546"/>
      <c r="D1546"/>
      <c r="E1546"/>
      <c r="F1546"/>
      <c r="G1546"/>
      <c r="H1546"/>
      <c r="I1546"/>
      <c r="J1546"/>
      <c r="K1546"/>
    </row>
    <row r="1547" spans="1:11" ht="12.75" x14ac:dyDescent="0.35">
      <c r="A1547"/>
      <c r="B1547"/>
      <c r="C1547"/>
      <c r="D1547"/>
      <c r="E1547"/>
      <c r="F1547"/>
      <c r="G1547"/>
      <c r="H1547"/>
      <c r="I1547"/>
      <c r="J1547"/>
      <c r="K1547"/>
    </row>
    <row r="1548" spans="1:11" ht="12.75" x14ac:dyDescent="0.35">
      <c r="A1548"/>
      <c r="B1548"/>
      <c r="C1548"/>
      <c r="D1548"/>
      <c r="E1548"/>
      <c r="F1548"/>
      <c r="G1548"/>
      <c r="H1548"/>
      <c r="I1548"/>
      <c r="J1548"/>
      <c r="K1548"/>
    </row>
    <row r="1549" spans="1:11" ht="12.75" x14ac:dyDescent="0.35">
      <c r="A1549"/>
      <c r="B1549"/>
      <c r="C1549"/>
      <c r="D1549"/>
      <c r="E1549"/>
      <c r="F1549"/>
      <c r="G1549"/>
      <c r="H1549"/>
      <c r="I1549"/>
      <c r="J1549"/>
      <c r="K1549"/>
    </row>
    <row r="1550" spans="1:11" ht="12.75" x14ac:dyDescent="0.35">
      <c r="A1550"/>
      <c r="B1550"/>
      <c r="C1550"/>
      <c r="D1550"/>
      <c r="E1550"/>
      <c r="F1550"/>
      <c r="G1550"/>
      <c r="H1550"/>
      <c r="I1550"/>
      <c r="J1550"/>
      <c r="K1550"/>
    </row>
    <row r="1551" spans="1:11" ht="12.75" x14ac:dyDescent="0.35">
      <c r="A1551"/>
      <c r="B1551"/>
      <c r="C1551"/>
      <c r="D1551"/>
      <c r="E1551"/>
      <c r="F1551"/>
      <c r="G1551"/>
      <c r="H1551"/>
      <c r="I1551"/>
      <c r="J1551"/>
      <c r="K1551"/>
    </row>
    <row r="1552" spans="1:11" ht="12.75" x14ac:dyDescent="0.35">
      <c r="A1552"/>
      <c r="B1552"/>
      <c r="C1552"/>
      <c r="D1552"/>
      <c r="E1552"/>
      <c r="F1552"/>
      <c r="G1552"/>
      <c r="H1552"/>
      <c r="I1552"/>
      <c r="J1552"/>
      <c r="K1552"/>
    </row>
    <row r="1553" spans="1:11" ht="12.75" x14ac:dyDescent="0.35">
      <c r="A1553"/>
      <c r="B1553"/>
      <c r="C1553"/>
      <c r="D1553"/>
      <c r="E1553"/>
      <c r="F1553"/>
      <c r="G1553"/>
      <c r="H1553"/>
      <c r="I1553"/>
      <c r="J1553"/>
      <c r="K1553"/>
    </row>
    <row r="1554" spans="1:11" ht="12.75" x14ac:dyDescent="0.35">
      <c r="A1554"/>
      <c r="B1554"/>
      <c r="C1554"/>
      <c r="D1554"/>
      <c r="E1554"/>
      <c r="F1554"/>
      <c r="G1554"/>
      <c r="H1554"/>
      <c r="I1554"/>
      <c r="J1554"/>
      <c r="K1554"/>
    </row>
    <row r="1555" spans="1:11" ht="12.75" x14ac:dyDescent="0.35">
      <c r="A1555"/>
      <c r="B1555"/>
      <c r="C1555"/>
      <c r="D1555"/>
      <c r="E1555"/>
      <c r="F1555"/>
      <c r="G1555"/>
      <c r="H1555"/>
      <c r="I1555"/>
      <c r="J1555"/>
      <c r="K1555"/>
    </row>
    <row r="1556" spans="1:11" ht="12.75" x14ac:dyDescent="0.35">
      <c r="A1556"/>
      <c r="B1556"/>
      <c r="C1556"/>
      <c r="D1556"/>
      <c r="E1556"/>
      <c r="F1556"/>
      <c r="G1556"/>
      <c r="H1556"/>
      <c r="I1556"/>
      <c r="J1556"/>
      <c r="K1556"/>
    </row>
    <row r="1557" spans="1:11" ht="12.75" x14ac:dyDescent="0.35">
      <c r="A1557"/>
      <c r="B1557"/>
      <c r="C1557"/>
      <c r="D1557"/>
      <c r="E1557"/>
      <c r="F1557"/>
      <c r="G1557"/>
      <c r="H1557"/>
      <c r="I1557"/>
      <c r="J1557"/>
      <c r="K1557"/>
    </row>
    <row r="1558" spans="1:11" ht="12.75" x14ac:dyDescent="0.35">
      <c r="A1558"/>
      <c r="B1558"/>
      <c r="C1558"/>
      <c r="D1558"/>
      <c r="E1558"/>
      <c r="F1558"/>
      <c r="G1558"/>
      <c r="H1558"/>
      <c r="I1558"/>
      <c r="J1558"/>
      <c r="K1558"/>
    </row>
    <row r="1559" spans="1:11" ht="12.75" x14ac:dyDescent="0.35">
      <c r="A1559"/>
      <c r="B1559"/>
      <c r="C1559"/>
      <c r="D1559"/>
      <c r="E1559"/>
      <c r="F1559"/>
      <c r="G1559"/>
      <c r="H1559"/>
      <c r="I1559"/>
      <c r="J1559"/>
      <c r="K1559"/>
    </row>
    <row r="1560" spans="1:11" ht="12.75" x14ac:dyDescent="0.35">
      <c r="A1560"/>
      <c r="B1560"/>
      <c r="C1560"/>
      <c r="D1560"/>
      <c r="E1560"/>
      <c r="F1560"/>
      <c r="G1560"/>
      <c r="H1560"/>
      <c r="I1560"/>
      <c r="J1560"/>
      <c r="K1560"/>
    </row>
    <row r="1561" spans="1:11" ht="12.75" x14ac:dyDescent="0.35">
      <c r="A1561"/>
      <c r="B1561"/>
      <c r="C1561"/>
      <c r="D1561"/>
      <c r="E1561"/>
      <c r="F1561"/>
      <c r="G1561"/>
      <c r="H1561"/>
      <c r="I1561"/>
      <c r="J1561"/>
      <c r="K1561"/>
    </row>
    <row r="1562" spans="1:11" ht="12.75" x14ac:dyDescent="0.35">
      <c r="A1562"/>
      <c r="B1562"/>
      <c r="C1562"/>
      <c r="D1562"/>
      <c r="E1562"/>
      <c r="F1562"/>
      <c r="G1562"/>
      <c r="H1562"/>
      <c r="I1562"/>
      <c r="J1562"/>
      <c r="K1562"/>
    </row>
    <row r="1563" spans="1:11" ht="12.75" x14ac:dyDescent="0.35">
      <c r="A1563"/>
      <c r="B1563"/>
      <c r="C1563"/>
      <c r="D1563"/>
      <c r="E1563"/>
      <c r="F1563"/>
      <c r="G1563"/>
      <c r="H1563"/>
      <c r="I1563"/>
      <c r="J1563"/>
      <c r="K1563"/>
    </row>
    <row r="1564" spans="1:11" ht="12.75" x14ac:dyDescent="0.35">
      <c r="A1564"/>
      <c r="B1564"/>
      <c r="C1564"/>
      <c r="D1564"/>
      <c r="E1564"/>
      <c r="F1564"/>
      <c r="G1564"/>
      <c r="H1564"/>
      <c r="I1564"/>
      <c r="J1564"/>
      <c r="K1564"/>
    </row>
    <row r="1565" spans="1:11" ht="12.75" x14ac:dyDescent="0.35">
      <c r="A1565"/>
      <c r="B1565"/>
      <c r="C1565"/>
      <c r="D1565"/>
      <c r="E1565"/>
      <c r="F1565"/>
      <c r="G1565"/>
      <c r="H1565"/>
      <c r="I1565"/>
      <c r="J1565"/>
      <c r="K1565"/>
    </row>
    <row r="1566" spans="1:11" ht="12.75" x14ac:dyDescent="0.35">
      <c r="A1566"/>
      <c r="B1566"/>
      <c r="C1566"/>
      <c r="D1566"/>
      <c r="E1566"/>
      <c r="F1566"/>
      <c r="G1566"/>
      <c r="H1566"/>
      <c r="I1566"/>
      <c r="J1566"/>
      <c r="K1566"/>
    </row>
    <row r="1567" spans="1:11" ht="12.75" x14ac:dyDescent="0.35">
      <c r="A1567"/>
      <c r="B1567"/>
      <c r="C1567"/>
      <c r="D1567"/>
      <c r="E1567"/>
      <c r="F1567"/>
      <c r="G1567"/>
      <c r="H1567"/>
      <c r="I1567"/>
      <c r="J1567"/>
      <c r="K1567"/>
    </row>
    <row r="1568" spans="1:11" ht="12.75" x14ac:dyDescent="0.35">
      <c r="A1568"/>
      <c r="B1568"/>
      <c r="C1568"/>
      <c r="D1568"/>
      <c r="E1568"/>
      <c r="F1568"/>
      <c r="G1568"/>
      <c r="H1568"/>
      <c r="I1568"/>
      <c r="J1568"/>
      <c r="K1568"/>
    </row>
    <row r="1569" spans="1:11" ht="12.75" x14ac:dyDescent="0.35">
      <c r="A1569"/>
      <c r="B1569"/>
      <c r="C1569"/>
      <c r="D1569"/>
      <c r="E1569"/>
      <c r="F1569"/>
      <c r="G1569"/>
      <c r="H1569"/>
      <c r="I1569"/>
      <c r="J1569"/>
      <c r="K1569"/>
    </row>
    <row r="1570" spans="1:11" ht="12.75" x14ac:dyDescent="0.35">
      <c r="A1570"/>
      <c r="B1570"/>
      <c r="C1570"/>
      <c r="D1570"/>
      <c r="E1570"/>
      <c r="F1570"/>
      <c r="G1570"/>
      <c r="H1570"/>
      <c r="I1570"/>
      <c r="J1570"/>
      <c r="K1570"/>
    </row>
    <row r="1571" spans="1:11" ht="12.75" x14ac:dyDescent="0.35">
      <c r="A1571"/>
      <c r="B1571"/>
      <c r="C1571"/>
      <c r="D1571"/>
      <c r="E1571"/>
      <c r="F1571"/>
      <c r="G1571"/>
      <c r="H1571"/>
      <c r="I1571"/>
      <c r="J1571"/>
      <c r="K1571"/>
    </row>
    <row r="1572" spans="1:11" ht="12.75" x14ac:dyDescent="0.35">
      <c r="A1572"/>
      <c r="B1572"/>
      <c r="C1572"/>
      <c r="D1572"/>
      <c r="E1572"/>
      <c r="F1572"/>
      <c r="G1572"/>
      <c r="H1572"/>
      <c r="I1572"/>
      <c r="J1572"/>
      <c r="K1572"/>
    </row>
    <row r="1573" spans="1:11" ht="12.75" x14ac:dyDescent="0.35">
      <c r="A1573"/>
      <c r="B1573"/>
      <c r="C1573"/>
      <c r="D1573"/>
      <c r="E1573"/>
      <c r="F1573"/>
      <c r="G1573"/>
      <c r="H1573"/>
      <c r="I1573"/>
      <c r="J1573"/>
      <c r="K1573"/>
    </row>
    <row r="1574" spans="1:11" ht="12.75" x14ac:dyDescent="0.35">
      <c r="A1574"/>
      <c r="B1574"/>
      <c r="C1574"/>
      <c r="D1574"/>
      <c r="E1574"/>
      <c r="F1574"/>
      <c r="G1574"/>
      <c r="H1574"/>
      <c r="I1574"/>
      <c r="J1574"/>
      <c r="K1574"/>
    </row>
    <row r="1575" spans="1:11" ht="12.75" x14ac:dyDescent="0.35">
      <c r="A1575"/>
      <c r="B1575"/>
      <c r="C1575"/>
      <c r="D1575"/>
      <c r="E1575"/>
      <c r="F1575"/>
      <c r="G1575"/>
      <c r="H1575"/>
      <c r="I1575"/>
      <c r="J1575"/>
      <c r="K1575"/>
    </row>
    <row r="1576" spans="1:11" ht="12.75" x14ac:dyDescent="0.35">
      <c r="A1576"/>
      <c r="B1576"/>
      <c r="C1576"/>
      <c r="D1576"/>
      <c r="E1576"/>
      <c r="F1576"/>
      <c r="G1576"/>
      <c r="H1576"/>
      <c r="I1576"/>
      <c r="J1576"/>
      <c r="K1576"/>
    </row>
    <row r="1577" spans="1:11" ht="12.75" x14ac:dyDescent="0.35">
      <c r="A1577"/>
      <c r="B1577"/>
      <c r="C1577"/>
      <c r="D1577"/>
      <c r="E1577"/>
      <c r="F1577"/>
      <c r="G1577"/>
      <c r="H1577"/>
      <c r="I1577"/>
      <c r="J1577"/>
      <c r="K1577"/>
    </row>
    <row r="1578" spans="1:11" ht="12.75" x14ac:dyDescent="0.35">
      <c r="A1578"/>
      <c r="B1578"/>
      <c r="C1578"/>
      <c r="D1578"/>
      <c r="E1578"/>
      <c r="F1578"/>
      <c r="G1578"/>
      <c r="H1578"/>
      <c r="I1578"/>
      <c r="J1578"/>
      <c r="K1578"/>
    </row>
    <row r="1579" spans="1:11" ht="12.75" x14ac:dyDescent="0.35">
      <c r="A1579"/>
      <c r="B1579"/>
      <c r="C1579"/>
      <c r="D1579"/>
      <c r="E1579"/>
      <c r="F1579"/>
      <c r="G1579"/>
      <c r="H1579"/>
      <c r="I1579"/>
      <c r="J1579"/>
      <c r="K1579"/>
    </row>
    <row r="1580" spans="1:11" ht="12.75" x14ac:dyDescent="0.35">
      <c r="A1580"/>
      <c r="B1580"/>
      <c r="C1580"/>
      <c r="D1580"/>
      <c r="E1580"/>
      <c r="F1580"/>
      <c r="G1580"/>
      <c r="H1580"/>
      <c r="I1580"/>
      <c r="J1580"/>
      <c r="K1580"/>
    </row>
    <row r="1581" spans="1:11" ht="12.75" x14ac:dyDescent="0.35">
      <c r="A1581"/>
      <c r="B1581"/>
      <c r="C1581"/>
      <c r="D1581"/>
      <c r="E1581"/>
      <c r="F1581"/>
      <c r="G1581"/>
      <c r="H1581"/>
      <c r="I1581"/>
      <c r="J1581"/>
      <c r="K1581"/>
    </row>
    <row r="1582" spans="1:11" ht="12.75" x14ac:dyDescent="0.35">
      <c r="A1582"/>
      <c r="B1582"/>
      <c r="C1582"/>
      <c r="D1582"/>
      <c r="E1582"/>
      <c r="F1582"/>
      <c r="G1582"/>
      <c r="H1582"/>
      <c r="I1582"/>
      <c r="J1582"/>
      <c r="K1582"/>
    </row>
    <row r="1583" spans="1:11" ht="12.75" x14ac:dyDescent="0.35">
      <c r="A1583"/>
      <c r="B1583"/>
      <c r="C1583"/>
      <c r="D1583"/>
      <c r="E1583"/>
      <c r="F1583"/>
      <c r="G1583"/>
      <c r="H1583"/>
      <c r="I1583"/>
      <c r="J1583"/>
      <c r="K1583"/>
    </row>
    <row r="1584" spans="1:11" ht="12.75" x14ac:dyDescent="0.35">
      <c r="A1584"/>
      <c r="B1584"/>
      <c r="C1584"/>
      <c r="D1584"/>
      <c r="E1584"/>
      <c r="F1584"/>
      <c r="G1584"/>
      <c r="H1584"/>
      <c r="I1584"/>
      <c r="J1584"/>
      <c r="K1584"/>
    </row>
    <row r="1585" spans="1:11" ht="12.75" x14ac:dyDescent="0.35">
      <c r="A1585"/>
      <c r="B1585"/>
      <c r="C1585"/>
      <c r="D1585"/>
      <c r="E1585"/>
      <c r="F1585"/>
      <c r="G1585"/>
      <c r="H1585"/>
      <c r="I1585"/>
      <c r="J1585"/>
      <c r="K1585"/>
    </row>
    <row r="1586" spans="1:11" ht="12.75" x14ac:dyDescent="0.35">
      <c r="A1586"/>
      <c r="B1586"/>
      <c r="C1586"/>
      <c r="D1586"/>
      <c r="E1586"/>
      <c r="F1586"/>
      <c r="G1586"/>
      <c r="H1586"/>
      <c r="I1586"/>
      <c r="J1586"/>
      <c r="K1586"/>
    </row>
    <row r="1587" spans="1:11" ht="12.75" x14ac:dyDescent="0.35">
      <c r="A1587"/>
      <c r="B1587"/>
      <c r="C1587"/>
      <c r="D1587"/>
      <c r="E1587"/>
      <c r="F1587"/>
      <c r="G1587"/>
      <c r="H1587"/>
      <c r="I1587"/>
      <c r="J1587"/>
      <c r="K1587"/>
    </row>
    <row r="1588" spans="1:11" ht="12.75" x14ac:dyDescent="0.35">
      <c r="A1588"/>
      <c r="B1588"/>
      <c r="C1588"/>
      <c r="D1588"/>
      <c r="E1588"/>
      <c r="F1588"/>
      <c r="G1588"/>
      <c r="H1588"/>
      <c r="I1588"/>
      <c r="J1588"/>
      <c r="K1588"/>
    </row>
    <row r="1589" spans="1:11" ht="12.75" x14ac:dyDescent="0.35">
      <c r="A1589"/>
      <c r="B1589"/>
      <c r="C1589"/>
      <c r="D1589"/>
      <c r="E1589"/>
      <c r="F1589"/>
      <c r="G1589"/>
      <c r="H1589"/>
      <c r="I1589"/>
      <c r="J1589"/>
      <c r="K1589"/>
    </row>
    <row r="1590" spans="1:11" ht="12.75" x14ac:dyDescent="0.35">
      <c r="A1590"/>
      <c r="B1590"/>
      <c r="C1590"/>
      <c r="D1590"/>
      <c r="E1590"/>
      <c r="F1590"/>
      <c r="G1590"/>
      <c r="H1590"/>
      <c r="I1590"/>
      <c r="J1590"/>
      <c r="K1590"/>
    </row>
    <row r="1591" spans="1:11" ht="12.75" x14ac:dyDescent="0.35">
      <c r="A1591"/>
      <c r="B1591"/>
      <c r="C1591"/>
      <c r="D1591"/>
      <c r="E1591"/>
      <c r="F1591"/>
      <c r="G1591"/>
      <c r="H1591"/>
      <c r="I1591"/>
      <c r="J1591"/>
      <c r="K1591"/>
    </row>
    <row r="1592" spans="1:11" ht="12.75" x14ac:dyDescent="0.35">
      <c r="A1592"/>
      <c r="B1592"/>
      <c r="C1592"/>
      <c r="D1592"/>
      <c r="E1592"/>
      <c r="F1592"/>
      <c r="G1592"/>
      <c r="H1592"/>
      <c r="I1592"/>
      <c r="J1592"/>
      <c r="K1592"/>
    </row>
    <row r="1593" spans="1:11" ht="12.75" x14ac:dyDescent="0.35">
      <c r="A1593"/>
      <c r="B1593"/>
      <c r="C1593"/>
      <c r="D1593"/>
      <c r="E1593"/>
      <c r="F1593"/>
      <c r="G1593"/>
      <c r="H1593"/>
      <c r="I1593"/>
      <c r="J1593"/>
      <c r="K1593"/>
    </row>
    <row r="1594" spans="1:11" ht="12.75" x14ac:dyDescent="0.35">
      <c r="A1594"/>
      <c r="B1594"/>
      <c r="C1594"/>
      <c r="D1594"/>
      <c r="E1594"/>
      <c r="F1594"/>
      <c r="G1594"/>
      <c r="H1594"/>
      <c r="I1594"/>
      <c r="J1594"/>
      <c r="K1594"/>
    </row>
    <row r="1595" spans="1:11" ht="12.75" x14ac:dyDescent="0.35">
      <c r="A1595"/>
      <c r="B1595"/>
      <c r="C1595"/>
      <c r="D1595"/>
      <c r="E1595"/>
      <c r="F1595"/>
      <c r="G1595"/>
      <c r="H1595"/>
      <c r="I1595"/>
      <c r="J1595"/>
      <c r="K1595"/>
    </row>
    <row r="1596" spans="1:11" ht="12.75" x14ac:dyDescent="0.35">
      <c r="A1596"/>
      <c r="B1596"/>
      <c r="C1596"/>
      <c r="D1596"/>
      <c r="E1596"/>
      <c r="F1596"/>
      <c r="G1596"/>
      <c r="H1596"/>
      <c r="I1596"/>
      <c r="J1596"/>
      <c r="K1596"/>
    </row>
    <row r="1597" spans="1:11" ht="12.75" x14ac:dyDescent="0.35">
      <c r="A1597"/>
      <c r="B1597"/>
      <c r="C1597"/>
      <c r="D1597"/>
      <c r="E1597"/>
      <c r="F1597"/>
      <c r="G1597"/>
      <c r="H1597"/>
      <c r="I1597"/>
      <c r="J1597"/>
      <c r="K1597"/>
    </row>
    <row r="1598" spans="1:11" ht="12.75" x14ac:dyDescent="0.35">
      <c r="A1598"/>
      <c r="B1598"/>
      <c r="C1598"/>
      <c r="D1598"/>
      <c r="E1598"/>
      <c r="F1598"/>
      <c r="G1598"/>
      <c r="H1598"/>
      <c r="I1598"/>
      <c r="J1598"/>
      <c r="K1598"/>
    </row>
    <row r="1599" spans="1:11" ht="12.75" x14ac:dyDescent="0.35">
      <c r="A1599"/>
      <c r="B1599"/>
      <c r="C1599"/>
      <c r="D1599"/>
      <c r="E1599"/>
      <c r="F1599"/>
      <c r="G1599"/>
      <c r="H1599"/>
      <c r="I1599"/>
      <c r="J1599"/>
      <c r="K1599"/>
    </row>
    <row r="1600" spans="1:11" ht="12.75" x14ac:dyDescent="0.35">
      <c r="A1600"/>
      <c r="B1600"/>
      <c r="C1600"/>
      <c r="D1600"/>
      <c r="E1600"/>
      <c r="F1600"/>
      <c r="G1600"/>
      <c r="H1600"/>
      <c r="I1600"/>
      <c r="J1600"/>
      <c r="K1600"/>
    </row>
    <row r="1601" spans="1:11" ht="12.75" x14ac:dyDescent="0.35">
      <c r="A1601"/>
      <c r="B1601"/>
      <c r="C1601"/>
      <c r="D1601"/>
      <c r="E1601"/>
      <c r="F1601"/>
      <c r="G1601"/>
      <c r="H1601"/>
      <c r="I1601"/>
      <c r="J1601"/>
      <c r="K1601"/>
    </row>
    <row r="1602" spans="1:11" ht="12.75" x14ac:dyDescent="0.35">
      <c r="A1602"/>
      <c r="B1602"/>
      <c r="C1602"/>
      <c r="D1602"/>
      <c r="E1602"/>
      <c r="F1602"/>
      <c r="G1602"/>
      <c r="H1602"/>
      <c r="I1602"/>
      <c r="J1602"/>
      <c r="K1602"/>
    </row>
    <row r="1603" spans="1:11" ht="12.75" x14ac:dyDescent="0.35">
      <c r="A1603"/>
      <c r="B1603"/>
      <c r="C1603"/>
      <c r="D1603"/>
      <c r="E1603"/>
      <c r="F1603"/>
      <c r="G1603"/>
      <c r="H1603"/>
      <c r="I1603"/>
      <c r="J1603"/>
      <c r="K1603"/>
    </row>
    <row r="1604" spans="1:11" ht="12.75" x14ac:dyDescent="0.35">
      <c r="A1604"/>
      <c r="B1604"/>
      <c r="C1604"/>
      <c r="D1604"/>
      <c r="E1604"/>
      <c r="F1604"/>
      <c r="G1604"/>
      <c r="H1604"/>
      <c r="I1604"/>
      <c r="J1604"/>
      <c r="K1604"/>
    </row>
    <row r="1605" spans="1:11" ht="12.75" x14ac:dyDescent="0.35">
      <c r="A1605"/>
      <c r="B1605"/>
      <c r="C1605"/>
      <c r="D1605"/>
      <c r="E1605"/>
      <c r="F1605"/>
      <c r="G1605"/>
      <c r="H1605"/>
      <c r="I1605"/>
      <c r="J1605"/>
      <c r="K1605"/>
    </row>
    <row r="1606" spans="1:11" ht="12.75" x14ac:dyDescent="0.35">
      <c r="A1606"/>
      <c r="B1606"/>
      <c r="C1606"/>
      <c r="D1606"/>
      <c r="E1606"/>
      <c r="F1606"/>
      <c r="G1606"/>
      <c r="H1606"/>
      <c r="I1606"/>
      <c r="J1606"/>
      <c r="K1606"/>
    </row>
    <row r="1607" spans="1:11" ht="12.75" x14ac:dyDescent="0.35">
      <c r="A1607"/>
      <c r="B1607"/>
      <c r="C1607"/>
      <c r="D1607"/>
      <c r="E1607"/>
      <c r="F1607"/>
      <c r="G1607"/>
      <c r="H1607"/>
      <c r="I1607"/>
      <c r="J1607"/>
      <c r="K1607"/>
    </row>
    <row r="1608" spans="1:11" ht="12.75" x14ac:dyDescent="0.35">
      <c r="A1608"/>
      <c r="B1608"/>
      <c r="C1608"/>
      <c r="D1608"/>
      <c r="E1608"/>
      <c r="F1608"/>
      <c r="G1608"/>
      <c r="H1608"/>
      <c r="I1608"/>
      <c r="J1608"/>
      <c r="K1608"/>
    </row>
    <row r="1609" spans="1:11" ht="12.75" x14ac:dyDescent="0.35">
      <c r="A1609"/>
      <c r="B1609"/>
      <c r="C1609"/>
      <c r="D1609"/>
      <c r="E1609"/>
      <c r="F1609"/>
      <c r="G1609"/>
      <c r="H1609"/>
      <c r="I1609"/>
      <c r="J1609"/>
      <c r="K1609"/>
    </row>
    <row r="1610" spans="1:11" ht="12.75" x14ac:dyDescent="0.35">
      <c r="A1610"/>
      <c r="B1610"/>
      <c r="C1610"/>
      <c r="D1610"/>
      <c r="E1610"/>
      <c r="F1610"/>
      <c r="G1610"/>
      <c r="H1610"/>
      <c r="I1610"/>
      <c r="J1610"/>
      <c r="K1610"/>
    </row>
    <row r="1611" spans="1:11" ht="12.75" x14ac:dyDescent="0.35">
      <c r="A1611"/>
      <c r="B1611"/>
      <c r="C1611"/>
      <c r="D1611"/>
      <c r="E1611"/>
      <c r="F1611"/>
      <c r="G1611"/>
      <c r="H1611"/>
      <c r="I1611"/>
      <c r="J1611"/>
      <c r="K1611"/>
    </row>
    <row r="1612" spans="1:11" ht="12.75" x14ac:dyDescent="0.35">
      <c r="A1612"/>
      <c r="B1612"/>
      <c r="C1612"/>
      <c r="D1612"/>
      <c r="E1612"/>
      <c r="F1612"/>
      <c r="G1612"/>
      <c r="H1612"/>
      <c r="I1612"/>
      <c r="J1612"/>
      <c r="K1612"/>
    </row>
    <row r="1613" spans="1:11" ht="12.75" x14ac:dyDescent="0.35">
      <c r="A1613"/>
      <c r="B1613"/>
      <c r="C1613"/>
      <c r="D1613"/>
      <c r="E1613"/>
      <c r="F1613"/>
      <c r="G1613"/>
      <c r="H1613"/>
      <c r="I1613"/>
      <c r="J1613"/>
      <c r="K1613"/>
    </row>
    <row r="1614" spans="1:11" ht="12.75" x14ac:dyDescent="0.35">
      <c r="A1614"/>
      <c r="B1614"/>
      <c r="C1614"/>
      <c r="D1614"/>
      <c r="E1614"/>
      <c r="F1614"/>
      <c r="G1614"/>
      <c r="H1614"/>
      <c r="I1614"/>
      <c r="J1614"/>
      <c r="K1614"/>
    </row>
    <row r="1615" spans="1:11" ht="12.75" x14ac:dyDescent="0.35">
      <c r="A1615"/>
      <c r="B1615"/>
      <c r="C1615"/>
      <c r="D1615"/>
      <c r="E1615"/>
      <c r="F1615"/>
      <c r="G1615"/>
      <c r="H1615"/>
      <c r="I1615"/>
      <c r="J1615"/>
      <c r="K1615"/>
    </row>
    <row r="1616" spans="1:11" ht="12.75" x14ac:dyDescent="0.35">
      <c r="A1616"/>
      <c r="B1616"/>
      <c r="C1616"/>
      <c r="D1616"/>
      <c r="E1616"/>
      <c r="F1616"/>
      <c r="G1616"/>
      <c r="H1616"/>
      <c r="I1616"/>
      <c r="J1616"/>
      <c r="K1616"/>
    </row>
    <row r="1617" spans="1:11" ht="12.75" x14ac:dyDescent="0.35">
      <c r="A1617"/>
      <c r="B1617"/>
      <c r="C1617"/>
      <c r="D1617"/>
      <c r="E1617"/>
      <c r="F1617"/>
      <c r="G1617"/>
      <c r="H1617"/>
      <c r="I1617"/>
      <c r="J1617"/>
      <c r="K1617"/>
    </row>
    <row r="1618" spans="1:11" ht="12.75" x14ac:dyDescent="0.35">
      <c r="A1618"/>
      <c r="B1618"/>
      <c r="C1618"/>
      <c r="D1618"/>
      <c r="E1618"/>
      <c r="F1618"/>
      <c r="G1618"/>
      <c r="H1618"/>
      <c r="I1618"/>
      <c r="J1618"/>
      <c r="K1618"/>
    </row>
    <row r="1619" spans="1:11" ht="12.75" x14ac:dyDescent="0.35">
      <c r="A1619"/>
      <c r="B1619"/>
      <c r="C1619"/>
      <c r="D1619"/>
      <c r="E1619"/>
      <c r="F1619"/>
      <c r="G1619"/>
      <c r="H1619"/>
      <c r="I1619"/>
      <c r="J1619"/>
      <c r="K1619"/>
    </row>
    <row r="1620" spans="1:11" ht="12.75" x14ac:dyDescent="0.35">
      <c r="A1620"/>
      <c r="B1620"/>
      <c r="C1620"/>
      <c r="D1620"/>
      <c r="E1620"/>
      <c r="F1620"/>
      <c r="G1620"/>
      <c r="H1620"/>
      <c r="I1620"/>
      <c r="J1620"/>
      <c r="K1620"/>
    </row>
    <row r="1621" spans="1:11" ht="12.75" x14ac:dyDescent="0.35">
      <c r="A1621"/>
      <c r="B1621"/>
      <c r="C1621"/>
      <c r="D1621"/>
      <c r="E1621"/>
      <c r="F1621"/>
      <c r="G1621"/>
      <c r="H1621"/>
      <c r="I1621"/>
      <c r="J1621"/>
      <c r="K1621"/>
    </row>
    <row r="1622" spans="1:11" ht="12.75" x14ac:dyDescent="0.35">
      <c r="A1622"/>
      <c r="B1622"/>
      <c r="C1622"/>
      <c r="D1622"/>
      <c r="E1622"/>
      <c r="F1622"/>
      <c r="G1622"/>
      <c r="H1622"/>
      <c r="I1622"/>
      <c r="J1622"/>
      <c r="K1622"/>
    </row>
    <row r="1623" spans="1:11" ht="12.75" x14ac:dyDescent="0.35">
      <c r="A1623"/>
      <c r="B1623"/>
      <c r="C1623"/>
      <c r="D1623"/>
      <c r="E1623"/>
      <c r="F1623"/>
      <c r="G1623"/>
      <c r="H1623"/>
      <c r="I1623"/>
      <c r="J1623"/>
      <c r="K1623"/>
    </row>
    <row r="1624" spans="1:11" ht="12.75" x14ac:dyDescent="0.35">
      <c r="A1624"/>
      <c r="B1624"/>
      <c r="C1624"/>
      <c r="D1624"/>
      <c r="E1624"/>
      <c r="F1624"/>
      <c r="G1624"/>
      <c r="H1624"/>
      <c r="I1624"/>
      <c r="J1624"/>
      <c r="K1624"/>
    </row>
    <row r="1625" spans="1:11" ht="12.75" x14ac:dyDescent="0.35">
      <c r="A1625"/>
      <c r="B1625"/>
      <c r="C1625"/>
      <c r="D1625"/>
      <c r="E1625"/>
      <c r="F1625"/>
      <c r="G1625"/>
      <c r="H1625"/>
      <c r="I1625"/>
      <c r="J1625"/>
      <c r="K1625"/>
    </row>
    <row r="1626" spans="1:11" ht="12.75" x14ac:dyDescent="0.35">
      <c r="A1626"/>
      <c r="B1626"/>
      <c r="C1626"/>
      <c r="D1626"/>
      <c r="E1626"/>
      <c r="F1626"/>
      <c r="G1626"/>
      <c r="H1626"/>
      <c r="I1626"/>
      <c r="J1626"/>
      <c r="K1626"/>
    </row>
    <row r="1627" spans="1:11" ht="12.75" x14ac:dyDescent="0.35">
      <c r="A1627"/>
      <c r="B1627"/>
      <c r="C1627"/>
      <c r="D1627"/>
      <c r="E1627"/>
      <c r="F1627"/>
      <c r="G1627"/>
      <c r="H1627"/>
      <c r="I1627"/>
      <c r="J1627"/>
      <c r="K1627"/>
    </row>
    <row r="1628" spans="1:11" ht="12.75" x14ac:dyDescent="0.35">
      <c r="A1628"/>
      <c r="B1628"/>
      <c r="C1628"/>
      <c r="D1628"/>
      <c r="E1628"/>
      <c r="F1628"/>
      <c r="G1628"/>
      <c r="H1628"/>
      <c r="I1628"/>
      <c r="J1628"/>
      <c r="K1628"/>
    </row>
    <row r="1629" spans="1:11" ht="12.75" x14ac:dyDescent="0.35">
      <c r="A1629"/>
      <c r="B1629"/>
      <c r="C1629"/>
      <c r="D1629"/>
      <c r="E1629"/>
      <c r="F1629"/>
      <c r="G1629"/>
      <c r="H1629"/>
      <c r="I1629"/>
      <c r="J1629"/>
      <c r="K1629"/>
    </row>
    <row r="1630" spans="1:11" ht="12.75" x14ac:dyDescent="0.35">
      <c r="A1630"/>
      <c r="B1630"/>
      <c r="C1630"/>
      <c r="D1630"/>
      <c r="E1630"/>
      <c r="F1630"/>
      <c r="G1630"/>
      <c r="H1630"/>
      <c r="I1630"/>
      <c r="J1630"/>
      <c r="K1630"/>
    </row>
    <row r="1631" spans="1:11" ht="12.75" x14ac:dyDescent="0.35">
      <c r="A1631"/>
      <c r="B1631"/>
      <c r="C1631"/>
      <c r="D1631"/>
      <c r="E1631"/>
      <c r="F1631"/>
      <c r="G1631"/>
      <c r="H1631"/>
      <c r="I1631"/>
      <c r="J1631"/>
      <c r="K1631"/>
    </row>
    <row r="1632" spans="1:11" ht="12.75" x14ac:dyDescent="0.35">
      <c r="A1632"/>
      <c r="B1632"/>
      <c r="C1632"/>
      <c r="D1632"/>
      <c r="E1632"/>
      <c r="F1632"/>
      <c r="G1632"/>
      <c r="H1632"/>
      <c r="I1632"/>
      <c r="J1632"/>
      <c r="K1632"/>
    </row>
    <row r="1633" spans="1:11" ht="12.75" x14ac:dyDescent="0.35">
      <c r="A1633"/>
      <c r="B1633"/>
      <c r="C1633"/>
      <c r="D1633"/>
      <c r="E1633"/>
      <c r="F1633"/>
      <c r="G1633"/>
      <c r="H1633"/>
      <c r="I1633"/>
      <c r="J1633"/>
      <c r="K1633"/>
    </row>
    <row r="1634" spans="1:11" ht="12.75" x14ac:dyDescent="0.35">
      <c r="A1634"/>
      <c r="B1634"/>
      <c r="C1634"/>
      <c r="D1634"/>
      <c r="E1634"/>
      <c r="F1634"/>
      <c r="G1634"/>
      <c r="H1634"/>
      <c r="I1634"/>
      <c r="J1634"/>
      <c r="K1634"/>
    </row>
    <row r="1635" spans="1:11" ht="12.75" x14ac:dyDescent="0.35">
      <c r="A1635"/>
      <c r="B1635"/>
      <c r="C1635"/>
      <c r="D1635"/>
      <c r="E1635"/>
      <c r="F1635"/>
      <c r="G1635"/>
      <c r="H1635"/>
      <c r="I1635"/>
      <c r="J1635"/>
      <c r="K1635"/>
    </row>
    <row r="1636" spans="1:11" ht="12.75" x14ac:dyDescent="0.35">
      <c r="A1636"/>
      <c r="B1636"/>
      <c r="C1636"/>
      <c r="D1636"/>
      <c r="E1636"/>
      <c r="F1636"/>
      <c r="G1636"/>
      <c r="H1636"/>
      <c r="I1636"/>
      <c r="J1636"/>
      <c r="K1636"/>
    </row>
    <row r="1637" spans="1:11" ht="12.75" x14ac:dyDescent="0.35">
      <c r="A1637"/>
      <c r="B1637"/>
      <c r="C1637"/>
      <c r="D1637"/>
      <c r="E1637"/>
      <c r="F1637"/>
      <c r="G1637"/>
      <c r="H1637"/>
      <c r="I1637"/>
      <c r="J1637"/>
      <c r="K1637"/>
    </row>
    <row r="1638" spans="1:11" ht="12.75" x14ac:dyDescent="0.35">
      <c r="A1638"/>
      <c r="B1638"/>
      <c r="C1638"/>
      <c r="D1638"/>
      <c r="E1638"/>
      <c r="F1638"/>
      <c r="G1638"/>
      <c r="H1638"/>
      <c r="I1638"/>
      <c r="J1638"/>
      <c r="K1638"/>
    </row>
    <row r="1639" spans="1:11" ht="12.75" x14ac:dyDescent="0.35">
      <c r="A1639"/>
      <c r="B1639"/>
      <c r="C1639"/>
      <c r="D1639"/>
      <c r="E1639"/>
      <c r="F1639"/>
      <c r="G1639"/>
      <c r="H1639"/>
      <c r="I1639"/>
      <c r="J1639"/>
      <c r="K1639"/>
    </row>
    <row r="1640" spans="1:11" ht="12.75" x14ac:dyDescent="0.35">
      <c r="A1640"/>
      <c r="B1640"/>
      <c r="C1640"/>
      <c r="D1640"/>
      <c r="E1640"/>
      <c r="F1640"/>
      <c r="G1640"/>
      <c r="H1640"/>
      <c r="I1640"/>
      <c r="J1640"/>
      <c r="K1640"/>
    </row>
    <row r="1641" spans="1:11" ht="12.75" x14ac:dyDescent="0.35">
      <c r="A1641"/>
      <c r="B1641"/>
      <c r="C1641"/>
      <c r="D1641"/>
      <c r="E1641"/>
      <c r="F1641"/>
      <c r="G1641"/>
      <c r="H1641"/>
      <c r="I1641"/>
      <c r="J1641"/>
      <c r="K1641"/>
    </row>
    <row r="1642" spans="1:11" ht="12.75" x14ac:dyDescent="0.35">
      <c r="A1642"/>
      <c r="B1642"/>
      <c r="C1642"/>
      <c r="D1642"/>
      <c r="E1642"/>
      <c r="F1642"/>
      <c r="G1642"/>
      <c r="H1642"/>
      <c r="I1642"/>
      <c r="J1642"/>
      <c r="K1642"/>
    </row>
    <row r="1643" spans="1:11" ht="12.75" x14ac:dyDescent="0.35">
      <c r="A1643"/>
      <c r="B1643"/>
      <c r="C1643"/>
      <c r="D1643"/>
      <c r="E1643"/>
      <c r="F1643"/>
      <c r="G1643"/>
      <c r="H1643"/>
      <c r="I1643"/>
      <c r="J1643"/>
      <c r="K1643"/>
    </row>
    <row r="1644" spans="1:11" ht="12.75" x14ac:dyDescent="0.35">
      <c r="A1644"/>
      <c r="B1644"/>
      <c r="C1644"/>
      <c r="D1644"/>
      <c r="E1644"/>
      <c r="F1644"/>
      <c r="G1644"/>
      <c r="H1644"/>
      <c r="I1644"/>
      <c r="J1644"/>
      <c r="K1644"/>
    </row>
    <row r="1645" spans="1:11" ht="12.75" x14ac:dyDescent="0.35">
      <c r="A1645"/>
      <c r="B1645"/>
      <c r="C1645"/>
      <c r="D1645"/>
      <c r="E1645"/>
      <c r="F1645"/>
      <c r="G1645"/>
      <c r="H1645"/>
      <c r="I1645"/>
      <c r="J1645"/>
      <c r="K1645"/>
    </row>
    <row r="1646" spans="1:11" ht="12.75" x14ac:dyDescent="0.35">
      <c r="A1646"/>
      <c r="B1646"/>
      <c r="C1646"/>
      <c r="D1646"/>
      <c r="E1646"/>
      <c r="F1646"/>
      <c r="G1646"/>
      <c r="H1646"/>
      <c r="I1646"/>
      <c r="J1646"/>
      <c r="K1646"/>
    </row>
    <row r="1647" spans="1:11" ht="12.75" x14ac:dyDescent="0.35">
      <c r="A1647"/>
      <c r="B1647"/>
      <c r="C1647"/>
      <c r="D1647"/>
      <c r="E1647"/>
      <c r="F1647"/>
      <c r="G1647"/>
      <c r="H1647"/>
      <c r="I1647"/>
      <c r="J1647"/>
      <c r="K1647"/>
    </row>
    <row r="1648" spans="1:11" ht="12.75" x14ac:dyDescent="0.35">
      <c r="A1648"/>
      <c r="B1648"/>
      <c r="C1648"/>
      <c r="D1648"/>
      <c r="E1648"/>
      <c r="F1648"/>
      <c r="G1648"/>
      <c r="H1648"/>
      <c r="I1648"/>
      <c r="J1648"/>
      <c r="K1648"/>
    </row>
    <row r="1649" spans="1:11" ht="12.75" x14ac:dyDescent="0.35">
      <c r="A1649"/>
      <c r="B1649"/>
      <c r="C1649"/>
      <c r="D1649"/>
      <c r="E1649"/>
      <c r="F1649"/>
      <c r="G1649"/>
      <c r="H1649"/>
      <c r="I1649"/>
      <c r="J1649"/>
      <c r="K1649"/>
    </row>
    <row r="1650" spans="1:11" ht="12.75" x14ac:dyDescent="0.35">
      <c r="A1650"/>
      <c r="B1650"/>
      <c r="C1650"/>
      <c r="D1650"/>
      <c r="E1650"/>
      <c r="F1650"/>
      <c r="G1650"/>
      <c r="H1650"/>
      <c r="I1650"/>
      <c r="J1650"/>
      <c r="K1650"/>
    </row>
    <row r="1651" spans="1:11" ht="12.75" x14ac:dyDescent="0.35">
      <c r="A1651"/>
      <c r="B1651"/>
      <c r="C1651"/>
      <c r="D1651"/>
      <c r="E1651"/>
      <c r="F1651"/>
      <c r="G1651"/>
      <c r="H1651"/>
      <c r="I1651"/>
      <c r="J1651"/>
      <c r="K1651"/>
    </row>
    <row r="1652" spans="1:11" ht="12.75" x14ac:dyDescent="0.35">
      <c r="A1652"/>
      <c r="B1652"/>
      <c r="C1652"/>
      <c r="D1652"/>
      <c r="E1652"/>
      <c r="F1652"/>
      <c r="G1652"/>
      <c r="H1652"/>
      <c r="I1652"/>
      <c r="J1652"/>
      <c r="K1652"/>
    </row>
    <row r="1653" spans="1:11" ht="12.75" x14ac:dyDescent="0.35">
      <c r="A1653"/>
      <c r="B1653"/>
      <c r="C1653"/>
      <c r="D1653"/>
      <c r="E1653"/>
      <c r="F1653"/>
      <c r="G1653"/>
      <c r="H1653"/>
      <c r="I1653"/>
      <c r="J1653"/>
      <c r="K1653"/>
    </row>
    <row r="1654" spans="1:11" ht="12.75" x14ac:dyDescent="0.35">
      <c r="A1654"/>
      <c r="B1654"/>
      <c r="C1654"/>
      <c r="D1654"/>
      <c r="E1654"/>
      <c r="F1654"/>
      <c r="G1654"/>
      <c r="H1654"/>
      <c r="I1654"/>
      <c r="J1654"/>
      <c r="K1654"/>
    </row>
    <row r="1655" spans="1:11" ht="12.75" x14ac:dyDescent="0.35">
      <c r="A1655"/>
      <c r="B1655"/>
      <c r="C1655"/>
      <c r="D1655"/>
      <c r="E1655"/>
      <c r="F1655"/>
      <c r="G1655"/>
      <c r="H1655"/>
      <c r="I1655"/>
      <c r="J1655"/>
      <c r="K1655"/>
    </row>
    <row r="1656" spans="1:11" ht="12.75" x14ac:dyDescent="0.35">
      <c r="A1656"/>
      <c r="B1656"/>
      <c r="C1656"/>
      <c r="D1656"/>
      <c r="E1656"/>
      <c r="F1656"/>
      <c r="G1656"/>
      <c r="H1656"/>
      <c r="I1656"/>
      <c r="J1656"/>
      <c r="K1656"/>
    </row>
    <row r="1657" spans="1:11" ht="12.75" x14ac:dyDescent="0.35">
      <c r="A1657"/>
      <c r="B1657"/>
      <c r="C1657"/>
      <c r="D1657"/>
      <c r="E1657"/>
      <c r="F1657"/>
      <c r="G1657"/>
      <c r="H1657"/>
      <c r="I1657"/>
      <c r="J1657"/>
      <c r="K1657"/>
    </row>
    <row r="1658" spans="1:11" ht="12.75" x14ac:dyDescent="0.35">
      <c r="A1658"/>
      <c r="B1658"/>
      <c r="C1658"/>
      <c r="D1658"/>
      <c r="E1658"/>
      <c r="F1658"/>
      <c r="G1658"/>
      <c r="H1658"/>
      <c r="I1658"/>
      <c r="J1658"/>
      <c r="K1658"/>
    </row>
    <row r="1659" spans="1:11" ht="12.75" x14ac:dyDescent="0.35">
      <c r="A1659"/>
      <c r="B1659"/>
      <c r="C1659"/>
      <c r="D1659"/>
      <c r="E1659"/>
      <c r="F1659"/>
      <c r="G1659"/>
      <c r="H1659"/>
      <c r="I1659"/>
      <c r="J1659"/>
      <c r="K1659"/>
    </row>
    <row r="1660" spans="1:11" ht="12.75" x14ac:dyDescent="0.35">
      <c r="A1660"/>
      <c r="B1660"/>
      <c r="C1660"/>
      <c r="D1660"/>
      <c r="E1660"/>
      <c r="F1660"/>
      <c r="G1660"/>
      <c r="H1660"/>
      <c r="I1660"/>
      <c r="J1660"/>
      <c r="K1660"/>
    </row>
    <row r="1661" spans="1:11" ht="12.75" x14ac:dyDescent="0.35">
      <c r="A1661"/>
      <c r="B1661"/>
      <c r="C1661"/>
      <c r="D1661"/>
      <c r="E1661"/>
      <c r="F1661"/>
      <c r="G1661"/>
      <c r="H1661"/>
      <c r="I1661"/>
      <c r="J1661"/>
      <c r="K1661"/>
    </row>
    <row r="1662" spans="1:11" ht="12.75" x14ac:dyDescent="0.35">
      <c r="A1662"/>
      <c r="B1662"/>
      <c r="C1662"/>
      <c r="D1662"/>
      <c r="E1662"/>
      <c r="F1662"/>
      <c r="G1662"/>
      <c r="H1662"/>
      <c r="I1662"/>
      <c r="J1662"/>
      <c r="K1662"/>
    </row>
    <row r="1663" spans="1:11" ht="12.75" x14ac:dyDescent="0.35">
      <c r="A1663"/>
      <c r="B1663"/>
      <c r="C1663"/>
      <c r="D1663"/>
      <c r="E1663"/>
      <c r="F1663"/>
      <c r="G1663"/>
      <c r="H1663"/>
      <c r="I1663"/>
      <c r="J1663"/>
      <c r="K1663"/>
    </row>
    <row r="1664" spans="1:11" ht="12.75" x14ac:dyDescent="0.35">
      <c r="A1664"/>
      <c r="B1664"/>
      <c r="C1664"/>
      <c r="D1664"/>
      <c r="E1664"/>
      <c r="F1664"/>
      <c r="G1664"/>
      <c r="H1664"/>
      <c r="I1664"/>
      <c r="J1664"/>
      <c r="K1664"/>
    </row>
    <row r="1665" spans="1:11" ht="12.75" x14ac:dyDescent="0.35">
      <c r="A1665"/>
      <c r="B1665"/>
      <c r="C1665"/>
      <c r="D1665"/>
      <c r="E1665"/>
      <c r="F1665"/>
      <c r="G1665"/>
      <c r="H1665"/>
      <c r="I1665"/>
      <c r="J1665"/>
      <c r="K1665"/>
    </row>
    <row r="1666" spans="1:11" ht="12.75" x14ac:dyDescent="0.35">
      <c r="A1666"/>
      <c r="B1666"/>
      <c r="C1666"/>
      <c r="D1666"/>
      <c r="E1666"/>
      <c r="F1666"/>
      <c r="G1666"/>
      <c r="H1666"/>
      <c r="I1666"/>
      <c r="J1666"/>
      <c r="K1666"/>
    </row>
    <row r="1667" spans="1:11" ht="12.75" x14ac:dyDescent="0.35">
      <c r="A1667"/>
      <c r="B1667"/>
      <c r="C1667"/>
      <c r="D1667"/>
      <c r="E1667"/>
      <c r="F1667"/>
      <c r="G1667"/>
      <c r="H1667"/>
      <c r="I1667"/>
      <c r="J1667"/>
      <c r="K1667"/>
    </row>
    <row r="1668" spans="1:11" ht="12.75" x14ac:dyDescent="0.35">
      <c r="A1668"/>
      <c r="B1668"/>
      <c r="C1668"/>
      <c r="D1668"/>
      <c r="E1668"/>
      <c r="F1668"/>
      <c r="G1668"/>
      <c r="H1668"/>
      <c r="I1668"/>
      <c r="J1668"/>
      <c r="K1668"/>
    </row>
    <row r="1669" spans="1:11" ht="12.75" x14ac:dyDescent="0.35">
      <c r="A1669"/>
      <c r="B1669"/>
      <c r="C1669"/>
      <c r="D1669"/>
      <c r="E1669"/>
      <c r="F1669"/>
      <c r="G1669"/>
      <c r="H1669"/>
      <c r="I1669"/>
      <c r="J1669"/>
      <c r="K1669"/>
    </row>
    <row r="1670" spans="1:11" ht="12.75" x14ac:dyDescent="0.35">
      <c r="A1670"/>
      <c r="B1670"/>
      <c r="C1670"/>
      <c r="D1670"/>
      <c r="E1670"/>
      <c r="F1670"/>
      <c r="G1670"/>
      <c r="H1670"/>
      <c r="I1670"/>
      <c r="J1670"/>
      <c r="K1670"/>
    </row>
    <row r="1671" spans="1:11" ht="12.75" x14ac:dyDescent="0.35">
      <c r="A1671"/>
      <c r="B1671"/>
      <c r="C1671"/>
      <c r="D1671"/>
      <c r="E1671"/>
      <c r="F1671"/>
      <c r="G1671"/>
      <c r="H1671"/>
      <c r="I1671"/>
      <c r="J1671"/>
      <c r="K1671"/>
    </row>
    <row r="1672" spans="1:11" ht="12.75" x14ac:dyDescent="0.35">
      <c r="A1672"/>
      <c r="B1672"/>
      <c r="C1672"/>
      <c r="D1672"/>
      <c r="E1672"/>
      <c r="F1672"/>
      <c r="G1672"/>
      <c r="H1672"/>
      <c r="I1672"/>
      <c r="J1672"/>
      <c r="K1672"/>
    </row>
    <row r="1673" spans="1:11" ht="12.75" x14ac:dyDescent="0.35">
      <c r="A1673"/>
      <c r="B1673"/>
      <c r="C1673"/>
      <c r="D1673"/>
      <c r="E1673"/>
      <c r="F1673"/>
      <c r="G1673"/>
      <c r="H1673"/>
      <c r="I1673"/>
      <c r="J1673"/>
      <c r="K1673"/>
    </row>
    <row r="1674" spans="1:11" ht="12.75" x14ac:dyDescent="0.35">
      <c r="A1674"/>
      <c r="B1674"/>
      <c r="C1674"/>
      <c r="D1674"/>
      <c r="E1674"/>
      <c r="F1674"/>
      <c r="G1674"/>
      <c r="H1674"/>
      <c r="I1674"/>
      <c r="J1674"/>
      <c r="K1674"/>
    </row>
    <row r="1675" spans="1:11" ht="12.75" x14ac:dyDescent="0.35">
      <c r="A1675"/>
      <c r="B1675"/>
      <c r="C1675"/>
      <c r="D1675"/>
      <c r="E1675"/>
      <c r="F1675"/>
      <c r="G1675"/>
      <c r="H1675"/>
      <c r="I1675"/>
      <c r="J1675"/>
      <c r="K1675"/>
    </row>
    <row r="1676" spans="1:11" ht="12.75" x14ac:dyDescent="0.35">
      <c r="A1676"/>
      <c r="B1676"/>
      <c r="C1676"/>
      <c r="D1676"/>
      <c r="E1676"/>
      <c r="F1676"/>
      <c r="G1676"/>
      <c r="H1676"/>
      <c r="I1676"/>
      <c r="J1676"/>
      <c r="K1676"/>
    </row>
    <row r="1677" spans="1:11" ht="12.75" x14ac:dyDescent="0.35">
      <c r="A1677"/>
      <c r="B1677"/>
      <c r="C1677"/>
      <c r="D1677"/>
      <c r="E1677"/>
      <c r="F1677"/>
      <c r="G1677"/>
      <c r="H1677"/>
      <c r="I1677"/>
      <c r="J1677"/>
      <c r="K1677"/>
    </row>
    <row r="1678" spans="1:11" ht="12.75" x14ac:dyDescent="0.35">
      <c r="A1678"/>
      <c r="B1678"/>
      <c r="C1678"/>
      <c r="D1678"/>
      <c r="E1678"/>
      <c r="F1678"/>
      <c r="G1678"/>
      <c r="H1678"/>
      <c r="I1678"/>
      <c r="J1678"/>
      <c r="K1678"/>
    </row>
    <row r="1679" spans="1:11" ht="12.75" x14ac:dyDescent="0.35">
      <c r="A1679"/>
      <c r="B1679"/>
      <c r="C1679"/>
      <c r="D1679"/>
      <c r="E1679"/>
      <c r="F1679"/>
      <c r="G1679"/>
      <c r="H1679"/>
      <c r="I1679"/>
      <c r="J1679"/>
      <c r="K1679"/>
    </row>
    <row r="1680" spans="1:11" ht="12.75" x14ac:dyDescent="0.35">
      <c r="A1680"/>
      <c r="B1680"/>
      <c r="C1680"/>
      <c r="D1680"/>
      <c r="E1680"/>
      <c r="F1680"/>
      <c r="G1680"/>
      <c r="H1680"/>
      <c r="I1680"/>
      <c r="J1680"/>
      <c r="K1680"/>
    </row>
    <row r="1681" spans="1:11" ht="12.75" x14ac:dyDescent="0.35">
      <c r="A1681"/>
      <c r="B1681"/>
      <c r="C1681"/>
      <c r="D1681"/>
      <c r="E1681"/>
      <c r="F1681"/>
      <c r="G1681"/>
      <c r="H1681"/>
      <c r="I1681"/>
      <c r="J1681"/>
      <c r="K1681"/>
    </row>
    <row r="1682" spans="1:11" ht="12.75" x14ac:dyDescent="0.35">
      <c r="A1682"/>
      <c r="B1682"/>
      <c r="C1682"/>
      <c r="D1682"/>
      <c r="E1682"/>
      <c r="F1682"/>
      <c r="G1682"/>
      <c r="H1682"/>
      <c r="I1682"/>
      <c r="J1682"/>
      <c r="K1682"/>
    </row>
    <row r="1683" spans="1:11" ht="12.75" x14ac:dyDescent="0.35">
      <c r="A1683"/>
      <c r="B1683"/>
      <c r="C1683"/>
      <c r="D1683"/>
      <c r="E1683"/>
      <c r="F1683"/>
      <c r="G1683"/>
      <c r="H1683"/>
      <c r="I1683"/>
      <c r="J1683"/>
      <c r="K1683"/>
    </row>
    <row r="1684" spans="1:11" ht="12.75" x14ac:dyDescent="0.35">
      <c r="A1684"/>
      <c r="B1684"/>
      <c r="C1684"/>
      <c r="D1684"/>
      <c r="E1684"/>
      <c r="F1684"/>
      <c r="G1684"/>
      <c r="H1684"/>
      <c r="I1684"/>
      <c r="J1684"/>
      <c r="K1684"/>
    </row>
    <row r="1685" spans="1:11" ht="12.75" x14ac:dyDescent="0.35">
      <c r="A1685"/>
      <c r="B1685"/>
      <c r="C1685"/>
      <c r="D1685"/>
      <c r="E1685"/>
      <c r="F1685"/>
      <c r="G1685"/>
      <c r="H1685"/>
      <c r="I1685"/>
      <c r="J1685"/>
      <c r="K1685"/>
    </row>
    <row r="1686" spans="1:11" ht="12.75" x14ac:dyDescent="0.35">
      <c r="A1686"/>
      <c r="B1686"/>
      <c r="C1686"/>
      <c r="D1686"/>
      <c r="E1686"/>
      <c r="F1686"/>
      <c r="G1686"/>
      <c r="H1686"/>
      <c r="I1686"/>
      <c r="J1686"/>
      <c r="K1686"/>
    </row>
    <row r="1687" spans="1:11" ht="12.75" x14ac:dyDescent="0.35">
      <c r="A1687"/>
      <c r="B1687"/>
      <c r="C1687"/>
      <c r="D1687"/>
      <c r="E1687"/>
      <c r="F1687"/>
      <c r="G1687"/>
      <c r="H1687"/>
      <c r="I1687"/>
      <c r="J1687"/>
      <c r="K1687"/>
    </row>
    <row r="1688" spans="1:11" ht="12.75" x14ac:dyDescent="0.35">
      <c r="A1688"/>
      <c r="B1688"/>
      <c r="C1688"/>
      <c r="D1688"/>
      <c r="E1688"/>
      <c r="F1688"/>
      <c r="G1688"/>
      <c r="H1688"/>
      <c r="I1688"/>
      <c r="J1688"/>
      <c r="K1688"/>
    </row>
    <row r="1689" spans="1:11" ht="12.75" x14ac:dyDescent="0.35">
      <c r="A1689"/>
      <c r="B1689"/>
      <c r="C1689"/>
      <c r="D1689"/>
      <c r="E1689"/>
      <c r="F1689"/>
      <c r="G1689"/>
      <c r="H1689"/>
      <c r="I1689"/>
      <c r="J1689"/>
      <c r="K1689"/>
    </row>
    <row r="1690" spans="1:11" ht="12.75" x14ac:dyDescent="0.35">
      <c r="A1690"/>
      <c r="B1690"/>
      <c r="C1690"/>
      <c r="D1690"/>
      <c r="E1690"/>
      <c r="F1690"/>
      <c r="G1690"/>
      <c r="H1690"/>
      <c r="I1690"/>
      <c r="J1690"/>
      <c r="K1690"/>
    </row>
    <row r="1691" spans="1:11" ht="12.75" x14ac:dyDescent="0.35">
      <c r="A1691"/>
      <c r="B1691"/>
      <c r="C1691"/>
      <c r="D1691"/>
      <c r="E1691"/>
      <c r="F1691"/>
      <c r="G1691"/>
      <c r="H1691"/>
      <c r="I1691"/>
      <c r="J1691"/>
      <c r="K1691"/>
    </row>
    <row r="1692" spans="1:11" ht="12.75" x14ac:dyDescent="0.35">
      <c r="A1692"/>
      <c r="B1692"/>
      <c r="C1692"/>
      <c r="D1692"/>
      <c r="E1692"/>
      <c r="F1692"/>
      <c r="G1692"/>
      <c r="H1692"/>
      <c r="I1692"/>
      <c r="J1692"/>
      <c r="K1692"/>
    </row>
    <row r="1693" spans="1:11" ht="12.75" x14ac:dyDescent="0.35">
      <c r="A1693"/>
      <c r="B1693"/>
      <c r="C1693"/>
      <c r="D1693"/>
      <c r="E1693"/>
      <c r="F1693"/>
      <c r="G1693"/>
      <c r="H1693"/>
      <c r="I1693"/>
      <c r="J1693"/>
      <c r="K1693"/>
    </row>
    <row r="1694" spans="1:11" ht="12.75" x14ac:dyDescent="0.35">
      <c r="A1694"/>
      <c r="B1694"/>
      <c r="C1694"/>
      <c r="D1694"/>
      <c r="E1694"/>
      <c r="F1694"/>
      <c r="G1694"/>
      <c r="H1694"/>
      <c r="I1694"/>
      <c r="J1694"/>
      <c r="K1694"/>
    </row>
    <row r="1695" spans="1:11" ht="12.75" x14ac:dyDescent="0.35">
      <c r="A1695"/>
      <c r="B1695"/>
      <c r="C1695"/>
      <c r="D1695"/>
      <c r="E1695"/>
      <c r="F1695"/>
      <c r="G1695"/>
      <c r="H1695"/>
      <c r="I1695"/>
      <c r="J1695"/>
      <c r="K1695"/>
    </row>
    <row r="1696" spans="1:11" ht="12.75" x14ac:dyDescent="0.35">
      <c r="A1696"/>
      <c r="B1696"/>
      <c r="C1696"/>
      <c r="D1696"/>
      <c r="E1696"/>
      <c r="F1696"/>
      <c r="G1696"/>
      <c r="H1696"/>
      <c r="I1696"/>
      <c r="J1696"/>
      <c r="K1696"/>
    </row>
    <row r="1697" spans="1:11" ht="12.75" x14ac:dyDescent="0.35">
      <c r="A1697"/>
      <c r="B1697"/>
      <c r="C1697"/>
      <c r="D1697"/>
      <c r="E1697"/>
      <c r="F1697"/>
      <c r="G1697"/>
      <c r="H1697"/>
      <c r="I1697"/>
      <c r="J1697"/>
      <c r="K1697"/>
    </row>
    <row r="1698" spans="1:11" ht="12.75" x14ac:dyDescent="0.35">
      <c r="A1698"/>
      <c r="B1698"/>
      <c r="C1698"/>
      <c r="D1698"/>
      <c r="E1698"/>
      <c r="F1698"/>
      <c r="G1698"/>
      <c r="H1698"/>
      <c r="I1698"/>
      <c r="J1698"/>
      <c r="K1698"/>
    </row>
    <row r="1699" spans="1:11" ht="12.75" x14ac:dyDescent="0.35">
      <c r="A1699"/>
      <c r="B1699"/>
      <c r="C1699"/>
      <c r="D1699"/>
      <c r="E1699"/>
      <c r="F1699"/>
      <c r="G1699"/>
      <c r="H1699"/>
      <c r="I1699"/>
      <c r="J1699"/>
      <c r="K1699"/>
    </row>
    <row r="1700" spans="1:11" ht="12.75" x14ac:dyDescent="0.35">
      <c r="A1700"/>
      <c r="B1700"/>
      <c r="C1700"/>
      <c r="D1700"/>
      <c r="E1700"/>
      <c r="F1700"/>
      <c r="G1700"/>
      <c r="H1700"/>
      <c r="I1700"/>
      <c r="J1700"/>
      <c r="K1700"/>
    </row>
    <row r="1701" spans="1:11" ht="12.75" x14ac:dyDescent="0.35">
      <c r="A1701"/>
      <c r="B1701"/>
      <c r="C1701"/>
      <c r="D1701"/>
      <c r="E1701"/>
      <c r="F1701"/>
      <c r="G1701"/>
      <c r="H1701"/>
      <c r="I1701"/>
      <c r="J1701"/>
      <c r="K1701"/>
    </row>
    <row r="1702" spans="1:11" ht="12.75" x14ac:dyDescent="0.35">
      <c r="A1702"/>
      <c r="B1702"/>
      <c r="C1702"/>
      <c r="D1702"/>
      <c r="E1702"/>
      <c r="F1702"/>
      <c r="G1702"/>
      <c r="H1702"/>
      <c r="I1702"/>
      <c r="J1702"/>
      <c r="K1702"/>
    </row>
    <row r="1703" spans="1:11" ht="12.75" x14ac:dyDescent="0.35">
      <c r="A1703"/>
      <c r="B1703"/>
      <c r="C1703"/>
      <c r="D1703"/>
      <c r="E1703"/>
      <c r="F1703"/>
      <c r="G1703"/>
      <c r="H1703"/>
      <c r="I1703"/>
      <c r="J1703"/>
      <c r="K1703"/>
    </row>
    <row r="1704" spans="1:11" ht="12.75" x14ac:dyDescent="0.35">
      <c r="A1704"/>
      <c r="B1704"/>
      <c r="C1704"/>
      <c r="D1704"/>
      <c r="E1704"/>
      <c r="F1704"/>
      <c r="G1704"/>
      <c r="H1704"/>
      <c r="I1704"/>
      <c r="J1704"/>
      <c r="K1704"/>
    </row>
    <row r="1705" spans="1:11" ht="12.75" x14ac:dyDescent="0.35">
      <c r="A1705"/>
      <c r="B1705"/>
      <c r="C1705"/>
      <c r="D1705"/>
      <c r="E1705"/>
      <c r="F1705"/>
      <c r="G1705"/>
      <c r="H1705"/>
      <c r="I1705"/>
      <c r="J1705"/>
      <c r="K1705"/>
    </row>
    <row r="1706" spans="1:11" ht="12.75" x14ac:dyDescent="0.35">
      <c r="A1706"/>
      <c r="B1706"/>
      <c r="C1706"/>
      <c r="D1706"/>
      <c r="E1706"/>
      <c r="F1706"/>
      <c r="G1706"/>
      <c r="H1706"/>
      <c r="I1706"/>
      <c r="J1706"/>
      <c r="K1706"/>
    </row>
    <row r="1707" spans="1:11" ht="12.75" x14ac:dyDescent="0.35">
      <c r="A1707"/>
      <c r="B1707"/>
      <c r="C1707"/>
      <c r="D1707"/>
      <c r="E1707"/>
      <c r="F1707"/>
      <c r="G1707"/>
      <c r="H1707"/>
      <c r="I1707"/>
      <c r="J1707"/>
      <c r="K1707"/>
    </row>
    <row r="1708" spans="1:11" ht="12.75" x14ac:dyDescent="0.35">
      <c r="A1708"/>
      <c r="B1708"/>
      <c r="C1708"/>
      <c r="D1708"/>
      <c r="E1708"/>
      <c r="F1708"/>
      <c r="G1708"/>
      <c r="H1708"/>
      <c r="I1708"/>
      <c r="J1708"/>
      <c r="K1708"/>
    </row>
    <row r="1709" spans="1:11" ht="12.75" x14ac:dyDescent="0.35">
      <c r="A1709"/>
      <c r="B1709"/>
      <c r="C1709"/>
      <c r="D1709"/>
      <c r="E1709"/>
      <c r="F1709"/>
      <c r="G1709"/>
      <c r="H1709"/>
      <c r="I1709"/>
      <c r="J1709"/>
      <c r="K1709"/>
    </row>
    <row r="1710" spans="1:11" ht="12.75" x14ac:dyDescent="0.35">
      <c r="A1710"/>
      <c r="B1710"/>
      <c r="C1710"/>
      <c r="D1710"/>
      <c r="E1710"/>
      <c r="F1710"/>
      <c r="G1710"/>
      <c r="H1710"/>
      <c r="I1710"/>
      <c r="J1710"/>
      <c r="K1710"/>
    </row>
    <row r="1711" spans="1:11" ht="12.75" x14ac:dyDescent="0.35">
      <c r="A1711"/>
      <c r="B1711"/>
      <c r="C1711"/>
      <c r="D1711"/>
      <c r="E1711"/>
      <c r="F1711"/>
      <c r="G1711"/>
      <c r="H1711"/>
      <c r="I1711"/>
      <c r="J1711"/>
      <c r="K1711"/>
    </row>
    <row r="1712" spans="1:11" ht="12.75" x14ac:dyDescent="0.35">
      <c r="A1712"/>
      <c r="B1712"/>
      <c r="C1712"/>
      <c r="D1712"/>
      <c r="E1712"/>
      <c r="F1712"/>
      <c r="G1712"/>
      <c r="H1712"/>
      <c r="I1712"/>
      <c r="J1712"/>
      <c r="K1712"/>
    </row>
    <row r="1713" spans="1:11" ht="12.75" x14ac:dyDescent="0.35">
      <c r="A1713"/>
      <c r="B1713"/>
      <c r="C1713"/>
      <c r="D1713"/>
      <c r="E1713"/>
      <c r="F1713"/>
      <c r="G1713"/>
      <c r="H1713"/>
      <c r="I1713"/>
      <c r="J1713"/>
      <c r="K1713"/>
    </row>
    <row r="1714" spans="1:11" ht="12.75" x14ac:dyDescent="0.35">
      <c r="A1714"/>
      <c r="B1714"/>
      <c r="C1714"/>
      <c r="D1714"/>
      <c r="E1714"/>
      <c r="F1714"/>
      <c r="G1714"/>
      <c r="H1714"/>
      <c r="I1714"/>
      <c r="J1714"/>
      <c r="K1714"/>
    </row>
    <row r="1715" spans="1:11" ht="12.75" x14ac:dyDescent="0.35">
      <c r="A1715"/>
      <c r="B1715"/>
      <c r="C1715"/>
      <c r="D1715"/>
      <c r="E1715"/>
      <c r="F1715"/>
      <c r="G1715"/>
      <c r="H1715"/>
      <c r="I1715"/>
      <c r="J1715"/>
      <c r="K1715"/>
    </row>
    <row r="1716" spans="1:11" ht="12.75" x14ac:dyDescent="0.35">
      <c r="A1716"/>
      <c r="B1716"/>
      <c r="C1716"/>
      <c r="D1716"/>
      <c r="E1716"/>
      <c r="F1716"/>
      <c r="G1716"/>
      <c r="H1716"/>
      <c r="I1716"/>
      <c r="J1716"/>
      <c r="K1716"/>
    </row>
    <row r="1717" spans="1:11" ht="12.75" x14ac:dyDescent="0.35">
      <c r="A1717"/>
      <c r="B1717"/>
      <c r="C1717"/>
      <c r="D1717"/>
      <c r="E1717"/>
      <c r="F1717"/>
      <c r="G1717"/>
      <c r="H1717"/>
      <c r="I1717"/>
      <c r="J1717"/>
      <c r="K1717"/>
    </row>
    <row r="1718" spans="1:11" ht="12.75" x14ac:dyDescent="0.35">
      <c r="A1718"/>
      <c r="B1718"/>
      <c r="C1718"/>
      <c r="D1718"/>
      <c r="E1718"/>
      <c r="F1718"/>
      <c r="G1718"/>
      <c r="H1718"/>
      <c r="I1718"/>
      <c r="J1718"/>
      <c r="K1718"/>
    </row>
    <row r="1719" spans="1:11" ht="12.75" x14ac:dyDescent="0.35">
      <c r="A1719"/>
      <c r="B1719"/>
      <c r="C1719"/>
      <c r="D1719"/>
      <c r="E1719"/>
      <c r="F1719"/>
      <c r="G1719"/>
      <c r="H1719"/>
      <c r="I1719"/>
      <c r="J1719"/>
      <c r="K1719"/>
    </row>
    <row r="1720" spans="1:11" ht="12.75" x14ac:dyDescent="0.35">
      <c r="A1720"/>
      <c r="B1720"/>
      <c r="C1720"/>
      <c r="D1720"/>
      <c r="E1720"/>
      <c r="F1720"/>
      <c r="G1720"/>
      <c r="H1720"/>
      <c r="I1720"/>
      <c r="J1720"/>
      <c r="K1720"/>
    </row>
    <row r="1721" spans="1:11" ht="12.75" x14ac:dyDescent="0.35">
      <c r="A1721"/>
      <c r="B1721"/>
      <c r="C1721"/>
      <c r="D1721"/>
      <c r="E1721"/>
      <c r="F1721"/>
      <c r="G1721"/>
      <c r="H1721"/>
      <c r="I1721"/>
      <c r="J1721"/>
      <c r="K1721"/>
    </row>
    <row r="1722" spans="1:11" ht="12.75" x14ac:dyDescent="0.35">
      <c r="A1722"/>
      <c r="B1722"/>
      <c r="C1722"/>
      <c r="D1722"/>
      <c r="E1722"/>
      <c r="F1722"/>
      <c r="G1722"/>
      <c r="H1722"/>
      <c r="I1722"/>
      <c r="J1722"/>
      <c r="K1722"/>
    </row>
    <row r="1723" spans="1:11" ht="12.75" x14ac:dyDescent="0.35">
      <c r="A1723"/>
      <c r="B1723"/>
      <c r="C1723"/>
      <c r="D1723"/>
      <c r="E1723"/>
      <c r="F1723"/>
      <c r="G1723"/>
      <c r="H1723"/>
      <c r="I1723"/>
      <c r="J1723"/>
      <c r="K1723"/>
    </row>
    <row r="1724" spans="1:11" ht="12.75" x14ac:dyDescent="0.35">
      <c r="A1724"/>
      <c r="B1724"/>
      <c r="C1724"/>
      <c r="D1724"/>
      <c r="E1724"/>
      <c r="F1724"/>
      <c r="G1724"/>
      <c r="H1724"/>
      <c r="I1724"/>
      <c r="J1724"/>
      <c r="K1724"/>
    </row>
    <row r="1725" spans="1:11" ht="12.75" x14ac:dyDescent="0.35">
      <c r="A1725"/>
      <c r="B1725"/>
      <c r="C1725"/>
      <c r="D1725"/>
      <c r="E1725"/>
      <c r="F1725"/>
      <c r="G1725"/>
      <c r="H1725"/>
      <c r="I1725"/>
      <c r="J1725"/>
      <c r="K1725"/>
    </row>
    <row r="1726" spans="1:11" ht="12.75" x14ac:dyDescent="0.35">
      <c r="A1726"/>
      <c r="B1726"/>
      <c r="C1726"/>
      <c r="D1726"/>
      <c r="E1726"/>
      <c r="F1726"/>
      <c r="G1726"/>
      <c r="H1726"/>
      <c r="I1726"/>
      <c r="J1726"/>
      <c r="K1726"/>
    </row>
    <row r="1727" spans="1:11" ht="12.75" x14ac:dyDescent="0.35">
      <c r="A1727"/>
      <c r="B1727"/>
      <c r="C1727"/>
      <c r="D1727"/>
      <c r="E1727"/>
      <c r="F1727"/>
      <c r="G1727"/>
      <c r="H1727"/>
      <c r="I1727"/>
      <c r="J1727"/>
      <c r="K1727"/>
    </row>
    <row r="1728" spans="1:11" ht="12.75" x14ac:dyDescent="0.35">
      <c r="A1728"/>
      <c r="B1728"/>
      <c r="C1728"/>
      <c r="D1728"/>
      <c r="E1728"/>
      <c r="F1728"/>
      <c r="G1728"/>
      <c r="H1728"/>
      <c r="I1728"/>
      <c r="J1728"/>
      <c r="K1728"/>
    </row>
    <row r="1729" spans="1:11" ht="12.75" x14ac:dyDescent="0.35">
      <c r="A1729"/>
      <c r="B1729"/>
      <c r="C1729"/>
      <c r="D1729"/>
      <c r="E1729"/>
      <c r="F1729"/>
      <c r="G1729"/>
      <c r="H1729"/>
      <c r="I1729"/>
      <c r="J1729"/>
      <c r="K1729"/>
    </row>
    <row r="1730" spans="1:11" ht="12.75" x14ac:dyDescent="0.35">
      <c r="A1730"/>
      <c r="B1730"/>
      <c r="C1730"/>
      <c r="D1730"/>
      <c r="E1730"/>
      <c r="F1730"/>
      <c r="G1730"/>
      <c r="H1730"/>
      <c r="I1730"/>
      <c r="J1730"/>
      <c r="K1730"/>
    </row>
    <row r="1731" spans="1:11" ht="12.75" x14ac:dyDescent="0.35">
      <c r="A1731"/>
      <c r="B1731"/>
      <c r="C1731"/>
      <c r="D1731"/>
      <c r="E1731"/>
      <c r="F1731"/>
      <c r="G1731"/>
      <c r="H1731"/>
      <c r="I1731"/>
      <c r="J1731"/>
      <c r="K1731"/>
    </row>
    <row r="1732" spans="1:11" ht="12.75" x14ac:dyDescent="0.35">
      <c r="A1732"/>
      <c r="B1732"/>
      <c r="C1732"/>
      <c r="D1732"/>
      <c r="E1732"/>
      <c r="F1732"/>
      <c r="G1732"/>
      <c r="H1732"/>
      <c r="I1732"/>
      <c r="J1732"/>
      <c r="K1732"/>
    </row>
    <row r="1733" spans="1:11" ht="12.75" x14ac:dyDescent="0.35">
      <c r="A1733"/>
      <c r="B1733"/>
      <c r="C1733"/>
      <c r="D1733"/>
      <c r="E1733"/>
      <c r="F1733"/>
      <c r="G1733"/>
      <c r="H1733"/>
      <c r="I1733"/>
      <c r="J1733"/>
      <c r="K1733"/>
    </row>
    <row r="1734" spans="1:11" ht="12.75" x14ac:dyDescent="0.35">
      <c r="A1734"/>
      <c r="B1734"/>
      <c r="C1734"/>
      <c r="D1734"/>
      <c r="E1734"/>
      <c r="F1734"/>
      <c r="G1734"/>
      <c r="H1734"/>
      <c r="I1734"/>
      <c r="J1734"/>
      <c r="K1734"/>
    </row>
    <row r="1735" spans="1:11" ht="12.75" x14ac:dyDescent="0.35">
      <c r="A1735"/>
      <c r="B1735"/>
      <c r="C1735"/>
      <c r="D1735"/>
      <c r="E1735"/>
      <c r="F1735"/>
      <c r="G1735"/>
      <c r="H1735"/>
      <c r="I1735"/>
      <c r="J1735"/>
      <c r="K1735"/>
    </row>
    <row r="1736" spans="1:11" ht="12.75" x14ac:dyDescent="0.35">
      <c r="A1736"/>
      <c r="B1736"/>
      <c r="C1736"/>
      <c r="D1736"/>
      <c r="E1736"/>
      <c r="F1736"/>
      <c r="G1736"/>
      <c r="H1736"/>
      <c r="I1736"/>
      <c r="J1736"/>
      <c r="K1736"/>
    </row>
    <row r="1737" spans="1:11" ht="12.75" x14ac:dyDescent="0.35">
      <c r="A1737"/>
      <c r="B1737"/>
      <c r="C1737"/>
      <c r="D1737"/>
      <c r="E1737"/>
      <c r="F1737"/>
      <c r="G1737"/>
      <c r="H1737"/>
      <c r="I1737"/>
      <c r="J1737"/>
      <c r="K1737"/>
    </row>
    <row r="1738" spans="1:11" ht="12.75" x14ac:dyDescent="0.35">
      <c r="A1738"/>
      <c r="B1738"/>
      <c r="C1738"/>
      <c r="D1738"/>
      <c r="E1738"/>
      <c r="F1738"/>
      <c r="G1738"/>
      <c r="H1738"/>
      <c r="I1738"/>
      <c r="J1738"/>
      <c r="K1738"/>
    </row>
    <row r="1739" spans="1:11" ht="12.75" x14ac:dyDescent="0.35">
      <c r="A1739"/>
      <c r="B1739"/>
      <c r="C1739"/>
      <c r="D1739"/>
      <c r="E1739"/>
      <c r="F1739"/>
      <c r="G1739"/>
      <c r="H1739"/>
      <c r="I1739"/>
      <c r="J1739"/>
      <c r="K1739"/>
    </row>
    <row r="1740" spans="1:11" ht="12.75" x14ac:dyDescent="0.35">
      <c r="A1740"/>
      <c r="B1740"/>
      <c r="C1740"/>
      <c r="D1740"/>
      <c r="E1740"/>
      <c r="F1740"/>
      <c r="G1740"/>
      <c r="H1740"/>
      <c r="I1740"/>
      <c r="J1740"/>
      <c r="K1740"/>
    </row>
    <row r="1741" spans="1:11" ht="12.75" x14ac:dyDescent="0.35">
      <c r="A1741"/>
      <c r="B1741"/>
      <c r="C1741"/>
      <c r="D1741"/>
      <c r="E1741"/>
      <c r="F1741"/>
      <c r="G1741"/>
      <c r="H1741"/>
      <c r="I1741"/>
      <c r="J1741"/>
      <c r="K1741"/>
    </row>
    <row r="1742" spans="1:11" ht="12.75" x14ac:dyDescent="0.35">
      <c r="A1742"/>
      <c r="B1742"/>
      <c r="C1742"/>
      <c r="D1742"/>
      <c r="E1742"/>
      <c r="F1742"/>
      <c r="G1742"/>
      <c r="H1742"/>
      <c r="I1742"/>
      <c r="J1742"/>
      <c r="K1742"/>
    </row>
    <row r="1743" spans="1:11" ht="12.75" x14ac:dyDescent="0.35">
      <c r="A1743"/>
      <c r="B1743"/>
      <c r="C1743"/>
      <c r="D1743"/>
      <c r="E1743"/>
      <c r="F1743"/>
      <c r="G1743"/>
      <c r="H1743"/>
      <c r="I1743"/>
      <c r="J1743"/>
      <c r="K1743"/>
    </row>
    <row r="1744" spans="1:11" ht="12.75" x14ac:dyDescent="0.35">
      <c r="A1744"/>
      <c r="B1744"/>
      <c r="C1744"/>
      <c r="D1744"/>
      <c r="E1744"/>
      <c r="F1744"/>
      <c r="G1744"/>
      <c r="H1744"/>
      <c r="I1744"/>
      <c r="J1744"/>
      <c r="K1744"/>
    </row>
    <row r="1745" spans="1:11" ht="12.75" x14ac:dyDescent="0.35">
      <c r="A1745"/>
      <c r="B1745"/>
      <c r="C1745"/>
      <c r="D1745"/>
      <c r="E1745"/>
      <c r="F1745"/>
      <c r="G1745"/>
      <c r="H1745"/>
      <c r="I1745"/>
      <c r="J1745"/>
      <c r="K1745"/>
    </row>
    <row r="1746" spans="1:11" ht="12.75" x14ac:dyDescent="0.35">
      <c r="A1746"/>
      <c r="B1746"/>
      <c r="C1746"/>
      <c r="D1746"/>
      <c r="E1746"/>
      <c r="F1746"/>
      <c r="G1746"/>
      <c r="H1746"/>
      <c r="I1746"/>
      <c r="J1746"/>
      <c r="K1746"/>
    </row>
    <row r="1747" spans="1:11" ht="12.75" x14ac:dyDescent="0.35">
      <c r="A1747"/>
      <c r="B1747"/>
      <c r="C1747"/>
      <c r="D1747"/>
      <c r="E1747"/>
      <c r="F1747"/>
      <c r="G1747"/>
      <c r="H1747"/>
      <c r="I1747"/>
      <c r="J1747"/>
      <c r="K1747"/>
    </row>
    <row r="1748" spans="1:11" ht="12.75" x14ac:dyDescent="0.35">
      <c r="A1748"/>
      <c r="B1748"/>
      <c r="C1748"/>
      <c r="D1748"/>
      <c r="E1748"/>
      <c r="F1748"/>
      <c r="G1748"/>
      <c r="H1748"/>
      <c r="I1748"/>
      <c r="J1748"/>
      <c r="K1748"/>
    </row>
    <row r="1749" spans="1:11" ht="12.75" x14ac:dyDescent="0.35">
      <c r="A1749"/>
      <c r="B1749"/>
      <c r="C1749"/>
      <c r="D1749"/>
      <c r="E1749"/>
      <c r="F1749"/>
      <c r="G1749"/>
      <c r="H1749"/>
      <c r="I1749"/>
      <c r="J1749"/>
      <c r="K1749"/>
    </row>
    <row r="1750" spans="1:11" ht="12.75" x14ac:dyDescent="0.35">
      <c r="A1750"/>
      <c r="B1750"/>
      <c r="C1750"/>
      <c r="D1750"/>
      <c r="E1750"/>
      <c r="F1750"/>
      <c r="G1750"/>
      <c r="H1750"/>
      <c r="I1750"/>
      <c r="J1750"/>
      <c r="K1750"/>
    </row>
    <row r="1751" spans="1:11" ht="12.75" x14ac:dyDescent="0.35">
      <c r="A1751"/>
      <c r="B1751"/>
      <c r="C1751"/>
      <c r="D1751"/>
      <c r="E1751"/>
      <c r="F1751"/>
      <c r="G1751"/>
      <c r="H1751"/>
      <c r="I1751"/>
      <c r="J1751"/>
      <c r="K1751"/>
    </row>
    <row r="1752" spans="1:11" ht="12.75" x14ac:dyDescent="0.35">
      <c r="A1752"/>
      <c r="B1752"/>
      <c r="C1752"/>
      <c r="D1752"/>
      <c r="E1752"/>
      <c r="F1752"/>
      <c r="G1752"/>
      <c r="H1752"/>
      <c r="I1752"/>
      <c r="J1752"/>
      <c r="K1752"/>
    </row>
    <row r="1753" spans="1:11" ht="12.75" x14ac:dyDescent="0.35">
      <c r="A1753"/>
      <c r="B1753"/>
      <c r="C1753"/>
      <c r="D1753"/>
      <c r="E1753"/>
      <c r="F1753"/>
      <c r="G1753"/>
      <c r="H1753"/>
      <c r="I1753"/>
      <c r="J1753"/>
      <c r="K1753"/>
    </row>
    <row r="1754" spans="1:11" ht="12.75" x14ac:dyDescent="0.35">
      <c r="A1754"/>
      <c r="B1754"/>
      <c r="C1754"/>
      <c r="D1754"/>
      <c r="E1754"/>
      <c r="F1754"/>
      <c r="G1754"/>
      <c r="H1754"/>
      <c r="I1754"/>
      <c r="J1754"/>
      <c r="K1754"/>
    </row>
    <row r="1755" spans="1:11" ht="12.75" x14ac:dyDescent="0.35">
      <c r="A1755"/>
      <c r="B1755"/>
      <c r="C1755"/>
      <c r="D1755"/>
      <c r="E1755"/>
      <c r="F1755"/>
      <c r="G1755"/>
      <c r="H1755"/>
      <c r="I1755"/>
      <c r="J1755"/>
      <c r="K1755"/>
    </row>
    <row r="1756" spans="1:11" ht="12.75" x14ac:dyDescent="0.35">
      <c r="A1756"/>
      <c r="B1756"/>
      <c r="C1756"/>
      <c r="D1756"/>
      <c r="E1756"/>
      <c r="F1756"/>
      <c r="G1756"/>
      <c r="H1756"/>
      <c r="I1756"/>
      <c r="J1756"/>
      <c r="K1756"/>
    </row>
    <row r="1757" spans="1:11" ht="12.75" x14ac:dyDescent="0.35">
      <c r="A1757"/>
      <c r="B1757"/>
      <c r="C1757"/>
      <c r="D1757"/>
      <c r="E1757"/>
      <c r="F1757"/>
      <c r="G1757"/>
      <c r="H1757"/>
      <c r="I1757"/>
      <c r="J1757"/>
      <c r="K1757"/>
    </row>
    <row r="1758" spans="1:11" ht="12.75" x14ac:dyDescent="0.35">
      <c r="A1758"/>
      <c r="B1758"/>
      <c r="C1758"/>
      <c r="D1758"/>
      <c r="E1758"/>
      <c r="F1758"/>
      <c r="G1758"/>
      <c r="H1758"/>
      <c r="I1758"/>
      <c r="J1758"/>
      <c r="K1758"/>
    </row>
    <row r="1759" spans="1:11" ht="12.75" x14ac:dyDescent="0.35">
      <c r="A1759"/>
      <c r="B1759"/>
      <c r="C1759"/>
      <c r="D1759"/>
      <c r="E1759"/>
      <c r="F1759"/>
      <c r="G1759"/>
      <c r="H1759"/>
      <c r="I1759"/>
      <c r="J1759"/>
      <c r="K1759"/>
    </row>
    <row r="1760" spans="1:11" ht="12.75" x14ac:dyDescent="0.35">
      <c r="A1760"/>
      <c r="B1760"/>
      <c r="C1760"/>
      <c r="D1760"/>
      <c r="E1760"/>
      <c r="F1760"/>
      <c r="G1760"/>
      <c r="H1760"/>
      <c r="I1760"/>
      <c r="J1760"/>
      <c r="K1760"/>
    </row>
    <row r="1761" spans="1:11" ht="12.75" x14ac:dyDescent="0.35">
      <c r="A1761"/>
      <c r="B1761"/>
      <c r="C1761"/>
      <c r="D1761"/>
      <c r="E1761"/>
      <c r="F1761"/>
      <c r="G1761"/>
      <c r="H1761"/>
      <c r="I1761"/>
      <c r="J1761"/>
      <c r="K1761"/>
    </row>
    <row r="1762" spans="1:11" ht="12.75" x14ac:dyDescent="0.35">
      <c r="A1762"/>
      <c r="B1762"/>
      <c r="C1762"/>
      <c r="D1762"/>
      <c r="E1762"/>
      <c r="F1762"/>
      <c r="G1762"/>
      <c r="H1762"/>
      <c r="I1762"/>
      <c r="J1762"/>
      <c r="K1762"/>
    </row>
    <row r="1763" spans="1:11" ht="12.75" x14ac:dyDescent="0.35">
      <c r="A1763"/>
      <c r="B1763"/>
      <c r="C1763"/>
      <c r="D1763"/>
      <c r="E1763"/>
      <c r="F1763"/>
      <c r="G1763"/>
      <c r="H1763"/>
      <c r="I1763"/>
      <c r="J1763"/>
      <c r="K1763"/>
    </row>
    <row r="1764" spans="1:11" ht="12.75" x14ac:dyDescent="0.35">
      <c r="A1764"/>
      <c r="B1764"/>
      <c r="C1764"/>
      <c r="D1764"/>
      <c r="E1764"/>
      <c r="F1764"/>
      <c r="G1764"/>
      <c r="H1764"/>
      <c r="I1764"/>
      <c r="J1764"/>
      <c r="K1764"/>
    </row>
    <row r="1765" spans="1:11" ht="12.75" x14ac:dyDescent="0.35">
      <c r="A1765"/>
      <c r="B1765"/>
      <c r="C1765"/>
      <c r="D1765"/>
      <c r="E1765"/>
      <c r="F1765"/>
      <c r="G1765"/>
      <c r="H1765"/>
      <c r="I1765"/>
      <c r="J1765"/>
      <c r="K1765"/>
    </row>
    <row r="1766" spans="1:11" ht="12.75" x14ac:dyDescent="0.35">
      <c r="A1766"/>
      <c r="B1766"/>
      <c r="C1766"/>
      <c r="D1766"/>
      <c r="E1766"/>
      <c r="F1766"/>
      <c r="G1766"/>
      <c r="H1766"/>
      <c r="I1766"/>
      <c r="J1766"/>
      <c r="K1766"/>
    </row>
    <row r="1767" spans="1:11" ht="12.75" x14ac:dyDescent="0.35">
      <c r="A1767"/>
      <c r="B1767"/>
      <c r="C1767"/>
      <c r="D1767"/>
      <c r="E1767"/>
      <c r="F1767"/>
      <c r="G1767"/>
      <c r="H1767"/>
      <c r="I1767"/>
      <c r="J1767"/>
      <c r="K1767"/>
    </row>
    <row r="1768" spans="1:11" ht="12.75" x14ac:dyDescent="0.35">
      <c r="A1768"/>
      <c r="B1768"/>
      <c r="C1768"/>
      <c r="D1768"/>
      <c r="E1768"/>
      <c r="F1768"/>
      <c r="G1768"/>
      <c r="H1768"/>
      <c r="I1768"/>
      <c r="J1768"/>
      <c r="K1768"/>
    </row>
    <row r="1769" spans="1:11" ht="12.75" x14ac:dyDescent="0.35">
      <c r="A1769"/>
      <c r="B1769"/>
      <c r="C1769"/>
      <c r="D1769"/>
      <c r="E1769"/>
      <c r="F1769"/>
      <c r="G1769"/>
      <c r="H1769"/>
      <c r="I1769"/>
      <c r="J1769"/>
      <c r="K1769"/>
    </row>
    <row r="1770" spans="1:11" ht="12.75" x14ac:dyDescent="0.35">
      <c r="A1770"/>
      <c r="B1770"/>
      <c r="C1770"/>
      <c r="D1770"/>
      <c r="E1770"/>
      <c r="F1770"/>
      <c r="G1770"/>
      <c r="H1770"/>
      <c r="I1770"/>
      <c r="J1770"/>
      <c r="K1770"/>
    </row>
    <row r="1771" spans="1:11" ht="12.75" x14ac:dyDescent="0.35">
      <c r="A1771"/>
      <c r="B1771"/>
      <c r="C1771"/>
      <c r="D1771"/>
      <c r="E1771"/>
      <c r="F1771"/>
      <c r="G1771"/>
      <c r="H1771"/>
      <c r="I1771"/>
      <c r="J1771"/>
      <c r="K1771"/>
    </row>
    <row r="1772" spans="1:11" ht="12.75" x14ac:dyDescent="0.35">
      <c r="A1772"/>
      <c r="B1772"/>
      <c r="C1772"/>
      <c r="D1772"/>
      <c r="E1772"/>
      <c r="F1772"/>
      <c r="G1772"/>
      <c r="H1772"/>
      <c r="I1772"/>
      <c r="J1772"/>
      <c r="K1772"/>
    </row>
    <row r="1773" spans="1:11" ht="12.75" x14ac:dyDescent="0.35">
      <c r="A1773"/>
      <c r="B1773"/>
      <c r="C1773"/>
      <c r="D1773"/>
      <c r="E1773"/>
      <c r="F1773"/>
      <c r="G1773"/>
      <c r="H1773"/>
      <c r="I1773"/>
      <c r="J1773"/>
      <c r="K1773"/>
    </row>
    <row r="1774" spans="1:11" ht="12.75" x14ac:dyDescent="0.35">
      <c r="A1774"/>
      <c r="B1774"/>
      <c r="C1774"/>
      <c r="D1774"/>
      <c r="E1774"/>
      <c r="F1774"/>
      <c r="G1774"/>
      <c r="H1774"/>
      <c r="I1774"/>
      <c r="J1774"/>
      <c r="K1774"/>
    </row>
    <row r="1775" spans="1:11" ht="12.75" x14ac:dyDescent="0.35">
      <c r="A1775"/>
      <c r="B1775"/>
      <c r="C1775"/>
      <c r="D1775"/>
      <c r="E1775"/>
      <c r="F1775"/>
      <c r="G1775"/>
      <c r="H1775"/>
      <c r="I1775"/>
      <c r="J1775"/>
      <c r="K1775"/>
    </row>
    <row r="1776" spans="1:11" ht="12.75" x14ac:dyDescent="0.35">
      <c r="A1776"/>
      <c r="B1776"/>
      <c r="C1776"/>
      <c r="D1776"/>
      <c r="E1776"/>
      <c r="F1776"/>
      <c r="G1776"/>
      <c r="H1776"/>
      <c r="I1776"/>
      <c r="J1776"/>
      <c r="K1776"/>
    </row>
    <row r="1777" spans="1:11" ht="12.75" x14ac:dyDescent="0.35">
      <c r="A1777"/>
      <c r="B1777"/>
      <c r="C1777"/>
      <c r="D1777"/>
      <c r="E1777"/>
      <c r="F1777"/>
      <c r="G1777"/>
      <c r="H1777"/>
      <c r="I1777"/>
      <c r="J1777"/>
      <c r="K1777"/>
    </row>
    <row r="1778" spans="1:11" ht="12.75" x14ac:dyDescent="0.35">
      <c r="A1778"/>
      <c r="B1778"/>
      <c r="C1778"/>
      <c r="D1778"/>
      <c r="E1778"/>
      <c r="F1778"/>
      <c r="G1778"/>
      <c r="H1778"/>
      <c r="I1778"/>
      <c r="J1778"/>
      <c r="K1778"/>
    </row>
    <row r="1779" spans="1:11" ht="12.75" x14ac:dyDescent="0.35">
      <c r="A1779"/>
      <c r="B1779"/>
      <c r="C1779"/>
      <c r="D1779"/>
      <c r="E1779"/>
      <c r="F1779"/>
      <c r="G1779"/>
      <c r="H1779"/>
      <c r="I1779"/>
      <c r="J1779"/>
      <c r="K1779"/>
    </row>
    <row r="1780" spans="1:11" ht="12.75" x14ac:dyDescent="0.35">
      <c r="A1780"/>
      <c r="B1780"/>
      <c r="C1780"/>
      <c r="D1780"/>
      <c r="E1780"/>
      <c r="F1780"/>
      <c r="G1780"/>
      <c r="H1780"/>
      <c r="I1780"/>
      <c r="J1780"/>
      <c r="K1780"/>
    </row>
    <row r="1781" spans="1:11" ht="12.75" x14ac:dyDescent="0.35">
      <c r="A1781"/>
      <c r="B1781"/>
      <c r="C1781"/>
      <c r="D1781"/>
      <c r="E1781"/>
      <c r="F1781"/>
      <c r="G1781"/>
      <c r="H1781"/>
      <c r="I1781"/>
      <c r="J1781"/>
      <c r="K1781"/>
    </row>
    <row r="1782" spans="1:11" ht="12.75" x14ac:dyDescent="0.35">
      <c r="A1782"/>
      <c r="B1782"/>
      <c r="C1782"/>
      <c r="D1782"/>
      <c r="E1782"/>
      <c r="F1782"/>
      <c r="G1782"/>
      <c r="H1782"/>
      <c r="I1782"/>
      <c r="J1782"/>
      <c r="K1782"/>
    </row>
    <row r="1783" spans="1:11" ht="12.75" x14ac:dyDescent="0.35">
      <c r="A1783"/>
      <c r="B1783"/>
      <c r="C1783"/>
      <c r="D1783"/>
      <c r="E1783"/>
      <c r="F1783"/>
      <c r="G1783"/>
      <c r="H1783"/>
      <c r="I1783"/>
      <c r="J1783"/>
      <c r="K1783"/>
    </row>
    <row r="1784" spans="1:11" ht="12.75" x14ac:dyDescent="0.35">
      <c r="A1784"/>
      <c r="B1784"/>
      <c r="C1784"/>
      <c r="D1784"/>
      <c r="E1784"/>
      <c r="F1784"/>
      <c r="G1784"/>
      <c r="H1784"/>
      <c r="I1784"/>
      <c r="J1784"/>
      <c r="K1784"/>
    </row>
    <row r="1785" spans="1:11" ht="12.75" x14ac:dyDescent="0.35">
      <c r="A1785"/>
      <c r="B1785"/>
      <c r="C1785"/>
      <c r="D1785"/>
      <c r="E1785"/>
      <c r="F1785"/>
      <c r="G1785"/>
      <c r="H1785"/>
      <c r="I1785"/>
      <c r="J1785"/>
      <c r="K1785"/>
    </row>
    <row r="1786" spans="1:11" ht="12.75" x14ac:dyDescent="0.35">
      <c r="A1786"/>
      <c r="B1786"/>
      <c r="C1786"/>
      <c r="D1786"/>
      <c r="E1786"/>
      <c r="F1786"/>
      <c r="G1786"/>
      <c r="H1786"/>
      <c r="I1786"/>
      <c r="J1786"/>
      <c r="K1786"/>
    </row>
    <row r="1787" spans="1:11" ht="12.75" x14ac:dyDescent="0.35">
      <c r="A1787"/>
      <c r="B1787"/>
      <c r="C1787"/>
      <c r="D1787"/>
      <c r="E1787"/>
      <c r="F1787"/>
      <c r="G1787"/>
      <c r="H1787"/>
      <c r="I1787"/>
      <c r="J1787"/>
      <c r="K1787"/>
    </row>
    <row r="1788" spans="1:11" ht="12.75" x14ac:dyDescent="0.35">
      <c r="A1788"/>
      <c r="B1788"/>
      <c r="C1788"/>
      <c r="D1788"/>
      <c r="E1788"/>
      <c r="F1788"/>
      <c r="G1788"/>
      <c r="H1788"/>
      <c r="I1788"/>
      <c r="J1788"/>
      <c r="K1788"/>
    </row>
    <row r="1789" spans="1:11" ht="12.75" x14ac:dyDescent="0.35">
      <c r="A1789"/>
      <c r="B1789"/>
      <c r="C1789"/>
      <c r="D1789"/>
      <c r="E1789"/>
      <c r="F1789"/>
      <c r="G1789"/>
      <c r="H1789"/>
      <c r="I1789"/>
      <c r="J1789"/>
      <c r="K1789"/>
    </row>
    <row r="1790" spans="1:11" ht="12.75" x14ac:dyDescent="0.35">
      <c r="A1790"/>
      <c r="B1790"/>
      <c r="C1790"/>
      <c r="D1790"/>
      <c r="E1790"/>
      <c r="F1790"/>
      <c r="G1790"/>
      <c r="H1790"/>
      <c r="I1790"/>
      <c r="J1790"/>
      <c r="K1790"/>
    </row>
    <row r="1791" spans="1:11" ht="12.75" x14ac:dyDescent="0.35">
      <c r="A1791"/>
      <c r="B1791"/>
      <c r="C1791"/>
      <c r="D1791"/>
      <c r="E1791"/>
      <c r="F1791"/>
      <c r="G1791"/>
      <c r="H1791"/>
      <c r="I1791"/>
      <c r="J1791"/>
      <c r="K1791"/>
    </row>
    <row r="1792" spans="1:11" ht="12.75" x14ac:dyDescent="0.35">
      <c r="A1792"/>
      <c r="B1792"/>
      <c r="C1792"/>
      <c r="D1792"/>
      <c r="E1792"/>
      <c r="F1792"/>
      <c r="G1792"/>
      <c r="H1792"/>
      <c r="I1792"/>
      <c r="J1792"/>
      <c r="K1792"/>
    </row>
    <row r="1793" spans="1:11" ht="12.75" x14ac:dyDescent="0.35">
      <c r="A1793"/>
      <c r="B1793"/>
      <c r="C1793"/>
      <c r="D1793"/>
      <c r="E1793"/>
      <c r="F1793"/>
      <c r="G1793"/>
      <c r="H1793"/>
      <c r="I1793"/>
      <c r="J1793"/>
      <c r="K1793"/>
    </row>
    <row r="1794" spans="1:11" ht="12.75" x14ac:dyDescent="0.35">
      <c r="A1794"/>
      <c r="B1794"/>
      <c r="C1794"/>
      <c r="D1794"/>
      <c r="E1794"/>
      <c r="F1794"/>
      <c r="G1794"/>
      <c r="H1794"/>
      <c r="I1794"/>
      <c r="J1794"/>
      <c r="K1794"/>
    </row>
    <row r="1795" spans="1:11" ht="12.75" x14ac:dyDescent="0.35">
      <c r="A1795"/>
      <c r="B1795"/>
      <c r="C1795"/>
      <c r="D1795"/>
      <c r="E1795"/>
      <c r="F1795"/>
      <c r="G1795"/>
      <c r="H1795"/>
      <c r="I1795"/>
      <c r="J1795"/>
      <c r="K1795"/>
    </row>
    <row r="1796" spans="1:11" ht="12.75" x14ac:dyDescent="0.35">
      <c r="A1796"/>
      <c r="B1796"/>
      <c r="C1796"/>
      <c r="D1796"/>
      <c r="E1796"/>
      <c r="F1796"/>
      <c r="G1796"/>
      <c r="H1796"/>
      <c r="I1796"/>
      <c r="J1796"/>
      <c r="K1796"/>
    </row>
    <row r="1797" spans="1:11" ht="12.75" x14ac:dyDescent="0.35">
      <c r="A1797"/>
      <c r="B1797"/>
      <c r="C1797"/>
      <c r="D1797"/>
      <c r="E1797"/>
      <c r="F1797"/>
      <c r="G1797"/>
      <c r="H1797"/>
      <c r="I1797"/>
      <c r="J1797"/>
      <c r="K1797"/>
    </row>
    <row r="1798" spans="1:11" ht="12.75" x14ac:dyDescent="0.35">
      <c r="A1798"/>
      <c r="B1798"/>
      <c r="C1798"/>
      <c r="D1798"/>
      <c r="E1798"/>
      <c r="F1798"/>
      <c r="G1798"/>
      <c r="H1798"/>
      <c r="I1798"/>
      <c r="J1798"/>
      <c r="K1798"/>
    </row>
    <row r="1799" spans="1:11" ht="12.75" x14ac:dyDescent="0.35">
      <c r="A1799"/>
      <c r="B1799"/>
      <c r="C1799"/>
      <c r="D1799"/>
      <c r="E1799"/>
      <c r="F1799"/>
      <c r="G1799"/>
      <c r="H1799"/>
      <c r="I1799"/>
      <c r="J1799"/>
      <c r="K1799"/>
    </row>
    <row r="1800" spans="1:11" ht="12.75" x14ac:dyDescent="0.35">
      <c r="A1800"/>
      <c r="B1800"/>
      <c r="C1800"/>
      <c r="D1800"/>
      <c r="E1800"/>
      <c r="F1800"/>
      <c r="G1800"/>
      <c r="H1800"/>
      <c r="I1800"/>
      <c r="J1800"/>
      <c r="K1800"/>
    </row>
    <row r="1801" spans="1:11" ht="12.75" x14ac:dyDescent="0.35">
      <c r="A1801"/>
      <c r="B1801"/>
      <c r="C1801"/>
      <c r="D1801"/>
      <c r="E1801"/>
      <c r="F1801"/>
      <c r="G1801"/>
      <c r="H1801"/>
      <c r="I1801"/>
      <c r="J1801"/>
      <c r="K1801"/>
    </row>
    <row r="1802" spans="1:11" ht="12.75" x14ac:dyDescent="0.35">
      <c r="A1802"/>
      <c r="B1802"/>
      <c r="C1802"/>
      <c r="D1802"/>
      <c r="E1802"/>
      <c r="F1802"/>
      <c r="G1802"/>
      <c r="H1802"/>
      <c r="I1802"/>
      <c r="J1802"/>
      <c r="K1802"/>
    </row>
    <row r="1803" spans="1:11" ht="12.75" x14ac:dyDescent="0.35">
      <c r="A1803"/>
      <c r="B1803"/>
      <c r="C1803"/>
      <c r="D1803"/>
      <c r="E1803"/>
      <c r="F1803"/>
      <c r="G1803"/>
      <c r="H1803"/>
      <c r="I1803"/>
      <c r="J1803"/>
      <c r="K1803"/>
    </row>
    <row r="1804" spans="1:11" ht="12.75" x14ac:dyDescent="0.35">
      <c r="A1804"/>
      <c r="B1804"/>
      <c r="C1804"/>
      <c r="D1804"/>
      <c r="E1804"/>
      <c r="F1804"/>
      <c r="G1804"/>
      <c r="H1804"/>
      <c r="I1804"/>
      <c r="J1804"/>
      <c r="K1804"/>
    </row>
    <row r="1805" spans="1:11" ht="12.75" x14ac:dyDescent="0.35">
      <c r="A1805"/>
      <c r="B1805"/>
      <c r="C1805"/>
      <c r="D1805"/>
      <c r="E1805"/>
      <c r="F1805"/>
      <c r="G1805"/>
      <c r="H1805"/>
      <c r="I1805"/>
      <c r="J1805"/>
      <c r="K1805"/>
    </row>
    <row r="1806" spans="1:11" ht="12.75" x14ac:dyDescent="0.35">
      <c r="A1806"/>
      <c r="B1806"/>
      <c r="C1806"/>
      <c r="D1806"/>
      <c r="E1806"/>
      <c r="F1806"/>
      <c r="G1806"/>
      <c r="H1806"/>
      <c r="I1806"/>
      <c r="J1806"/>
      <c r="K1806"/>
    </row>
    <row r="1807" spans="1:11" ht="12.75" x14ac:dyDescent="0.35">
      <c r="A1807"/>
      <c r="B1807"/>
      <c r="C1807"/>
      <c r="D1807"/>
      <c r="E1807"/>
      <c r="F1807"/>
      <c r="G1807"/>
      <c r="H1807"/>
      <c r="I1807"/>
      <c r="J1807"/>
      <c r="K1807"/>
    </row>
    <row r="1808" spans="1:11" ht="12.75" x14ac:dyDescent="0.35">
      <c r="A1808"/>
      <c r="B1808"/>
      <c r="C1808"/>
      <c r="D1808"/>
      <c r="E1808"/>
      <c r="F1808"/>
      <c r="G1808"/>
      <c r="H1808"/>
      <c r="I1808"/>
      <c r="J1808"/>
      <c r="K1808"/>
    </row>
    <row r="1809" spans="1:11" ht="12.75" x14ac:dyDescent="0.35">
      <c r="A1809"/>
      <c r="B1809"/>
      <c r="C1809"/>
      <c r="D1809"/>
      <c r="E1809"/>
      <c r="F1809"/>
      <c r="G1809"/>
      <c r="H1809"/>
      <c r="I1809"/>
      <c r="J1809"/>
      <c r="K1809"/>
    </row>
    <row r="1810" spans="1:11" ht="12.75" x14ac:dyDescent="0.35">
      <c r="A1810"/>
      <c r="B1810"/>
      <c r="C1810"/>
      <c r="D1810"/>
      <c r="E1810"/>
      <c r="F1810"/>
      <c r="G1810"/>
      <c r="H1810"/>
      <c r="I1810"/>
      <c r="J1810"/>
      <c r="K1810"/>
    </row>
    <row r="1811" spans="1:11" ht="12.75" x14ac:dyDescent="0.35">
      <c r="A1811"/>
      <c r="B1811"/>
      <c r="C1811"/>
      <c r="D1811"/>
      <c r="E1811"/>
      <c r="F1811"/>
      <c r="G1811"/>
      <c r="H1811"/>
      <c r="I1811"/>
      <c r="J1811"/>
      <c r="K1811"/>
    </row>
    <row r="1812" spans="1:11" ht="12.75" x14ac:dyDescent="0.35">
      <c r="A1812"/>
      <c r="B1812"/>
      <c r="C1812"/>
      <c r="D1812"/>
      <c r="E1812"/>
      <c r="F1812"/>
      <c r="G1812"/>
      <c r="H1812"/>
      <c r="I1812"/>
      <c r="J1812"/>
      <c r="K1812"/>
    </row>
    <row r="1813" spans="1:11" ht="12.75" x14ac:dyDescent="0.35">
      <c r="A1813"/>
      <c r="B1813"/>
      <c r="C1813"/>
      <c r="D1813"/>
      <c r="E1813"/>
      <c r="F1813"/>
      <c r="G1813"/>
      <c r="H1813"/>
      <c r="I1813"/>
      <c r="J1813"/>
      <c r="K1813"/>
    </row>
    <row r="1814" spans="1:11" ht="12.75" x14ac:dyDescent="0.35">
      <c r="A1814"/>
      <c r="B1814"/>
      <c r="C1814"/>
      <c r="D1814"/>
      <c r="E1814"/>
      <c r="F1814"/>
      <c r="G1814"/>
      <c r="H1814"/>
      <c r="I1814"/>
      <c r="J1814"/>
      <c r="K1814"/>
    </row>
    <row r="1815" spans="1:11" ht="12.75" x14ac:dyDescent="0.35">
      <c r="A1815"/>
      <c r="B1815"/>
      <c r="C1815"/>
      <c r="D1815"/>
      <c r="E1815"/>
      <c r="F1815"/>
      <c r="G1815"/>
      <c r="H1815"/>
      <c r="I1815"/>
      <c r="J1815"/>
      <c r="K1815"/>
    </row>
    <row r="1816" spans="1:11" ht="12.75" x14ac:dyDescent="0.35">
      <c r="A1816"/>
      <c r="B1816"/>
      <c r="C1816"/>
      <c r="D1816"/>
      <c r="E1816"/>
      <c r="F1816"/>
      <c r="G1816"/>
      <c r="H1816"/>
      <c r="I1816"/>
      <c r="J1816"/>
      <c r="K1816"/>
    </row>
    <row r="1817" spans="1:11" ht="12.75" x14ac:dyDescent="0.35">
      <c r="A1817"/>
      <c r="B1817"/>
      <c r="C1817"/>
      <c r="D1817"/>
      <c r="E1817"/>
      <c r="F1817"/>
      <c r="G1817"/>
      <c r="H1817"/>
      <c r="I1817"/>
      <c r="J1817"/>
      <c r="K1817"/>
    </row>
    <row r="1818" spans="1:11" ht="12.75" x14ac:dyDescent="0.35">
      <c r="A1818"/>
      <c r="B1818"/>
      <c r="C1818"/>
      <c r="D1818"/>
      <c r="E1818"/>
      <c r="F1818"/>
      <c r="G1818"/>
      <c r="H1818"/>
      <c r="I1818"/>
      <c r="J1818"/>
      <c r="K1818"/>
    </row>
    <row r="1819" spans="1:11" ht="12.75" x14ac:dyDescent="0.35">
      <c r="A1819"/>
      <c r="B1819"/>
      <c r="C1819"/>
      <c r="D1819"/>
      <c r="E1819"/>
      <c r="F1819"/>
      <c r="G1819"/>
      <c r="H1819"/>
      <c r="I1819"/>
      <c r="J1819"/>
      <c r="K1819"/>
    </row>
    <row r="1820" spans="1:11" ht="12.75" x14ac:dyDescent="0.35">
      <c r="A1820"/>
      <c r="B1820"/>
      <c r="C1820"/>
      <c r="D1820"/>
      <c r="E1820"/>
      <c r="F1820"/>
      <c r="G1820"/>
      <c r="H1820"/>
      <c r="I1820"/>
      <c r="J1820"/>
      <c r="K1820"/>
    </row>
    <row r="1821" spans="1:11" ht="12.75" x14ac:dyDescent="0.35">
      <c r="A1821"/>
      <c r="B1821"/>
      <c r="C1821"/>
      <c r="D1821"/>
      <c r="E1821"/>
      <c r="F1821"/>
      <c r="G1821"/>
      <c r="H1821"/>
      <c r="I1821"/>
      <c r="J1821"/>
      <c r="K1821"/>
    </row>
    <row r="1822" spans="1:11" ht="12.75" x14ac:dyDescent="0.35">
      <c r="A1822"/>
      <c r="B1822"/>
      <c r="C1822"/>
      <c r="D1822"/>
      <c r="E1822"/>
      <c r="F1822"/>
      <c r="G1822"/>
      <c r="H1822"/>
      <c r="I1822"/>
      <c r="J1822"/>
      <c r="K1822"/>
    </row>
    <row r="1823" spans="1:11" ht="12.75" x14ac:dyDescent="0.35">
      <c r="A1823"/>
      <c r="B1823"/>
      <c r="C1823"/>
      <c r="D1823"/>
      <c r="E1823"/>
      <c r="F1823"/>
      <c r="G1823"/>
      <c r="H1823"/>
      <c r="I1823"/>
      <c r="J1823"/>
      <c r="K1823"/>
    </row>
    <row r="1824" spans="1:11" ht="12.75" x14ac:dyDescent="0.35">
      <c r="A1824"/>
      <c r="B1824"/>
      <c r="C1824"/>
      <c r="D1824"/>
      <c r="E1824"/>
      <c r="F1824"/>
      <c r="G1824"/>
      <c r="H1824"/>
      <c r="I1824"/>
      <c r="J1824"/>
      <c r="K1824"/>
    </row>
    <row r="1825" spans="1:11" ht="12.75" x14ac:dyDescent="0.35">
      <c r="A1825"/>
      <c r="B1825"/>
      <c r="C1825"/>
      <c r="D1825"/>
      <c r="E1825"/>
      <c r="F1825"/>
      <c r="G1825"/>
      <c r="H1825"/>
      <c r="I1825"/>
      <c r="J1825"/>
      <c r="K1825"/>
    </row>
    <row r="1826" spans="1:11" ht="12.75" x14ac:dyDescent="0.35">
      <c r="A1826"/>
      <c r="B1826"/>
      <c r="C1826"/>
      <c r="D1826"/>
      <c r="E1826"/>
      <c r="F1826"/>
      <c r="G1826"/>
      <c r="H1826"/>
      <c r="I1826"/>
      <c r="J1826"/>
      <c r="K1826"/>
    </row>
    <row r="1827" spans="1:11" ht="12.75" x14ac:dyDescent="0.35">
      <c r="A1827"/>
      <c r="B1827"/>
      <c r="C1827"/>
      <c r="D1827"/>
      <c r="E1827"/>
      <c r="F1827"/>
      <c r="G1827"/>
      <c r="H1827"/>
      <c r="I1827"/>
      <c r="J1827"/>
      <c r="K1827"/>
    </row>
    <row r="1828" spans="1:11" ht="12.75" x14ac:dyDescent="0.35">
      <c r="A1828"/>
      <c r="B1828"/>
      <c r="C1828"/>
      <c r="D1828"/>
      <c r="E1828"/>
      <c r="F1828"/>
      <c r="G1828"/>
      <c r="H1828"/>
      <c r="I1828"/>
      <c r="J1828"/>
      <c r="K1828"/>
    </row>
    <row r="1829" spans="1:11" ht="12.75" x14ac:dyDescent="0.35">
      <c r="A1829"/>
      <c r="B1829"/>
      <c r="C1829"/>
      <c r="D1829"/>
      <c r="E1829"/>
      <c r="F1829"/>
      <c r="G1829"/>
      <c r="H1829"/>
      <c r="I1829"/>
      <c r="J1829"/>
      <c r="K1829"/>
    </row>
    <row r="1830" spans="1:11" ht="12.75" x14ac:dyDescent="0.35">
      <c r="A1830"/>
      <c r="B1830"/>
      <c r="C1830"/>
      <c r="D1830"/>
      <c r="E1830"/>
      <c r="F1830"/>
      <c r="G1830"/>
      <c r="H1830"/>
      <c r="I1830"/>
      <c r="J1830"/>
      <c r="K1830"/>
    </row>
    <row r="1831" spans="1:11" ht="12.75" x14ac:dyDescent="0.35">
      <c r="A1831"/>
      <c r="B1831"/>
      <c r="C1831"/>
      <c r="D1831"/>
      <c r="E1831"/>
      <c r="F1831"/>
      <c r="G1831"/>
      <c r="H1831"/>
      <c r="I1831"/>
      <c r="J1831"/>
      <c r="K1831"/>
    </row>
    <row r="1832" spans="1:11" ht="12.75" x14ac:dyDescent="0.35">
      <c r="A1832"/>
      <c r="B1832"/>
      <c r="C1832"/>
      <c r="D1832"/>
      <c r="E1832"/>
      <c r="F1832"/>
      <c r="G1832"/>
      <c r="H1832"/>
      <c r="I1832"/>
      <c r="J1832"/>
      <c r="K1832"/>
    </row>
    <row r="1833" spans="1:11" ht="12.75" x14ac:dyDescent="0.35">
      <c r="A1833"/>
      <c r="B1833"/>
      <c r="C1833"/>
      <c r="D1833"/>
      <c r="E1833"/>
      <c r="F1833"/>
      <c r="G1833"/>
      <c r="H1833"/>
      <c r="I1833"/>
      <c r="J1833"/>
      <c r="K1833"/>
    </row>
    <row r="1834" spans="1:11" ht="12.75" x14ac:dyDescent="0.35">
      <c r="A1834"/>
      <c r="B1834"/>
      <c r="C1834"/>
      <c r="D1834"/>
      <c r="E1834"/>
      <c r="F1834"/>
      <c r="G1834"/>
      <c r="H1834"/>
      <c r="I1834"/>
      <c r="J1834"/>
      <c r="K1834"/>
    </row>
    <row r="1835" spans="1:11" ht="12.75" x14ac:dyDescent="0.35">
      <c r="A1835"/>
      <c r="B1835"/>
      <c r="C1835"/>
      <c r="D1835"/>
      <c r="E1835"/>
      <c r="F1835"/>
      <c r="G1835"/>
      <c r="H1835"/>
      <c r="I1835"/>
      <c r="J1835"/>
      <c r="K1835"/>
    </row>
    <row r="1836" spans="1:11" ht="12.75" x14ac:dyDescent="0.35">
      <c r="A1836"/>
      <c r="B1836"/>
      <c r="C1836"/>
      <c r="D1836"/>
      <c r="E1836"/>
      <c r="F1836"/>
      <c r="G1836"/>
      <c r="H1836"/>
      <c r="I1836"/>
      <c r="J1836"/>
      <c r="K1836"/>
    </row>
    <row r="1837" spans="1:11" ht="12.75" x14ac:dyDescent="0.35">
      <c r="A1837"/>
      <c r="B1837"/>
      <c r="C1837"/>
      <c r="D1837"/>
      <c r="E1837"/>
      <c r="F1837"/>
      <c r="G1837"/>
      <c r="H1837"/>
      <c r="I1837"/>
      <c r="J1837"/>
      <c r="K1837"/>
    </row>
    <row r="1838" spans="1:11" ht="12.75" x14ac:dyDescent="0.35">
      <c r="A1838"/>
      <c r="B1838"/>
      <c r="C1838"/>
      <c r="D1838"/>
      <c r="E1838"/>
      <c r="F1838"/>
      <c r="G1838"/>
      <c r="H1838"/>
      <c r="I1838"/>
      <c r="J1838"/>
      <c r="K1838"/>
    </row>
    <row r="1839" spans="1:11" ht="12.75" x14ac:dyDescent="0.35">
      <c r="A1839"/>
      <c r="B1839"/>
      <c r="C1839"/>
      <c r="D1839"/>
      <c r="E1839"/>
      <c r="F1839"/>
      <c r="G1839"/>
      <c r="H1839"/>
      <c r="I1839"/>
      <c r="J1839"/>
      <c r="K1839"/>
    </row>
    <row r="1840" spans="1:11" ht="12.75" x14ac:dyDescent="0.35">
      <c r="A1840"/>
      <c r="B1840"/>
      <c r="C1840"/>
      <c r="D1840"/>
      <c r="E1840"/>
      <c r="F1840"/>
      <c r="G1840"/>
      <c r="H1840"/>
      <c r="I1840"/>
      <c r="J1840"/>
      <c r="K1840"/>
    </row>
    <row r="1841" spans="1:11" ht="12.75" x14ac:dyDescent="0.35">
      <c r="A1841"/>
      <c r="B1841"/>
      <c r="C1841"/>
      <c r="D1841"/>
      <c r="E1841"/>
      <c r="F1841"/>
      <c r="G1841"/>
      <c r="H1841"/>
      <c r="I1841"/>
      <c r="J1841"/>
      <c r="K1841"/>
    </row>
    <row r="1842" spans="1:11" ht="12.75" x14ac:dyDescent="0.35">
      <c r="A1842"/>
      <c r="B1842"/>
      <c r="C1842"/>
      <c r="D1842"/>
      <c r="E1842"/>
      <c r="F1842"/>
      <c r="G1842"/>
      <c r="H1842"/>
      <c r="I1842"/>
      <c r="J1842"/>
      <c r="K1842"/>
    </row>
    <row r="1843" spans="1:11" ht="12.75" x14ac:dyDescent="0.35">
      <c r="A1843"/>
      <c r="B1843"/>
      <c r="C1843"/>
      <c r="D1843"/>
      <c r="E1843"/>
      <c r="F1843"/>
      <c r="G1843"/>
      <c r="H1843"/>
      <c r="I1843"/>
      <c r="J1843"/>
      <c r="K1843"/>
    </row>
    <row r="1844" spans="1:11" ht="12.75" x14ac:dyDescent="0.35">
      <c r="A1844"/>
      <c r="B1844"/>
      <c r="C1844"/>
      <c r="D1844"/>
      <c r="E1844"/>
      <c r="F1844"/>
      <c r="G1844"/>
      <c r="H1844"/>
      <c r="I1844"/>
      <c r="J1844"/>
      <c r="K1844"/>
    </row>
    <row r="1845" spans="1:11" ht="12.75" x14ac:dyDescent="0.35">
      <c r="A1845"/>
      <c r="B1845"/>
      <c r="C1845"/>
      <c r="D1845"/>
      <c r="E1845"/>
      <c r="F1845"/>
      <c r="G1845"/>
      <c r="H1845"/>
      <c r="I1845"/>
      <c r="J1845"/>
      <c r="K1845"/>
    </row>
    <row r="1846" spans="1:11" ht="12.75" x14ac:dyDescent="0.35">
      <c r="A1846"/>
      <c r="B1846"/>
      <c r="C1846"/>
      <c r="D1846"/>
      <c r="E1846"/>
      <c r="F1846"/>
      <c r="G1846"/>
      <c r="H1846"/>
      <c r="I1846"/>
      <c r="J1846"/>
      <c r="K1846"/>
    </row>
    <row r="1847" spans="1:11" ht="12.75" x14ac:dyDescent="0.35">
      <c r="A1847"/>
      <c r="B1847"/>
      <c r="C1847"/>
      <c r="D1847"/>
      <c r="E1847"/>
      <c r="F1847"/>
      <c r="G1847"/>
      <c r="H1847"/>
      <c r="I1847"/>
      <c r="J1847"/>
      <c r="K1847"/>
    </row>
    <row r="1848" spans="1:11" ht="12.75" x14ac:dyDescent="0.35">
      <c r="A1848"/>
      <c r="B1848"/>
      <c r="C1848"/>
      <c r="D1848"/>
      <c r="E1848"/>
      <c r="F1848"/>
      <c r="G1848"/>
      <c r="H1848"/>
      <c r="I1848"/>
      <c r="J1848"/>
      <c r="K1848"/>
    </row>
    <row r="1849" spans="1:11" ht="12.75" x14ac:dyDescent="0.35">
      <c r="A1849"/>
      <c r="B1849"/>
      <c r="C1849"/>
      <c r="D1849"/>
      <c r="E1849"/>
      <c r="F1849"/>
      <c r="G1849"/>
      <c r="H1849"/>
      <c r="I1849"/>
      <c r="J1849"/>
      <c r="K1849"/>
    </row>
    <row r="1850" spans="1:11" ht="12.75" x14ac:dyDescent="0.35">
      <c r="A1850"/>
      <c r="B1850"/>
      <c r="C1850"/>
      <c r="D1850"/>
      <c r="E1850"/>
      <c r="F1850"/>
      <c r="G1850"/>
      <c r="H1850"/>
      <c r="I1850"/>
      <c r="J1850"/>
      <c r="K1850"/>
    </row>
    <row r="1851" spans="1:11" ht="12.75" x14ac:dyDescent="0.35">
      <c r="A1851"/>
      <c r="B1851"/>
      <c r="C1851"/>
      <c r="D1851"/>
      <c r="E1851"/>
      <c r="F1851"/>
      <c r="G1851"/>
      <c r="H1851"/>
      <c r="I1851"/>
      <c r="J1851"/>
      <c r="K1851"/>
    </row>
    <row r="1852" spans="1:11" ht="12.75" x14ac:dyDescent="0.35">
      <c r="A1852"/>
      <c r="B1852"/>
      <c r="C1852"/>
      <c r="D1852"/>
      <c r="E1852"/>
      <c r="F1852"/>
      <c r="G1852"/>
      <c r="H1852"/>
      <c r="I1852"/>
      <c r="J1852"/>
      <c r="K1852"/>
    </row>
    <row r="1853" spans="1:11" ht="12.75" x14ac:dyDescent="0.35">
      <c r="A1853"/>
      <c r="B1853"/>
      <c r="C1853"/>
      <c r="D1853"/>
      <c r="E1853"/>
      <c r="F1853"/>
      <c r="G1853"/>
      <c r="H1853"/>
      <c r="I1853"/>
      <c r="J1853"/>
      <c r="K1853"/>
    </row>
    <row r="1854" spans="1:11" ht="12.75" x14ac:dyDescent="0.35">
      <c r="A1854"/>
      <c r="B1854"/>
      <c r="C1854"/>
      <c r="D1854"/>
      <c r="E1854"/>
      <c r="F1854"/>
      <c r="G1854"/>
      <c r="H1854"/>
      <c r="I1854"/>
      <c r="J1854"/>
      <c r="K1854"/>
    </row>
    <row r="1855" spans="1:11" ht="12.75" x14ac:dyDescent="0.35">
      <c r="A1855"/>
      <c r="B1855"/>
      <c r="C1855"/>
      <c r="D1855"/>
      <c r="E1855"/>
      <c r="F1855"/>
      <c r="G1855"/>
      <c r="H1855"/>
      <c r="I1855"/>
      <c r="J1855"/>
      <c r="K1855"/>
    </row>
    <row r="1856" spans="1:11" ht="12.75" x14ac:dyDescent="0.35">
      <c r="A1856"/>
      <c r="B1856"/>
      <c r="C1856"/>
      <c r="D1856"/>
      <c r="E1856"/>
      <c r="F1856"/>
      <c r="G1856"/>
      <c r="H1856"/>
      <c r="I1856"/>
      <c r="J1856"/>
      <c r="K1856"/>
    </row>
    <row r="1857" spans="1:11" ht="12.75" x14ac:dyDescent="0.35">
      <c r="A1857"/>
      <c r="B1857"/>
      <c r="C1857"/>
      <c r="D1857"/>
      <c r="E1857"/>
      <c r="F1857"/>
      <c r="G1857"/>
      <c r="H1857"/>
      <c r="I1857"/>
      <c r="J1857"/>
      <c r="K1857"/>
    </row>
    <row r="1858" spans="1:11" ht="12.75" x14ac:dyDescent="0.35">
      <c r="A1858"/>
      <c r="B1858"/>
      <c r="C1858"/>
      <c r="D1858"/>
      <c r="E1858"/>
      <c r="F1858"/>
      <c r="G1858"/>
      <c r="H1858"/>
      <c r="I1858"/>
      <c r="J1858"/>
      <c r="K1858"/>
    </row>
    <row r="1859" spans="1:11" ht="12.75" x14ac:dyDescent="0.35">
      <c r="A1859"/>
      <c r="B1859"/>
      <c r="C1859"/>
      <c r="D1859"/>
      <c r="E1859"/>
      <c r="F1859"/>
      <c r="G1859"/>
      <c r="H1859"/>
      <c r="I1859"/>
      <c r="J1859"/>
      <c r="K1859"/>
    </row>
    <row r="1860" spans="1:11" ht="12.75" x14ac:dyDescent="0.35">
      <c r="A1860"/>
      <c r="B1860"/>
      <c r="C1860"/>
      <c r="D1860"/>
      <c r="E1860"/>
      <c r="F1860"/>
      <c r="G1860"/>
      <c r="H1860"/>
      <c r="I1860"/>
      <c r="J1860"/>
      <c r="K1860"/>
    </row>
    <row r="1861" spans="1:11" ht="12.75" x14ac:dyDescent="0.35">
      <c r="A1861"/>
      <c r="B1861"/>
      <c r="C1861"/>
      <c r="D1861"/>
      <c r="E1861"/>
      <c r="F1861"/>
      <c r="G1861"/>
      <c r="H1861"/>
      <c r="I1861"/>
      <c r="J1861"/>
      <c r="K1861"/>
    </row>
    <row r="1862" spans="1:11" ht="12.75" x14ac:dyDescent="0.35">
      <c r="A1862"/>
      <c r="B1862"/>
      <c r="C1862"/>
      <c r="D1862"/>
      <c r="E1862"/>
      <c r="F1862"/>
      <c r="G1862"/>
      <c r="H1862"/>
      <c r="I1862"/>
      <c r="J1862"/>
      <c r="K1862"/>
    </row>
    <row r="1863" spans="1:11" ht="12.75" x14ac:dyDescent="0.35">
      <c r="A1863"/>
      <c r="B1863"/>
      <c r="C1863"/>
      <c r="D1863"/>
      <c r="E1863"/>
      <c r="F1863"/>
      <c r="G1863"/>
      <c r="H1863"/>
      <c r="I1863"/>
      <c r="J1863"/>
      <c r="K1863"/>
    </row>
    <row r="1864" spans="1:11" ht="12.75" x14ac:dyDescent="0.35">
      <c r="A1864"/>
      <c r="B1864"/>
      <c r="C1864"/>
      <c r="D1864"/>
      <c r="E1864"/>
      <c r="F1864"/>
      <c r="G1864"/>
      <c r="H1864"/>
      <c r="I1864"/>
      <c r="J1864"/>
      <c r="K1864"/>
    </row>
    <row r="1865" spans="1:11" ht="12.75" x14ac:dyDescent="0.35">
      <c r="A1865"/>
      <c r="B1865"/>
      <c r="C1865"/>
      <c r="D1865"/>
      <c r="E1865"/>
      <c r="F1865"/>
      <c r="G1865"/>
      <c r="H1865"/>
      <c r="I1865"/>
      <c r="J1865"/>
      <c r="K1865"/>
    </row>
    <row r="1866" spans="1:11" ht="12.75" x14ac:dyDescent="0.35">
      <c r="A1866"/>
      <c r="B1866"/>
      <c r="C1866"/>
      <c r="D1866"/>
      <c r="E1866"/>
      <c r="F1866"/>
      <c r="G1866"/>
      <c r="H1866"/>
      <c r="I1866"/>
      <c r="J1866"/>
      <c r="K1866"/>
    </row>
    <row r="1867" spans="1:11" ht="12.75" x14ac:dyDescent="0.35">
      <c r="A1867"/>
      <c r="B1867"/>
      <c r="C1867"/>
      <c r="D1867"/>
      <c r="E1867"/>
      <c r="F1867"/>
      <c r="G1867"/>
      <c r="H1867"/>
      <c r="I1867"/>
      <c r="J1867"/>
      <c r="K1867"/>
    </row>
    <row r="1868" spans="1:11" ht="12.75" x14ac:dyDescent="0.35">
      <c r="A1868"/>
      <c r="B1868"/>
      <c r="C1868"/>
      <c r="D1868"/>
      <c r="E1868"/>
      <c r="F1868"/>
      <c r="G1868"/>
      <c r="H1868"/>
      <c r="I1868"/>
      <c r="J1868"/>
      <c r="K1868"/>
    </row>
    <row r="1869" spans="1:11" ht="12.75" x14ac:dyDescent="0.35">
      <c r="A1869"/>
      <c r="B1869"/>
      <c r="C1869"/>
      <c r="D1869"/>
      <c r="E1869"/>
      <c r="F1869"/>
      <c r="G1869"/>
      <c r="H1869"/>
      <c r="I1869"/>
      <c r="J1869"/>
      <c r="K1869"/>
    </row>
    <row r="1870" spans="1:11" ht="12.75" x14ac:dyDescent="0.35">
      <c r="A1870"/>
      <c r="B1870"/>
      <c r="C1870"/>
      <c r="D1870"/>
      <c r="E1870"/>
      <c r="F1870"/>
      <c r="G1870"/>
      <c r="H1870"/>
      <c r="I1870"/>
      <c r="J1870"/>
      <c r="K1870"/>
    </row>
    <row r="1871" spans="1:11" ht="12.75" x14ac:dyDescent="0.35">
      <c r="A1871"/>
      <c r="B1871"/>
      <c r="C1871"/>
      <c r="D1871"/>
      <c r="E1871"/>
      <c r="F1871"/>
      <c r="G1871"/>
      <c r="H1871"/>
      <c r="I1871"/>
      <c r="J1871"/>
      <c r="K1871"/>
    </row>
    <row r="1872" spans="1:11" ht="12.75" x14ac:dyDescent="0.35">
      <c r="A1872"/>
      <c r="B1872"/>
      <c r="C1872"/>
      <c r="D1872"/>
      <c r="E1872"/>
      <c r="F1872"/>
      <c r="G1872"/>
      <c r="H1872"/>
      <c r="I1872"/>
      <c r="J1872"/>
      <c r="K1872"/>
    </row>
    <row r="1873" spans="1:11" ht="12.75" x14ac:dyDescent="0.35">
      <c r="A1873"/>
      <c r="B1873"/>
      <c r="C1873"/>
      <c r="D1873"/>
      <c r="E1873"/>
      <c r="F1873"/>
      <c r="G1873"/>
      <c r="H1873"/>
      <c r="I1873"/>
      <c r="J1873"/>
      <c r="K1873"/>
    </row>
    <row r="1874" spans="1:11" ht="12.75" x14ac:dyDescent="0.35">
      <c r="A1874"/>
      <c r="B1874"/>
      <c r="C1874"/>
      <c r="D1874"/>
      <c r="E1874"/>
      <c r="F1874"/>
      <c r="G1874"/>
      <c r="H1874"/>
      <c r="I1874"/>
      <c r="J1874"/>
      <c r="K1874"/>
    </row>
    <row r="1875" spans="1:11" ht="12.75" x14ac:dyDescent="0.35">
      <c r="A1875"/>
      <c r="B1875"/>
      <c r="C1875"/>
      <c r="D1875"/>
      <c r="E1875"/>
      <c r="F1875"/>
      <c r="G1875"/>
      <c r="H1875"/>
      <c r="I1875"/>
      <c r="J1875"/>
      <c r="K1875"/>
    </row>
    <row r="1876" spans="1:11" ht="12.75" x14ac:dyDescent="0.35">
      <c r="A1876"/>
      <c r="B1876"/>
      <c r="C1876"/>
      <c r="D1876"/>
      <c r="E1876"/>
      <c r="F1876"/>
      <c r="G1876"/>
      <c r="H1876"/>
      <c r="I1876"/>
      <c r="J1876"/>
      <c r="K1876"/>
    </row>
    <row r="1877" spans="1:11" ht="12.75" x14ac:dyDescent="0.35">
      <c r="A1877"/>
      <c r="B1877"/>
      <c r="C1877"/>
      <c r="D1877"/>
      <c r="E1877"/>
      <c r="F1877"/>
      <c r="G1877"/>
      <c r="H1877"/>
      <c r="I1877"/>
      <c r="J1877"/>
      <c r="K1877"/>
    </row>
    <row r="1878" spans="1:11" ht="12.75" x14ac:dyDescent="0.35">
      <c r="A1878"/>
      <c r="B1878"/>
      <c r="C1878"/>
      <c r="D1878"/>
      <c r="E1878"/>
      <c r="F1878"/>
      <c r="G1878"/>
      <c r="H1878"/>
      <c r="I1878"/>
      <c r="J1878"/>
      <c r="K1878"/>
    </row>
    <row r="1879" spans="1:11" ht="12.75" x14ac:dyDescent="0.35">
      <c r="A1879"/>
      <c r="B1879"/>
      <c r="C1879"/>
      <c r="D1879"/>
      <c r="E1879"/>
      <c r="F1879"/>
      <c r="G1879"/>
      <c r="H1879"/>
      <c r="I1879"/>
      <c r="J1879"/>
      <c r="K1879"/>
    </row>
    <row r="1880" spans="1:11" ht="12.75" x14ac:dyDescent="0.35">
      <c r="A1880"/>
      <c r="B1880"/>
      <c r="C1880"/>
      <c r="D1880"/>
      <c r="E1880"/>
      <c r="F1880"/>
      <c r="G1880"/>
      <c r="H1880"/>
      <c r="I1880"/>
      <c r="J1880"/>
      <c r="K1880"/>
    </row>
    <row r="1881" spans="1:11" ht="12.75" x14ac:dyDescent="0.35">
      <c r="A1881"/>
      <c r="B1881"/>
      <c r="C1881"/>
      <c r="D1881"/>
      <c r="E1881"/>
      <c r="F1881"/>
      <c r="G1881"/>
      <c r="H1881"/>
      <c r="I1881"/>
      <c r="J1881"/>
      <c r="K1881"/>
    </row>
    <row r="1882" spans="1:11" ht="12.75" x14ac:dyDescent="0.35">
      <c r="A1882"/>
      <c r="B1882"/>
      <c r="C1882"/>
      <c r="D1882"/>
      <c r="E1882"/>
      <c r="F1882"/>
      <c r="G1882"/>
      <c r="H1882"/>
      <c r="I1882"/>
      <c r="J1882"/>
      <c r="K1882"/>
    </row>
    <row r="1883" spans="1:11" ht="12.75" x14ac:dyDescent="0.35">
      <c r="A1883"/>
      <c r="B1883"/>
      <c r="C1883"/>
      <c r="D1883"/>
      <c r="E1883"/>
      <c r="F1883"/>
      <c r="G1883"/>
      <c r="H1883"/>
      <c r="I1883"/>
      <c r="J1883"/>
      <c r="K1883"/>
    </row>
    <row r="1884" spans="1:11" ht="12.75" x14ac:dyDescent="0.35">
      <c r="A1884"/>
      <c r="B1884"/>
      <c r="C1884"/>
      <c r="D1884"/>
      <c r="E1884"/>
      <c r="F1884"/>
      <c r="G1884"/>
      <c r="H1884"/>
      <c r="I1884"/>
      <c r="J1884"/>
      <c r="K1884"/>
    </row>
    <row r="1885" spans="1:11" ht="12.75" x14ac:dyDescent="0.35">
      <c r="A1885"/>
      <c r="B1885"/>
      <c r="C1885"/>
      <c r="D1885"/>
      <c r="E1885"/>
      <c r="F1885"/>
      <c r="G1885"/>
      <c r="H1885"/>
      <c r="I1885"/>
      <c r="J1885"/>
      <c r="K1885"/>
    </row>
    <row r="1886" spans="1:11" ht="12.75" x14ac:dyDescent="0.35">
      <c r="A1886"/>
      <c r="B1886"/>
      <c r="C1886"/>
      <c r="D1886"/>
      <c r="E1886"/>
      <c r="F1886"/>
      <c r="G1886"/>
      <c r="H1886"/>
      <c r="I1886"/>
      <c r="J1886"/>
      <c r="K1886"/>
    </row>
    <row r="1887" spans="1:11" ht="12.75" x14ac:dyDescent="0.35">
      <c r="A1887"/>
      <c r="B1887"/>
      <c r="C1887"/>
      <c r="D1887"/>
      <c r="E1887"/>
      <c r="F1887"/>
      <c r="G1887"/>
      <c r="H1887"/>
      <c r="I1887"/>
      <c r="J1887"/>
      <c r="K1887"/>
    </row>
    <row r="1888" spans="1:11" ht="12.75" x14ac:dyDescent="0.35">
      <c r="A1888"/>
      <c r="B1888"/>
      <c r="C1888"/>
      <c r="D1888"/>
      <c r="E1888"/>
      <c r="F1888"/>
      <c r="G1888"/>
      <c r="H1888"/>
      <c r="I1888"/>
      <c r="J1888"/>
      <c r="K1888"/>
    </row>
    <row r="1889" spans="1:11" ht="12.75" x14ac:dyDescent="0.35">
      <c r="A1889"/>
      <c r="B1889"/>
      <c r="C1889"/>
      <c r="D1889"/>
      <c r="E1889"/>
      <c r="F1889"/>
      <c r="G1889"/>
      <c r="H1889"/>
      <c r="I1889"/>
      <c r="J1889"/>
      <c r="K1889"/>
    </row>
    <row r="1890" spans="1:11" ht="12.75" x14ac:dyDescent="0.35">
      <c r="A1890"/>
      <c r="B1890"/>
      <c r="C1890"/>
      <c r="D1890"/>
      <c r="E1890"/>
      <c r="F1890"/>
      <c r="G1890"/>
      <c r="H1890"/>
      <c r="I1890"/>
      <c r="J1890"/>
      <c r="K1890"/>
    </row>
    <row r="1891" spans="1:11" ht="12.75" x14ac:dyDescent="0.35">
      <c r="A1891"/>
      <c r="B1891"/>
      <c r="C1891"/>
      <c r="D1891"/>
      <c r="E1891"/>
      <c r="F1891"/>
      <c r="G1891"/>
      <c r="H1891"/>
      <c r="I1891"/>
      <c r="J1891"/>
      <c r="K1891"/>
    </row>
    <row r="1892" spans="1:11" ht="12.75" x14ac:dyDescent="0.35">
      <c r="A1892"/>
      <c r="B1892"/>
      <c r="C1892"/>
      <c r="D1892"/>
      <c r="E1892"/>
      <c r="F1892"/>
      <c r="G1892"/>
      <c r="H1892"/>
      <c r="I1892"/>
      <c r="J1892"/>
      <c r="K1892"/>
    </row>
    <row r="1893" spans="1:11" ht="12.75" x14ac:dyDescent="0.35">
      <c r="A1893"/>
      <c r="B1893"/>
      <c r="C1893"/>
      <c r="D1893"/>
      <c r="E1893"/>
      <c r="F1893"/>
      <c r="G1893"/>
      <c r="H1893"/>
      <c r="I1893"/>
      <c r="J1893"/>
      <c r="K1893"/>
    </row>
    <row r="1894" spans="1:11" ht="12.75" x14ac:dyDescent="0.35">
      <c r="A1894"/>
      <c r="B1894"/>
      <c r="C1894"/>
      <c r="D1894"/>
      <c r="E1894"/>
      <c r="F1894"/>
      <c r="G1894"/>
      <c r="H1894"/>
      <c r="I1894"/>
      <c r="J1894"/>
      <c r="K1894"/>
    </row>
    <row r="1895" spans="1:11" ht="12.75" x14ac:dyDescent="0.35">
      <c r="A1895"/>
      <c r="B1895"/>
      <c r="C1895"/>
      <c r="D1895"/>
      <c r="E1895"/>
      <c r="F1895"/>
      <c r="G1895"/>
      <c r="H1895"/>
      <c r="I1895"/>
      <c r="J1895"/>
      <c r="K1895"/>
    </row>
    <row r="1896" spans="1:11" ht="12.75" x14ac:dyDescent="0.35">
      <c r="A1896"/>
      <c r="B1896"/>
      <c r="C1896"/>
      <c r="D1896"/>
      <c r="E1896"/>
      <c r="F1896"/>
      <c r="G1896"/>
      <c r="H1896"/>
      <c r="I1896"/>
      <c r="J1896"/>
      <c r="K1896"/>
    </row>
    <row r="1897" spans="1:11" ht="12.75" x14ac:dyDescent="0.35">
      <c r="A1897"/>
      <c r="B1897"/>
      <c r="C1897"/>
      <c r="D1897"/>
      <c r="E1897"/>
      <c r="F1897"/>
      <c r="G1897"/>
      <c r="H1897"/>
      <c r="I1897"/>
      <c r="J1897"/>
      <c r="K1897"/>
    </row>
    <row r="1898" spans="1:11" ht="12.75" x14ac:dyDescent="0.35">
      <c r="A1898"/>
      <c r="B1898"/>
      <c r="C1898"/>
      <c r="D1898"/>
      <c r="E1898"/>
      <c r="F1898"/>
      <c r="G1898"/>
      <c r="H1898"/>
      <c r="I1898"/>
      <c r="J1898"/>
      <c r="K1898"/>
    </row>
    <row r="1899" spans="1:11" ht="12.75" x14ac:dyDescent="0.35">
      <c r="A1899"/>
      <c r="B1899"/>
      <c r="C1899"/>
      <c r="D1899"/>
      <c r="E1899"/>
      <c r="F1899"/>
      <c r="G1899"/>
      <c r="H1899"/>
      <c r="I1899"/>
      <c r="J1899"/>
      <c r="K1899"/>
    </row>
    <row r="1900" spans="1:11" ht="12.75" x14ac:dyDescent="0.35">
      <c r="A1900"/>
      <c r="B1900"/>
      <c r="C1900"/>
      <c r="D1900"/>
      <c r="E1900"/>
      <c r="F1900"/>
      <c r="G1900"/>
      <c r="H1900"/>
      <c r="I1900"/>
      <c r="J1900"/>
      <c r="K1900"/>
    </row>
    <row r="1901" spans="1:11" ht="12.75" x14ac:dyDescent="0.35">
      <c r="A1901"/>
      <c r="B1901"/>
      <c r="C1901"/>
      <c r="D1901"/>
      <c r="E1901"/>
      <c r="F1901"/>
      <c r="G1901"/>
      <c r="H1901"/>
      <c r="I1901"/>
      <c r="J1901"/>
      <c r="K1901"/>
    </row>
    <row r="1902" spans="1:11" ht="12.75" x14ac:dyDescent="0.35">
      <c r="A1902"/>
      <c r="B1902"/>
      <c r="C1902"/>
      <c r="D1902"/>
      <c r="E1902"/>
      <c r="F1902"/>
      <c r="G1902"/>
      <c r="H1902"/>
      <c r="I1902"/>
      <c r="J1902"/>
      <c r="K1902"/>
    </row>
    <row r="1903" spans="1:11" ht="12.75" x14ac:dyDescent="0.35">
      <c r="A1903"/>
      <c r="B1903"/>
      <c r="C1903"/>
      <c r="D1903"/>
      <c r="E1903"/>
      <c r="F1903"/>
      <c r="G1903"/>
      <c r="H1903"/>
      <c r="I1903"/>
      <c r="J1903"/>
      <c r="K1903"/>
    </row>
    <row r="1904" spans="1:11" ht="12.75" x14ac:dyDescent="0.35">
      <c r="A1904"/>
      <c r="B1904"/>
      <c r="C1904"/>
      <c r="D1904"/>
      <c r="E1904"/>
      <c r="F1904"/>
      <c r="G1904"/>
      <c r="H1904"/>
      <c r="I1904"/>
      <c r="J1904"/>
      <c r="K1904"/>
    </row>
    <row r="1905" spans="1:11" ht="12.75" x14ac:dyDescent="0.35">
      <c r="A1905"/>
      <c r="B1905"/>
      <c r="C1905"/>
      <c r="D1905"/>
      <c r="E1905"/>
      <c r="F1905"/>
      <c r="G1905"/>
      <c r="H1905"/>
      <c r="I1905"/>
      <c r="J1905"/>
      <c r="K1905"/>
    </row>
    <row r="1906" spans="1:11" ht="12.75" x14ac:dyDescent="0.35">
      <c r="A1906"/>
      <c r="B1906"/>
      <c r="C1906"/>
      <c r="D1906"/>
      <c r="E1906"/>
      <c r="F1906"/>
      <c r="G1906"/>
      <c r="H1906"/>
      <c r="I1906"/>
      <c r="J1906"/>
      <c r="K1906"/>
    </row>
    <row r="1907" spans="1:11" ht="12.75" x14ac:dyDescent="0.35">
      <c r="A1907"/>
      <c r="B1907"/>
      <c r="C1907"/>
      <c r="D1907"/>
      <c r="E1907"/>
      <c r="F1907"/>
      <c r="G1907"/>
      <c r="H1907"/>
      <c r="I1907"/>
      <c r="J1907"/>
      <c r="K1907"/>
    </row>
    <row r="1908" spans="1:11" ht="12.75" x14ac:dyDescent="0.35">
      <c r="A1908"/>
      <c r="B1908"/>
      <c r="C1908"/>
      <c r="D1908"/>
      <c r="E1908"/>
      <c r="F1908"/>
      <c r="G1908"/>
      <c r="H1908"/>
      <c r="I1908"/>
      <c r="J1908"/>
      <c r="K1908"/>
    </row>
    <row r="1909" spans="1:11" ht="12.75" x14ac:dyDescent="0.35">
      <c r="A1909"/>
      <c r="B1909"/>
      <c r="C1909"/>
      <c r="D1909"/>
      <c r="E1909"/>
      <c r="F1909"/>
      <c r="G1909"/>
      <c r="H1909"/>
      <c r="I1909"/>
      <c r="J1909"/>
      <c r="K1909"/>
    </row>
    <row r="1910" spans="1:11" ht="12.75" x14ac:dyDescent="0.35">
      <c r="A1910"/>
      <c r="B1910"/>
      <c r="C1910"/>
      <c r="D1910"/>
      <c r="E1910"/>
      <c r="F1910"/>
      <c r="G1910"/>
      <c r="H1910"/>
      <c r="I1910"/>
      <c r="J1910"/>
      <c r="K1910"/>
    </row>
    <row r="1911" spans="1:11" ht="12.75" x14ac:dyDescent="0.35">
      <c r="A1911"/>
      <c r="B1911"/>
      <c r="C1911"/>
      <c r="D1911"/>
      <c r="E1911"/>
      <c r="F1911"/>
      <c r="G1911"/>
      <c r="H1911"/>
      <c r="I1911"/>
      <c r="J1911"/>
      <c r="K1911"/>
    </row>
    <row r="1912" spans="1:11" ht="12.75" x14ac:dyDescent="0.35">
      <c r="A1912"/>
      <c r="B1912"/>
      <c r="C1912"/>
      <c r="D1912"/>
      <c r="E1912"/>
      <c r="F1912"/>
      <c r="G1912"/>
      <c r="H1912"/>
      <c r="I1912"/>
      <c r="J1912"/>
      <c r="K1912"/>
    </row>
    <row r="1913" spans="1:11" ht="12.75" x14ac:dyDescent="0.35">
      <c r="A1913"/>
      <c r="B1913"/>
      <c r="C1913"/>
      <c r="D1913"/>
      <c r="E1913"/>
      <c r="F1913"/>
      <c r="G1913"/>
      <c r="H1913"/>
      <c r="I1913"/>
      <c r="J1913"/>
      <c r="K1913"/>
    </row>
    <row r="1914" spans="1:11" ht="12.75" x14ac:dyDescent="0.35">
      <c r="A1914"/>
      <c r="B1914"/>
      <c r="C1914"/>
      <c r="D1914"/>
      <c r="E1914"/>
      <c r="F1914"/>
      <c r="G1914"/>
      <c r="H1914"/>
      <c r="I1914"/>
      <c r="J1914"/>
      <c r="K1914"/>
    </row>
    <row r="1915" spans="1:11" ht="12.75" x14ac:dyDescent="0.35">
      <c r="A1915"/>
      <c r="B1915"/>
      <c r="C1915"/>
      <c r="D1915"/>
      <c r="E1915"/>
      <c r="F1915"/>
      <c r="G1915"/>
      <c r="H1915"/>
      <c r="I1915"/>
      <c r="J1915"/>
      <c r="K1915"/>
    </row>
    <row r="1916" spans="1:11" ht="12.75" x14ac:dyDescent="0.35">
      <c r="A1916"/>
      <c r="B1916"/>
      <c r="C1916"/>
      <c r="D1916"/>
      <c r="E1916"/>
      <c r="F1916"/>
      <c r="G1916"/>
      <c r="H1916"/>
      <c r="I1916"/>
      <c r="J1916"/>
      <c r="K1916"/>
    </row>
    <row r="1917" spans="1:11" ht="12.75" x14ac:dyDescent="0.35">
      <c r="A1917"/>
      <c r="B1917"/>
      <c r="C1917"/>
      <c r="D1917"/>
      <c r="E1917"/>
      <c r="F1917"/>
      <c r="G1917"/>
      <c r="H1917"/>
      <c r="I1917"/>
      <c r="J1917"/>
      <c r="K1917"/>
    </row>
    <row r="1918" spans="1:11" ht="12.75" x14ac:dyDescent="0.35">
      <c r="A1918"/>
      <c r="B1918"/>
      <c r="C1918"/>
      <c r="D1918"/>
      <c r="E1918"/>
      <c r="F1918"/>
      <c r="G1918"/>
      <c r="H1918"/>
      <c r="I1918"/>
      <c r="J1918"/>
      <c r="K1918"/>
    </row>
    <row r="1919" spans="1:11" ht="12.75" x14ac:dyDescent="0.35">
      <c r="A1919"/>
      <c r="B1919"/>
      <c r="C1919"/>
      <c r="D1919"/>
      <c r="E1919"/>
      <c r="F1919"/>
      <c r="G1919"/>
      <c r="H1919"/>
      <c r="I1919"/>
      <c r="J1919"/>
      <c r="K1919"/>
    </row>
    <row r="1920" spans="1:11" ht="12.75" x14ac:dyDescent="0.35">
      <c r="A1920"/>
      <c r="B1920"/>
      <c r="C1920"/>
      <c r="D1920"/>
      <c r="E1920"/>
      <c r="F1920"/>
      <c r="G1920"/>
      <c r="H1920"/>
      <c r="I1920"/>
      <c r="J1920"/>
      <c r="K1920"/>
    </row>
    <row r="1921" spans="1:11" ht="12.75" x14ac:dyDescent="0.35">
      <c r="A1921"/>
      <c r="B1921"/>
      <c r="C1921"/>
      <c r="D1921"/>
      <c r="E1921"/>
      <c r="F1921"/>
      <c r="G1921"/>
      <c r="H1921"/>
      <c r="I1921"/>
      <c r="J1921"/>
      <c r="K1921"/>
    </row>
    <row r="1922" spans="1:11" ht="12.75" x14ac:dyDescent="0.35">
      <c r="A1922"/>
      <c r="B1922"/>
      <c r="C1922"/>
      <c r="D1922"/>
      <c r="E1922"/>
      <c r="F1922"/>
      <c r="G1922"/>
      <c r="H1922"/>
      <c r="I1922"/>
      <c r="J1922"/>
      <c r="K1922"/>
    </row>
    <row r="1923" spans="1:11" ht="12.75" x14ac:dyDescent="0.35">
      <c r="A1923"/>
      <c r="B1923"/>
      <c r="C1923"/>
      <c r="D1923"/>
      <c r="E1923"/>
      <c r="F1923"/>
      <c r="G1923"/>
      <c r="H1923"/>
      <c r="I1923"/>
      <c r="J1923"/>
      <c r="K1923"/>
    </row>
    <row r="1924" spans="1:11" ht="12.75" x14ac:dyDescent="0.35">
      <c r="A1924"/>
      <c r="B1924"/>
      <c r="C1924"/>
      <c r="D1924"/>
      <c r="E1924"/>
      <c r="F1924"/>
      <c r="G1924"/>
      <c r="H1924"/>
      <c r="I1924"/>
      <c r="J1924"/>
      <c r="K1924"/>
    </row>
    <row r="1925" spans="1:11" ht="12.75" x14ac:dyDescent="0.35">
      <c r="A1925"/>
      <c r="B1925"/>
      <c r="C1925"/>
      <c r="D1925"/>
      <c r="E1925"/>
      <c r="F1925"/>
      <c r="G1925"/>
      <c r="H1925"/>
      <c r="I1925"/>
      <c r="J1925"/>
      <c r="K1925"/>
    </row>
    <row r="1926" spans="1:11" ht="12.75" x14ac:dyDescent="0.35">
      <c r="A1926"/>
      <c r="B1926"/>
      <c r="C1926"/>
      <c r="D1926"/>
      <c r="E1926"/>
      <c r="F1926"/>
      <c r="G1926"/>
      <c r="H1926"/>
      <c r="I1926"/>
      <c r="J1926"/>
      <c r="K1926"/>
    </row>
    <row r="1927" spans="1:11" ht="12.75" x14ac:dyDescent="0.35">
      <c r="A1927"/>
      <c r="B1927"/>
      <c r="C1927"/>
      <c r="D1927"/>
      <c r="E1927"/>
      <c r="F1927"/>
      <c r="G1927"/>
      <c r="H1927"/>
      <c r="I1927"/>
      <c r="J1927"/>
      <c r="K1927"/>
    </row>
    <row r="1928" spans="1:11" ht="12.75" x14ac:dyDescent="0.35">
      <c r="A1928"/>
      <c r="B1928"/>
      <c r="C1928"/>
      <c r="D1928"/>
      <c r="E1928"/>
      <c r="F1928"/>
      <c r="G1928"/>
      <c r="H1928"/>
      <c r="I1928"/>
      <c r="J1928"/>
      <c r="K1928"/>
    </row>
    <row r="1929" spans="1:11" ht="12.75" x14ac:dyDescent="0.35">
      <c r="A1929"/>
      <c r="B1929"/>
      <c r="C1929"/>
      <c r="D1929"/>
      <c r="E1929"/>
      <c r="F1929"/>
      <c r="G1929"/>
      <c r="H1929"/>
      <c r="I1929"/>
      <c r="J1929"/>
      <c r="K1929"/>
    </row>
    <row r="1930" spans="1:11" ht="12.75" x14ac:dyDescent="0.35">
      <c r="A1930"/>
      <c r="B1930"/>
      <c r="C1930"/>
      <c r="D1930"/>
      <c r="E1930"/>
      <c r="F1930"/>
      <c r="G1930"/>
      <c r="H1930"/>
      <c r="I1930"/>
      <c r="J1930"/>
      <c r="K1930"/>
    </row>
    <row r="1931" spans="1:11" ht="12.75" x14ac:dyDescent="0.35">
      <c r="A1931"/>
      <c r="B1931"/>
      <c r="C1931"/>
      <c r="D1931"/>
      <c r="E1931"/>
      <c r="F1931"/>
      <c r="G1931"/>
      <c r="H1931"/>
      <c r="I1931"/>
      <c r="J1931"/>
      <c r="K1931"/>
    </row>
    <row r="1932" spans="1:11" ht="12.75" x14ac:dyDescent="0.35">
      <c r="A1932"/>
      <c r="B1932"/>
      <c r="C1932"/>
      <c r="D1932"/>
      <c r="E1932"/>
      <c r="F1932"/>
      <c r="G1932"/>
      <c r="H1932"/>
      <c r="I1932"/>
      <c r="J1932"/>
      <c r="K1932"/>
    </row>
    <row r="1933" spans="1:11" ht="12.75" x14ac:dyDescent="0.35">
      <c r="A1933"/>
      <c r="B1933"/>
      <c r="C1933"/>
      <c r="D1933"/>
      <c r="E1933"/>
      <c r="F1933"/>
      <c r="G1933"/>
      <c r="H1933"/>
      <c r="I1933"/>
      <c r="J1933"/>
      <c r="K1933"/>
    </row>
    <row r="1934" spans="1:11" ht="12.75" x14ac:dyDescent="0.35">
      <c r="A1934"/>
      <c r="B1934"/>
      <c r="C1934"/>
      <c r="D1934"/>
      <c r="E1934"/>
      <c r="F1934"/>
      <c r="G1934"/>
      <c r="H1934"/>
      <c r="I1934"/>
      <c r="J1934"/>
      <c r="K1934"/>
    </row>
    <row r="1935" spans="1:11" ht="12.75" x14ac:dyDescent="0.35">
      <c r="A1935"/>
      <c r="B1935"/>
      <c r="C1935"/>
      <c r="D1935"/>
      <c r="E1935"/>
      <c r="F1935"/>
      <c r="G1935"/>
      <c r="H1935"/>
      <c r="I1935"/>
      <c r="J1935"/>
      <c r="K1935"/>
    </row>
    <row r="1936" spans="1:11" ht="12.75" x14ac:dyDescent="0.35">
      <c r="A1936"/>
      <c r="B1936"/>
      <c r="C1936"/>
      <c r="D1936"/>
      <c r="E1936"/>
      <c r="F1936"/>
      <c r="G1936"/>
      <c r="H1936"/>
      <c r="I1936"/>
      <c r="J1936"/>
      <c r="K1936"/>
    </row>
    <row r="1937" spans="1:11" ht="12.75" x14ac:dyDescent="0.35">
      <c r="A1937"/>
      <c r="B1937"/>
      <c r="C1937"/>
      <c r="D1937"/>
      <c r="E1937"/>
      <c r="F1937"/>
      <c r="G1937"/>
      <c r="H1937"/>
      <c r="I1937"/>
      <c r="J1937"/>
      <c r="K1937"/>
    </row>
    <row r="1938" spans="1:11" ht="12.75" x14ac:dyDescent="0.35">
      <c r="A1938"/>
      <c r="B1938"/>
      <c r="C1938"/>
      <c r="D1938"/>
      <c r="E1938"/>
      <c r="F1938"/>
      <c r="G1938"/>
      <c r="H1938"/>
      <c r="I1938"/>
      <c r="J1938"/>
      <c r="K1938"/>
    </row>
    <row r="1939" spans="1:11" ht="12.75" x14ac:dyDescent="0.35">
      <c r="A1939"/>
      <c r="B1939"/>
      <c r="C1939"/>
      <c r="D1939"/>
      <c r="E1939"/>
      <c r="F1939"/>
      <c r="G1939"/>
      <c r="H1939"/>
      <c r="I1939"/>
      <c r="J1939"/>
      <c r="K1939"/>
    </row>
    <row r="1940" spans="1:11" ht="12.75" x14ac:dyDescent="0.35">
      <c r="A1940"/>
      <c r="B1940"/>
      <c r="C1940"/>
      <c r="D1940"/>
      <c r="E1940"/>
      <c r="F1940"/>
      <c r="G1940"/>
      <c r="H1940"/>
      <c r="I1940"/>
      <c r="J1940"/>
      <c r="K1940"/>
    </row>
    <row r="1941" spans="1:11" ht="12.75" x14ac:dyDescent="0.35">
      <c r="A1941"/>
      <c r="B1941"/>
      <c r="C1941"/>
      <c r="D1941"/>
      <c r="E1941"/>
      <c r="F1941"/>
      <c r="G1941"/>
      <c r="H1941"/>
      <c r="I1941"/>
      <c r="J1941"/>
      <c r="K1941"/>
    </row>
    <row r="1942" spans="1:11" ht="12.75" x14ac:dyDescent="0.35">
      <c r="A1942"/>
      <c r="B1942"/>
      <c r="C1942"/>
      <c r="D1942"/>
      <c r="E1942"/>
      <c r="F1942"/>
      <c r="G1942"/>
      <c r="H1942"/>
      <c r="I1942"/>
      <c r="J1942"/>
      <c r="K1942"/>
    </row>
    <row r="1943" spans="1:11" ht="12.75" x14ac:dyDescent="0.35">
      <c r="A1943"/>
      <c r="B1943"/>
      <c r="C1943"/>
      <c r="D1943"/>
      <c r="E1943"/>
      <c r="F1943"/>
      <c r="G1943"/>
      <c r="H1943"/>
      <c r="I1943"/>
      <c r="J1943"/>
      <c r="K1943"/>
    </row>
    <row r="1944" spans="1:11" ht="12.75" x14ac:dyDescent="0.35">
      <c r="A1944"/>
      <c r="B1944"/>
      <c r="C1944"/>
      <c r="D1944"/>
      <c r="E1944"/>
      <c r="F1944"/>
      <c r="G1944"/>
      <c r="H1944"/>
      <c r="I1944"/>
      <c r="J1944"/>
      <c r="K1944"/>
    </row>
    <row r="1945" spans="1:11" ht="12.75" x14ac:dyDescent="0.35">
      <c r="A1945"/>
      <c r="B1945"/>
      <c r="C1945"/>
      <c r="D1945"/>
      <c r="E1945"/>
      <c r="F1945"/>
      <c r="G1945"/>
      <c r="H1945"/>
      <c r="I1945"/>
      <c r="J1945"/>
      <c r="K1945"/>
    </row>
    <row r="1946" spans="1:11" ht="12.75" x14ac:dyDescent="0.35">
      <c r="A1946"/>
      <c r="B1946"/>
      <c r="C1946"/>
      <c r="D1946"/>
      <c r="E1946"/>
      <c r="F1946"/>
      <c r="G1946"/>
      <c r="H1946"/>
      <c r="I1946"/>
      <c r="J1946"/>
      <c r="K1946"/>
    </row>
    <row r="1947" spans="1:11" ht="12.75" x14ac:dyDescent="0.35">
      <c r="A1947"/>
      <c r="B1947"/>
      <c r="C1947"/>
      <c r="D1947"/>
      <c r="E1947"/>
      <c r="F1947"/>
      <c r="G1947"/>
      <c r="H1947"/>
      <c r="I1947"/>
      <c r="J1947"/>
      <c r="K1947"/>
    </row>
    <row r="1948" spans="1:11" ht="12.75" x14ac:dyDescent="0.35">
      <c r="A1948"/>
      <c r="B1948"/>
      <c r="C1948"/>
      <c r="D1948"/>
      <c r="E1948"/>
      <c r="F1948"/>
      <c r="G1948"/>
      <c r="H1948"/>
      <c r="I1948"/>
      <c r="J1948"/>
      <c r="K1948"/>
    </row>
    <row r="1949" spans="1:11" ht="12.75" x14ac:dyDescent="0.35">
      <c r="A1949"/>
      <c r="B1949"/>
      <c r="C1949"/>
      <c r="D1949"/>
      <c r="E1949"/>
      <c r="F1949"/>
      <c r="G1949"/>
      <c r="H1949"/>
      <c r="I1949"/>
      <c r="J1949"/>
      <c r="K1949"/>
    </row>
    <row r="1950" spans="1:11" ht="12.75" x14ac:dyDescent="0.35">
      <c r="A1950"/>
      <c r="B1950"/>
      <c r="C1950"/>
      <c r="D1950"/>
      <c r="E1950"/>
      <c r="F1950"/>
      <c r="G1950"/>
      <c r="H1950"/>
      <c r="I1950"/>
      <c r="J1950"/>
      <c r="K1950"/>
    </row>
    <row r="1951" spans="1:11" ht="12.75" x14ac:dyDescent="0.35">
      <c r="A1951"/>
      <c r="B1951"/>
      <c r="C1951"/>
      <c r="D1951"/>
      <c r="E1951"/>
      <c r="F1951"/>
      <c r="G1951"/>
      <c r="H1951"/>
      <c r="I1951"/>
      <c r="J1951"/>
      <c r="K1951"/>
    </row>
    <row r="1952" spans="1:11" ht="12.75" x14ac:dyDescent="0.35">
      <c r="A1952"/>
      <c r="B1952"/>
      <c r="C1952"/>
      <c r="D1952"/>
      <c r="E1952"/>
      <c r="F1952"/>
      <c r="G1952"/>
      <c r="H1952"/>
      <c r="I1952"/>
      <c r="J1952"/>
      <c r="K1952"/>
    </row>
    <row r="1953" spans="1:11" ht="12.75" x14ac:dyDescent="0.35">
      <c r="A1953"/>
      <c r="B1953"/>
      <c r="C1953"/>
      <c r="D1953"/>
      <c r="E1953"/>
      <c r="F1953"/>
      <c r="G1953"/>
      <c r="H1953"/>
      <c r="I1953"/>
      <c r="J1953"/>
      <c r="K1953"/>
    </row>
    <row r="1954" spans="1:11" ht="12.75" x14ac:dyDescent="0.35">
      <c r="A1954"/>
      <c r="B1954"/>
      <c r="C1954"/>
      <c r="D1954"/>
      <c r="E1954"/>
      <c r="F1954"/>
      <c r="G1954"/>
      <c r="H1954"/>
      <c r="I1954"/>
      <c r="J1954"/>
      <c r="K1954"/>
    </row>
    <row r="1955" spans="1:11" ht="12.75" x14ac:dyDescent="0.35">
      <c r="A1955"/>
      <c r="B1955"/>
      <c r="C1955"/>
      <c r="D1955"/>
      <c r="E1955"/>
      <c r="F1955"/>
      <c r="G1955"/>
      <c r="H1955"/>
      <c r="I1955"/>
      <c r="J1955"/>
      <c r="K1955"/>
    </row>
    <row r="1956" spans="1:11" ht="12.75" x14ac:dyDescent="0.35">
      <c r="A1956"/>
      <c r="B1956"/>
      <c r="C1956"/>
      <c r="D1956"/>
      <c r="E1956"/>
      <c r="F1956"/>
      <c r="G1956"/>
      <c r="H1956"/>
      <c r="I1956"/>
      <c r="J1956"/>
      <c r="K1956"/>
    </row>
    <row r="1957" spans="1:11" ht="12.75" x14ac:dyDescent="0.35">
      <c r="A1957"/>
      <c r="B1957"/>
      <c r="C1957"/>
      <c r="D1957"/>
      <c r="E1957"/>
      <c r="F1957"/>
      <c r="G1957"/>
      <c r="H1957"/>
      <c r="I1957"/>
      <c r="J1957"/>
      <c r="K1957"/>
    </row>
    <row r="1958" spans="1:11" ht="12.75" x14ac:dyDescent="0.35">
      <c r="A1958"/>
      <c r="B1958"/>
      <c r="C1958"/>
      <c r="D1958"/>
      <c r="E1958"/>
      <c r="F1958"/>
      <c r="G1958"/>
      <c r="H1958"/>
      <c r="I1958"/>
      <c r="J1958"/>
      <c r="K1958"/>
    </row>
    <row r="1959" spans="1:11" ht="12.75" x14ac:dyDescent="0.35">
      <c r="A1959"/>
      <c r="B1959"/>
      <c r="C1959"/>
      <c r="D1959"/>
      <c r="E1959"/>
      <c r="F1959"/>
      <c r="G1959"/>
      <c r="H1959"/>
      <c r="I1959"/>
      <c r="J1959"/>
      <c r="K1959"/>
    </row>
    <row r="1960" spans="1:11" ht="12.75" x14ac:dyDescent="0.35">
      <c r="A1960"/>
      <c r="B1960"/>
      <c r="C1960"/>
      <c r="D1960"/>
      <c r="E1960"/>
      <c r="F1960"/>
      <c r="G1960"/>
      <c r="H1960"/>
      <c r="I1960"/>
      <c r="J1960"/>
      <c r="K1960"/>
    </row>
    <row r="1961" spans="1:11" ht="12.75" x14ac:dyDescent="0.35">
      <c r="A1961"/>
      <c r="B1961"/>
      <c r="C1961"/>
      <c r="D1961"/>
      <c r="E1961"/>
      <c r="F1961"/>
      <c r="G1961"/>
      <c r="H1961"/>
      <c r="I1961"/>
      <c r="J1961"/>
      <c r="K1961"/>
    </row>
    <row r="1962" spans="1:11" ht="12.75" x14ac:dyDescent="0.35">
      <c r="A1962"/>
      <c r="B1962"/>
      <c r="C1962"/>
      <c r="D1962"/>
      <c r="E1962"/>
      <c r="F1962"/>
      <c r="G1962"/>
      <c r="H1962"/>
      <c r="I1962"/>
      <c r="J1962"/>
      <c r="K1962"/>
    </row>
    <row r="1963" spans="1:11" ht="12.75" x14ac:dyDescent="0.35">
      <c r="A1963"/>
      <c r="B1963"/>
      <c r="C1963"/>
      <c r="D1963"/>
      <c r="E1963"/>
      <c r="F1963"/>
      <c r="G1963"/>
      <c r="H1963"/>
      <c r="I1963"/>
      <c r="J1963"/>
      <c r="K1963"/>
    </row>
    <row r="1964" spans="1:11" ht="12.75" x14ac:dyDescent="0.35">
      <c r="A1964"/>
      <c r="B1964"/>
      <c r="C1964"/>
      <c r="D1964"/>
      <c r="E1964"/>
      <c r="F1964"/>
      <c r="G1964"/>
      <c r="H1964"/>
      <c r="I1964"/>
      <c r="J1964"/>
      <c r="K1964"/>
    </row>
    <row r="1965" spans="1:11" ht="12.75" x14ac:dyDescent="0.35">
      <c r="A1965"/>
      <c r="B1965"/>
      <c r="C1965"/>
      <c r="D1965"/>
      <c r="E1965"/>
      <c r="F1965"/>
      <c r="G1965"/>
      <c r="H1965"/>
      <c r="I1965"/>
      <c r="J1965"/>
      <c r="K1965"/>
    </row>
    <row r="1966" spans="1:11" ht="12.75" x14ac:dyDescent="0.35">
      <c r="A1966"/>
      <c r="B1966"/>
      <c r="C1966"/>
      <c r="D1966"/>
      <c r="E1966"/>
      <c r="F1966"/>
      <c r="G1966"/>
      <c r="H1966"/>
      <c r="I1966"/>
      <c r="J1966"/>
      <c r="K1966"/>
    </row>
    <row r="1967" spans="1:11" ht="12.75" x14ac:dyDescent="0.35">
      <c r="A1967"/>
      <c r="B1967"/>
      <c r="C1967"/>
      <c r="D1967"/>
      <c r="E1967"/>
      <c r="F1967"/>
      <c r="G1967"/>
      <c r="H1967"/>
      <c r="I1967"/>
      <c r="J1967"/>
      <c r="K1967"/>
    </row>
    <row r="1968" spans="1:11" ht="12.75" x14ac:dyDescent="0.35">
      <c r="A1968"/>
      <c r="B1968"/>
      <c r="C1968"/>
      <c r="D1968"/>
      <c r="E1968"/>
      <c r="F1968"/>
      <c r="G1968"/>
      <c r="H1968"/>
      <c r="I1968"/>
      <c r="J1968"/>
      <c r="K1968"/>
    </row>
    <row r="1969" spans="1:11" ht="12.75" x14ac:dyDescent="0.35">
      <c r="A1969"/>
      <c r="B1969"/>
      <c r="C1969"/>
      <c r="D1969"/>
      <c r="E1969"/>
      <c r="F1969"/>
      <c r="G1969"/>
      <c r="H1969"/>
      <c r="I1969"/>
      <c r="J1969"/>
      <c r="K1969"/>
    </row>
    <row r="1970" spans="1:11" ht="12.75" x14ac:dyDescent="0.35">
      <c r="A1970"/>
      <c r="B1970"/>
      <c r="C1970"/>
      <c r="D1970"/>
      <c r="E1970"/>
      <c r="F1970"/>
      <c r="G1970"/>
      <c r="H1970"/>
      <c r="I1970"/>
      <c r="J1970"/>
      <c r="K1970"/>
    </row>
    <row r="1971" spans="1:11" ht="12.75" x14ac:dyDescent="0.35">
      <c r="A1971"/>
      <c r="B1971"/>
      <c r="C1971"/>
      <c r="D1971"/>
      <c r="E1971"/>
      <c r="F1971"/>
      <c r="G1971"/>
      <c r="H1971"/>
      <c r="I1971"/>
      <c r="J1971"/>
      <c r="K1971"/>
    </row>
    <row r="1972" spans="1:11" ht="12.75" x14ac:dyDescent="0.35">
      <c r="A1972"/>
      <c r="B1972"/>
      <c r="C1972"/>
      <c r="D1972"/>
      <c r="E1972"/>
      <c r="F1972"/>
      <c r="G1972"/>
      <c r="H1972"/>
      <c r="I1972"/>
      <c r="J1972"/>
      <c r="K1972"/>
    </row>
    <row r="1973" spans="1:11" ht="12.75" x14ac:dyDescent="0.35">
      <c r="A1973"/>
      <c r="B1973"/>
      <c r="C1973"/>
      <c r="D1973"/>
      <c r="E1973"/>
      <c r="F1973"/>
      <c r="G1973"/>
      <c r="H1973"/>
      <c r="I1973"/>
      <c r="J1973"/>
      <c r="K1973"/>
    </row>
    <row r="1974" spans="1:11" ht="12.75" x14ac:dyDescent="0.35">
      <c r="A1974"/>
      <c r="B1974"/>
      <c r="C1974"/>
      <c r="D1974"/>
      <c r="E1974"/>
      <c r="F1974"/>
      <c r="G1974"/>
      <c r="H1974"/>
      <c r="I1974"/>
      <c r="J1974"/>
      <c r="K1974"/>
    </row>
    <row r="1975" spans="1:11" ht="12.75" x14ac:dyDescent="0.35">
      <c r="A1975"/>
      <c r="B1975"/>
      <c r="C1975"/>
      <c r="D1975"/>
      <c r="E1975"/>
      <c r="F1975"/>
      <c r="G1975"/>
      <c r="H1975"/>
      <c r="I1975"/>
      <c r="J1975"/>
      <c r="K1975"/>
    </row>
    <row r="1976" spans="1:11" ht="12.75" x14ac:dyDescent="0.35">
      <c r="A1976"/>
      <c r="B1976"/>
      <c r="C1976"/>
      <c r="D1976"/>
      <c r="E1976"/>
      <c r="F1976"/>
      <c r="G1976"/>
      <c r="H1976"/>
      <c r="I1976"/>
      <c r="J1976"/>
      <c r="K1976"/>
    </row>
    <row r="1977" spans="1:11" ht="12.75" x14ac:dyDescent="0.35">
      <c r="A1977"/>
      <c r="B1977"/>
      <c r="C1977"/>
      <c r="D1977"/>
      <c r="E1977"/>
      <c r="F1977"/>
      <c r="G1977"/>
      <c r="H1977"/>
      <c r="I1977"/>
      <c r="J1977"/>
      <c r="K1977"/>
    </row>
    <row r="1978" spans="1:11" ht="12.75" x14ac:dyDescent="0.35">
      <c r="A1978"/>
      <c r="B1978"/>
      <c r="C1978"/>
      <c r="D1978"/>
      <c r="E1978"/>
      <c r="F1978"/>
      <c r="G1978"/>
      <c r="H1978"/>
      <c r="I1978"/>
      <c r="J1978"/>
      <c r="K1978"/>
    </row>
    <row r="1979" spans="1:11" ht="12.75" x14ac:dyDescent="0.35">
      <c r="A1979"/>
      <c r="B1979"/>
      <c r="C1979"/>
      <c r="D1979"/>
      <c r="E1979"/>
      <c r="F1979"/>
      <c r="G1979"/>
      <c r="H1979"/>
      <c r="I1979"/>
      <c r="J1979"/>
      <c r="K1979"/>
    </row>
    <row r="1980" spans="1:11" ht="12.75" x14ac:dyDescent="0.35">
      <c r="A1980"/>
      <c r="B1980"/>
      <c r="C1980"/>
      <c r="D1980"/>
      <c r="E1980"/>
      <c r="F1980"/>
      <c r="G1980"/>
      <c r="H1980"/>
      <c r="I1980"/>
      <c r="J1980"/>
      <c r="K1980"/>
    </row>
    <row r="1981" spans="1:11" ht="12.75" x14ac:dyDescent="0.35">
      <c r="A1981"/>
      <c r="B1981"/>
      <c r="C1981"/>
      <c r="D1981"/>
      <c r="E1981"/>
      <c r="F1981"/>
      <c r="G1981"/>
      <c r="H1981"/>
      <c r="I1981"/>
      <c r="J1981"/>
      <c r="K1981"/>
    </row>
    <row r="1982" spans="1:11" ht="12.75" x14ac:dyDescent="0.35">
      <c r="A1982"/>
      <c r="B1982"/>
      <c r="C1982"/>
      <c r="D1982"/>
      <c r="E1982"/>
      <c r="F1982"/>
      <c r="G1982"/>
      <c r="H1982"/>
      <c r="I1982"/>
      <c r="J1982"/>
      <c r="K1982"/>
    </row>
    <row r="1983" spans="1:11" ht="12.75" x14ac:dyDescent="0.35">
      <c r="A1983"/>
      <c r="B1983"/>
      <c r="C1983"/>
      <c r="D1983"/>
      <c r="E1983"/>
      <c r="F1983"/>
      <c r="G1983"/>
      <c r="H1983"/>
      <c r="I1983"/>
      <c r="J1983"/>
      <c r="K1983"/>
    </row>
    <row r="1984" spans="1:11" ht="12.75" x14ac:dyDescent="0.35">
      <c r="A1984"/>
      <c r="B1984"/>
      <c r="C1984"/>
      <c r="D1984"/>
      <c r="E1984"/>
      <c r="F1984"/>
      <c r="G1984"/>
      <c r="H1984"/>
      <c r="I1984"/>
      <c r="J1984"/>
      <c r="K1984"/>
    </row>
    <row r="1985" spans="1:11" ht="12.75" x14ac:dyDescent="0.35">
      <c r="A1985"/>
      <c r="B1985"/>
      <c r="C1985"/>
      <c r="D1985"/>
      <c r="E1985"/>
      <c r="F1985"/>
      <c r="G1985"/>
      <c r="H1985"/>
      <c r="I1985"/>
      <c r="J1985"/>
      <c r="K1985"/>
    </row>
    <row r="1986" spans="1:11" ht="12.75" x14ac:dyDescent="0.35">
      <c r="A1986"/>
      <c r="B1986"/>
      <c r="C1986"/>
      <c r="D1986"/>
      <c r="E1986"/>
      <c r="F1986"/>
      <c r="G1986"/>
      <c r="H1986"/>
      <c r="I1986"/>
      <c r="J1986"/>
      <c r="K1986"/>
    </row>
    <row r="1987" spans="1:11" ht="12.75" x14ac:dyDescent="0.35">
      <c r="A1987"/>
      <c r="B1987"/>
      <c r="C1987"/>
      <c r="D1987"/>
      <c r="E1987"/>
      <c r="F1987"/>
      <c r="G1987"/>
      <c r="H1987"/>
      <c r="I1987"/>
      <c r="J1987"/>
      <c r="K1987"/>
    </row>
    <row r="1988" spans="1:11" ht="12.75" x14ac:dyDescent="0.35">
      <c r="A1988"/>
      <c r="B1988"/>
      <c r="C1988"/>
      <c r="D1988"/>
      <c r="E1988"/>
      <c r="F1988"/>
      <c r="G1988"/>
      <c r="H1988"/>
      <c r="I1988"/>
      <c r="J1988"/>
      <c r="K1988"/>
    </row>
    <row r="1989" spans="1:11" ht="12.75" x14ac:dyDescent="0.35">
      <c r="A1989"/>
      <c r="B1989"/>
      <c r="C1989"/>
      <c r="D1989"/>
      <c r="E1989"/>
      <c r="F1989"/>
      <c r="G1989"/>
      <c r="H1989"/>
      <c r="I1989"/>
      <c r="J1989"/>
      <c r="K1989"/>
    </row>
    <row r="1990" spans="1:11" ht="12.75" x14ac:dyDescent="0.35">
      <c r="A1990"/>
      <c r="B1990"/>
      <c r="C1990"/>
      <c r="D1990"/>
      <c r="E1990"/>
      <c r="F1990"/>
      <c r="G1990"/>
      <c r="H1990"/>
      <c r="I1990"/>
      <c r="J1990"/>
      <c r="K1990"/>
    </row>
    <row r="1991" spans="1:11" ht="12.75" x14ac:dyDescent="0.35">
      <c r="A1991"/>
      <c r="B1991"/>
      <c r="C1991"/>
      <c r="D1991"/>
      <c r="E1991"/>
      <c r="F1991"/>
      <c r="G1991"/>
      <c r="H1991"/>
      <c r="I1991"/>
      <c r="J1991"/>
      <c r="K1991"/>
    </row>
    <row r="1992" spans="1:11" ht="12.75" x14ac:dyDescent="0.35">
      <c r="A1992"/>
      <c r="B1992"/>
      <c r="C1992"/>
      <c r="D1992"/>
      <c r="E1992"/>
      <c r="F1992"/>
      <c r="G1992"/>
      <c r="H1992"/>
      <c r="I1992"/>
      <c r="J1992"/>
      <c r="K1992"/>
    </row>
    <row r="1993" spans="1:11" ht="12.75" x14ac:dyDescent="0.35">
      <c r="A1993"/>
      <c r="B1993"/>
      <c r="C1993"/>
      <c r="D1993"/>
      <c r="E1993"/>
      <c r="F1993"/>
      <c r="G1993"/>
      <c r="H1993"/>
      <c r="I1993"/>
      <c r="J1993"/>
      <c r="K1993"/>
    </row>
    <row r="1994" spans="1:11" ht="12.75" x14ac:dyDescent="0.35">
      <c r="A1994"/>
      <c r="B1994"/>
      <c r="C1994"/>
      <c r="D1994"/>
      <c r="E1994"/>
      <c r="F1994"/>
      <c r="G1994"/>
      <c r="H1994"/>
      <c r="I1994"/>
      <c r="J1994"/>
      <c r="K1994"/>
    </row>
    <row r="1995" spans="1:11" ht="12.75" x14ac:dyDescent="0.35">
      <c r="A1995"/>
      <c r="B1995"/>
      <c r="C1995"/>
      <c r="D1995"/>
      <c r="E1995"/>
      <c r="F1995"/>
      <c r="G1995"/>
      <c r="H1995"/>
      <c r="I1995"/>
      <c r="J1995"/>
      <c r="K1995"/>
    </row>
    <row r="1996" spans="1:11" ht="12.75" x14ac:dyDescent="0.35">
      <c r="A1996"/>
      <c r="B1996"/>
      <c r="C1996"/>
      <c r="D1996"/>
      <c r="E1996"/>
      <c r="F1996"/>
      <c r="G1996"/>
      <c r="H1996"/>
      <c r="I1996"/>
      <c r="J1996"/>
      <c r="K1996"/>
    </row>
    <row r="1997" spans="1:11" ht="12.75" x14ac:dyDescent="0.35">
      <c r="A1997"/>
      <c r="B1997"/>
      <c r="C1997"/>
      <c r="D1997"/>
      <c r="E1997"/>
      <c r="F1997"/>
      <c r="G1997"/>
      <c r="H1997"/>
      <c r="I1997"/>
      <c r="J1997"/>
      <c r="K1997"/>
    </row>
    <row r="1998" spans="1:11" ht="12.75" x14ac:dyDescent="0.35">
      <c r="A1998"/>
      <c r="B1998"/>
      <c r="C1998"/>
      <c r="D1998"/>
      <c r="E1998"/>
      <c r="F1998"/>
      <c r="G1998"/>
      <c r="H1998"/>
      <c r="I1998"/>
      <c r="J1998"/>
      <c r="K1998"/>
    </row>
    <row r="1999" spans="1:11" ht="12.75" x14ac:dyDescent="0.35">
      <c r="A1999"/>
      <c r="B1999"/>
      <c r="C1999"/>
      <c r="D1999"/>
      <c r="E1999"/>
      <c r="F1999"/>
      <c r="G1999"/>
      <c r="H1999"/>
      <c r="I1999"/>
      <c r="J1999"/>
      <c r="K1999"/>
    </row>
    <row r="2000" spans="1:11" ht="12.75" x14ac:dyDescent="0.35">
      <c r="A2000"/>
      <c r="B2000"/>
      <c r="C2000"/>
      <c r="D2000"/>
      <c r="E2000"/>
      <c r="F2000"/>
      <c r="G2000"/>
      <c r="H2000"/>
      <c r="I2000"/>
      <c r="J2000"/>
      <c r="K2000"/>
    </row>
    <row r="2001" spans="1:11" ht="12.75" x14ac:dyDescent="0.35">
      <c r="A2001"/>
      <c r="B2001"/>
      <c r="C2001"/>
      <c r="D2001"/>
      <c r="E2001"/>
      <c r="F2001"/>
      <c r="G2001"/>
      <c r="H2001"/>
      <c r="I2001"/>
      <c r="J2001"/>
      <c r="K2001"/>
    </row>
    <row r="2002" spans="1:11" ht="12.75" x14ac:dyDescent="0.35">
      <c r="A2002"/>
      <c r="B2002"/>
      <c r="C2002"/>
      <c r="D2002"/>
      <c r="E2002"/>
      <c r="F2002"/>
      <c r="G2002"/>
      <c r="H2002"/>
      <c r="I2002"/>
      <c r="J2002"/>
      <c r="K2002"/>
    </row>
    <row r="2003" spans="1:11" ht="12.75" x14ac:dyDescent="0.35">
      <c r="A2003"/>
      <c r="B2003"/>
      <c r="C2003"/>
      <c r="D2003"/>
      <c r="E2003"/>
      <c r="F2003"/>
      <c r="G2003"/>
      <c r="H2003"/>
      <c r="I2003"/>
      <c r="J2003"/>
      <c r="K2003"/>
    </row>
    <row r="2004" spans="1:11" ht="12.75" x14ac:dyDescent="0.35">
      <c r="A2004"/>
      <c r="B2004"/>
      <c r="C2004"/>
      <c r="D2004"/>
      <c r="E2004"/>
      <c r="F2004"/>
      <c r="G2004"/>
      <c r="H2004"/>
      <c r="I2004"/>
      <c r="J2004"/>
      <c r="K2004"/>
    </row>
    <row r="2005" spans="1:11" ht="12.75" x14ac:dyDescent="0.35">
      <c r="A2005"/>
      <c r="B2005"/>
      <c r="C2005"/>
      <c r="D2005"/>
      <c r="E2005"/>
      <c r="F2005"/>
      <c r="G2005"/>
      <c r="H2005"/>
      <c r="I2005"/>
      <c r="J2005"/>
      <c r="K2005"/>
    </row>
    <row r="2006" spans="1:11" ht="12.75" x14ac:dyDescent="0.35">
      <c r="A2006"/>
      <c r="B2006"/>
      <c r="C2006"/>
      <c r="D2006"/>
      <c r="E2006"/>
      <c r="F2006"/>
      <c r="G2006"/>
      <c r="H2006"/>
      <c r="I2006"/>
      <c r="J2006"/>
      <c r="K2006"/>
    </row>
    <row r="2007" spans="1:11" ht="12.75" x14ac:dyDescent="0.35">
      <c r="A2007"/>
      <c r="B2007"/>
      <c r="C2007"/>
      <c r="D2007"/>
      <c r="E2007"/>
      <c r="F2007"/>
      <c r="G2007"/>
      <c r="H2007"/>
      <c r="I2007"/>
      <c r="J2007"/>
      <c r="K2007"/>
    </row>
    <row r="2008" spans="1:11" ht="12.75" x14ac:dyDescent="0.35">
      <c r="A2008"/>
      <c r="B2008"/>
      <c r="C2008"/>
      <c r="D2008"/>
      <c r="E2008"/>
      <c r="F2008"/>
      <c r="G2008"/>
      <c r="H2008"/>
      <c r="I2008"/>
      <c r="J2008"/>
      <c r="K2008"/>
    </row>
    <row r="2009" spans="1:11" ht="12.75" x14ac:dyDescent="0.35">
      <c r="A2009"/>
      <c r="B2009"/>
      <c r="C2009"/>
      <c r="D2009"/>
      <c r="E2009"/>
      <c r="F2009"/>
      <c r="G2009"/>
      <c r="H2009"/>
      <c r="I2009"/>
      <c r="J2009"/>
      <c r="K2009"/>
    </row>
    <row r="2010" spans="1:11" ht="12.75" x14ac:dyDescent="0.35">
      <c r="A2010"/>
      <c r="B2010"/>
      <c r="C2010"/>
      <c r="D2010"/>
      <c r="E2010"/>
      <c r="F2010"/>
      <c r="G2010"/>
      <c r="H2010"/>
      <c r="I2010"/>
      <c r="J2010"/>
      <c r="K2010"/>
    </row>
    <row r="2011" spans="1:11" ht="12.75" x14ac:dyDescent="0.35">
      <c r="A2011"/>
      <c r="B2011"/>
      <c r="C2011"/>
      <c r="D2011"/>
      <c r="E2011"/>
      <c r="F2011"/>
      <c r="G2011"/>
      <c r="H2011"/>
      <c r="I2011"/>
      <c r="J2011"/>
      <c r="K2011"/>
    </row>
    <row r="2012" spans="1:11" ht="12.75" x14ac:dyDescent="0.35">
      <c r="A2012"/>
      <c r="B2012"/>
      <c r="C2012"/>
      <c r="D2012"/>
      <c r="E2012"/>
      <c r="F2012"/>
      <c r="G2012"/>
      <c r="H2012"/>
      <c r="I2012"/>
      <c r="J2012"/>
      <c r="K2012"/>
    </row>
    <row r="2013" spans="1:11" ht="12.75" x14ac:dyDescent="0.35">
      <c r="A2013"/>
      <c r="B2013"/>
      <c r="C2013"/>
      <c r="D2013"/>
      <c r="E2013"/>
      <c r="F2013"/>
      <c r="G2013"/>
      <c r="H2013"/>
      <c r="I2013"/>
      <c r="J2013"/>
      <c r="K2013"/>
    </row>
    <row r="2014" spans="1:11" ht="12.75" x14ac:dyDescent="0.35">
      <c r="A2014"/>
      <c r="B2014"/>
      <c r="C2014"/>
      <c r="D2014"/>
      <c r="E2014"/>
      <c r="F2014"/>
      <c r="G2014"/>
      <c r="H2014"/>
      <c r="I2014"/>
      <c r="J2014"/>
      <c r="K2014"/>
    </row>
    <row r="2015" spans="1:11" ht="12.75" x14ac:dyDescent="0.35">
      <c r="A2015"/>
      <c r="B2015"/>
      <c r="C2015"/>
      <c r="D2015"/>
      <c r="E2015"/>
      <c r="F2015"/>
      <c r="G2015"/>
      <c r="H2015"/>
      <c r="I2015"/>
      <c r="J2015"/>
      <c r="K2015"/>
    </row>
    <row r="2016" spans="1:11" ht="12.75" x14ac:dyDescent="0.35">
      <c r="A2016"/>
      <c r="B2016"/>
      <c r="C2016"/>
      <c r="D2016"/>
      <c r="E2016"/>
      <c r="F2016"/>
      <c r="G2016"/>
      <c r="H2016"/>
      <c r="I2016"/>
      <c r="J2016"/>
      <c r="K2016"/>
    </row>
    <row r="2017" spans="1:11" ht="12.75" x14ac:dyDescent="0.35">
      <c r="A2017"/>
      <c r="B2017"/>
      <c r="C2017"/>
      <c r="D2017"/>
      <c r="E2017"/>
      <c r="F2017"/>
      <c r="G2017"/>
      <c r="H2017"/>
      <c r="I2017"/>
      <c r="J2017"/>
      <c r="K2017"/>
    </row>
    <row r="2018" spans="1:11" ht="12.75" x14ac:dyDescent="0.35">
      <c r="A2018"/>
      <c r="B2018"/>
      <c r="C2018"/>
      <c r="D2018"/>
      <c r="E2018"/>
      <c r="F2018"/>
      <c r="G2018"/>
      <c r="H2018"/>
      <c r="I2018"/>
      <c r="J2018"/>
      <c r="K2018"/>
    </row>
    <row r="2019" spans="1:11" ht="12.75" x14ac:dyDescent="0.35">
      <c r="A2019"/>
      <c r="B2019"/>
      <c r="C2019"/>
      <c r="D2019"/>
      <c r="E2019"/>
      <c r="F2019"/>
      <c r="G2019"/>
      <c r="H2019"/>
      <c r="I2019"/>
      <c r="J2019"/>
      <c r="K2019"/>
    </row>
    <row r="2020" spans="1:11" ht="12.75" x14ac:dyDescent="0.35">
      <c r="A2020"/>
      <c r="B2020"/>
      <c r="C2020"/>
      <c r="D2020"/>
      <c r="E2020"/>
      <c r="F2020"/>
      <c r="G2020"/>
      <c r="H2020"/>
      <c r="I2020"/>
      <c r="J2020"/>
      <c r="K2020"/>
    </row>
    <row r="2021" spans="1:11" ht="12.75" x14ac:dyDescent="0.35">
      <c r="A2021"/>
      <c r="B2021"/>
      <c r="C2021"/>
      <c r="D2021"/>
      <c r="E2021"/>
      <c r="F2021"/>
      <c r="G2021"/>
      <c r="H2021"/>
      <c r="I2021"/>
      <c r="J2021"/>
      <c r="K2021"/>
    </row>
    <row r="2022" spans="1:11" ht="12.75" x14ac:dyDescent="0.35">
      <c r="A2022"/>
      <c r="B2022"/>
      <c r="C2022"/>
      <c r="D2022"/>
      <c r="E2022"/>
      <c r="F2022"/>
      <c r="G2022"/>
      <c r="H2022"/>
      <c r="I2022"/>
      <c r="J2022"/>
      <c r="K2022"/>
    </row>
    <row r="2023" spans="1:11" ht="12.75" x14ac:dyDescent="0.35">
      <c r="A2023"/>
      <c r="B2023"/>
      <c r="C2023"/>
      <c r="D2023"/>
      <c r="E2023"/>
      <c r="F2023"/>
      <c r="G2023"/>
      <c r="H2023"/>
      <c r="I2023"/>
      <c r="J2023"/>
      <c r="K2023"/>
    </row>
    <row r="2024" spans="1:11" ht="12.75" x14ac:dyDescent="0.35">
      <c r="A2024"/>
      <c r="B2024"/>
      <c r="C2024"/>
      <c r="D2024"/>
      <c r="E2024"/>
      <c r="F2024"/>
      <c r="G2024"/>
      <c r="H2024"/>
      <c r="I2024"/>
      <c r="J2024"/>
      <c r="K2024"/>
    </row>
    <row r="2025" spans="1:11" ht="12.75" x14ac:dyDescent="0.35">
      <c r="A2025"/>
      <c r="B2025"/>
      <c r="C2025"/>
      <c r="D2025"/>
      <c r="E2025"/>
      <c r="F2025"/>
      <c r="G2025"/>
      <c r="H2025"/>
      <c r="I2025"/>
      <c r="J2025"/>
      <c r="K2025"/>
    </row>
    <row r="2026" spans="1:11" ht="12.75" x14ac:dyDescent="0.35">
      <c r="A2026"/>
      <c r="B2026"/>
      <c r="C2026"/>
      <c r="D2026"/>
      <c r="E2026"/>
      <c r="F2026"/>
      <c r="G2026"/>
      <c r="H2026"/>
      <c r="I2026"/>
      <c r="J2026"/>
      <c r="K2026"/>
    </row>
    <row r="2027" spans="1:11" ht="12.75" x14ac:dyDescent="0.35">
      <c r="A2027"/>
      <c r="B2027"/>
      <c r="C2027"/>
      <c r="D2027"/>
      <c r="E2027"/>
      <c r="F2027"/>
      <c r="G2027"/>
      <c r="H2027"/>
      <c r="I2027"/>
      <c r="J2027"/>
      <c r="K2027"/>
    </row>
    <row r="2028" spans="1:11" ht="12.75" x14ac:dyDescent="0.35">
      <c r="A2028"/>
      <c r="B2028"/>
      <c r="C2028"/>
      <c r="D2028"/>
      <c r="E2028"/>
      <c r="F2028"/>
      <c r="G2028"/>
      <c r="H2028"/>
      <c r="I2028"/>
      <c r="J2028"/>
      <c r="K2028"/>
    </row>
    <row r="2029" spans="1:11" ht="12.75" x14ac:dyDescent="0.35">
      <c r="A2029"/>
      <c r="B2029"/>
      <c r="C2029"/>
      <c r="D2029"/>
      <c r="E2029"/>
      <c r="F2029"/>
      <c r="G2029"/>
      <c r="H2029"/>
      <c r="I2029"/>
      <c r="J2029"/>
      <c r="K2029"/>
    </row>
    <row r="2030" spans="1:11" ht="12.75" x14ac:dyDescent="0.35">
      <c r="A2030"/>
      <c r="B2030"/>
      <c r="C2030"/>
      <c r="D2030"/>
      <c r="E2030"/>
      <c r="F2030"/>
      <c r="G2030"/>
      <c r="H2030"/>
      <c r="I2030"/>
      <c r="J2030"/>
      <c r="K2030"/>
    </row>
    <row r="2031" spans="1:11" ht="12.75" x14ac:dyDescent="0.35">
      <c r="A2031"/>
      <c r="B2031"/>
      <c r="C2031"/>
      <c r="D2031"/>
      <c r="E2031"/>
      <c r="F2031"/>
      <c r="G2031"/>
      <c r="H2031"/>
      <c r="I2031"/>
      <c r="J2031"/>
      <c r="K2031"/>
    </row>
    <row r="2032" spans="1:11" ht="12.75" x14ac:dyDescent="0.35">
      <c r="A2032"/>
      <c r="B2032"/>
      <c r="C2032"/>
      <c r="D2032"/>
      <c r="E2032"/>
      <c r="F2032"/>
      <c r="G2032"/>
      <c r="H2032"/>
      <c r="I2032"/>
      <c r="J2032"/>
      <c r="K2032"/>
    </row>
    <row r="2033" spans="1:11" ht="12.75" x14ac:dyDescent="0.35">
      <c r="A2033"/>
      <c r="B2033"/>
      <c r="C2033"/>
      <c r="D2033"/>
      <c r="E2033"/>
      <c r="F2033"/>
      <c r="G2033"/>
      <c r="H2033"/>
      <c r="I2033"/>
      <c r="J2033"/>
      <c r="K2033"/>
    </row>
    <row r="2034" spans="1:11" ht="12.75" x14ac:dyDescent="0.35">
      <c r="A2034"/>
      <c r="B2034"/>
      <c r="C2034"/>
      <c r="D2034"/>
      <c r="E2034"/>
      <c r="F2034"/>
      <c r="G2034"/>
      <c r="H2034"/>
      <c r="I2034"/>
      <c r="J2034"/>
      <c r="K2034"/>
    </row>
    <row r="2035" spans="1:11" ht="12.75" x14ac:dyDescent="0.35">
      <c r="A2035"/>
      <c r="B2035"/>
      <c r="C2035"/>
      <c r="D2035"/>
      <c r="E2035"/>
      <c r="F2035"/>
      <c r="G2035"/>
      <c r="H2035"/>
      <c r="I2035"/>
      <c r="J2035"/>
      <c r="K2035"/>
    </row>
    <row r="2036" spans="1:11" ht="12.75" x14ac:dyDescent="0.35">
      <c r="A2036"/>
      <c r="B2036"/>
      <c r="C2036"/>
      <c r="D2036"/>
      <c r="E2036"/>
      <c r="F2036"/>
      <c r="G2036"/>
      <c r="H2036"/>
      <c r="I2036"/>
      <c r="J2036"/>
      <c r="K2036"/>
    </row>
    <row r="2037" spans="1:11" ht="12.75" x14ac:dyDescent="0.35">
      <c r="A2037"/>
      <c r="B2037"/>
      <c r="C2037"/>
      <c r="D2037"/>
      <c r="E2037"/>
      <c r="F2037"/>
      <c r="G2037"/>
      <c r="H2037"/>
      <c r="I2037"/>
      <c r="J2037"/>
      <c r="K2037"/>
    </row>
    <row r="2038" spans="1:11" ht="12.75" x14ac:dyDescent="0.35">
      <c r="A2038"/>
      <c r="B2038"/>
      <c r="C2038"/>
      <c r="D2038"/>
      <c r="E2038"/>
      <c r="F2038"/>
      <c r="G2038"/>
      <c r="H2038"/>
      <c r="I2038"/>
      <c r="J2038"/>
      <c r="K2038"/>
    </row>
    <row r="2039" spans="1:11" ht="12.75" x14ac:dyDescent="0.35">
      <c r="A2039"/>
      <c r="B2039"/>
      <c r="C2039"/>
      <c r="D2039"/>
      <c r="E2039"/>
      <c r="F2039"/>
      <c r="G2039"/>
      <c r="H2039"/>
      <c r="I2039"/>
      <c r="J2039"/>
      <c r="K2039"/>
    </row>
    <row r="2040" spans="1:11" ht="12.75" x14ac:dyDescent="0.35">
      <c r="A2040"/>
      <c r="B2040"/>
      <c r="C2040"/>
      <c r="D2040"/>
      <c r="E2040"/>
      <c r="F2040"/>
      <c r="G2040"/>
      <c r="H2040"/>
      <c r="I2040"/>
      <c r="J2040"/>
      <c r="K2040"/>
    </row>
    <row r="2041" spans="1:11" ht="12.75" x14ac:dyDescent="0.35">
      <c r="A2041"/>
      <c r="B2041"/>
      <c r="C2041"/>
      <c r="D2041"/>
      <c r="E2041"/>
      <c r="F2041"/>
      <c r="G2041"/>
      <c r="H2041"/>
      <c r="I2041"/>
      <c r="J2041"/>
      <c r="K2041"/>
    </row>
    <row r="2042" spans="1:11" ht="12.75" x14ac:dyDescent="0.35">
      <c r="A2042"/>
      <c r="B2042"/>
      <c r="C2042"/>
      <c r="D2042"/>
      <c r="E2042"/>
      <c r="F2042"/>
      <c r="G2042"/>
      <c r="H2042"/>
      <c r="I2042"/>
      <c r="J2042"/>
      <c r="K2042"/>
    </row>
    <row r="2043" spans="1:11" ht="12.75" x14ac:dyDescent="0.35">
      <c r="A2043"/>
      <c r="B2043"/>
      <c r="C2043"/>
      <c r="D2043"/>
      <c r="E2043"/>
      <c r="F2043"/>
      <c r="G2043"/>
      <c r="H2043"/>
      <c r="I2043"/>
      <c r="J2043"/>
      <c r="K2043"/>
    </row>
    <row r="2044" spans="1:11" ht="12.75" x14ac:dyDescent="0.35">
      <c r="A2044"/>
      <c r="B2044"/>
      <c r="C2044"/>
      <c r="D2044"/>
      <c r="E2044"/>
      <c r="F2044"/>
      <c r="G2044"/>
      <c r="H2044"/>
      <c r="I2044"/>
      <c r="J2044"/>
      <c r="K2044"/>
    </row>
    <row r="2045" spans="1:11" ht="12.75" x14ac:dyDescent="0.35">
      <c r="A2045"/>
      <c r="B2045"/>
      <c r="C2045"/>
      <c r="D2045"/>
      <c r="E2045"/>
      <c r="F2045"/>
      <c r="G2045"/>
      <c r="H2045"/>
      <c r="I2045"/>
      <c r="J2045"/>
      <c r="K2045"/>
    </row>
    <row r="2046" spans="1:11" ht="12.75" x14ac:dyDescent="0.35">
      <c r="A2046"/>
      <c r="B2046"/>
      <c r="C2046"/>
      <c r="D2046"/>
      <c r="E2046"/>
      <c r="F2046"/>
      <c r="G2046"/>
      <c r="H2046"/>
      <c r="I2046"/>
      <c r="J2046"/>
      <c r="K2046"/>
    </row>
    <row r="2047" spans="1:11" ht="12.75" x14ac:dyDescent="0.35">
      <c r="A2047"/>
      <c r="B2047"/>
      <c r="C2047"/>
      <c r="D2047"/>
      <c r="E2047"/>
      <c r="F2047"/>
      <c r="G2047"/>
      <c r="H2047"/>
      <c r="I2047"/>
      <c r="J2047"/>
      <c r="K2047"/>
    </row>
    <row r="2048" spans="1:11" ht="12.75" x14ac:dyDescent="0.35">
      <c r="A2048"/>
      <c r="B2048"/>
      <c r="C2048"/>
      <c r="D2048"/>
      <c r="E2048"/>
      <c r="F2048"/>
      <c r="G2048"/>
      <c r="H2048"/>
      <c r="I2048"/>
      <c r="J2048"/>
      <c r="K2048"/>
    </row>
    <row r="2049" spans="1:11" ht="12.75" x14ac:dyDescent="0.35">
      <c r="A2049"/>
      <c r="B2049"/>
      <c r="C2049"/>
      <c r="D2049"/>
      <c r="E2049"/>
      <c r="F2049"/>
      <c r="G2049"/>
      <c r="H2049"/>
      <c r="I2049"/>
      <c r="J2049"/>
      <c r="K2049"/>
    </row>
    <row r="2050" spans="1:11" ht="12.75" x14ac:dyDescent="0.35">
      <c r="A2050"/>
      <c r="B2050"/>
      <c r="C2050"/>
      <c r="D2050"/>
      <c r="E2050"/>
      <c r="F2050"/>
      <c r="G2050"/>
      <c r="H2050"/>
      <c r="I2050"/>
      <c r="J2050"/>
      <c r="K2050"/>
    </row>
    <row r="2051" spans="1:11" ht="12.75" x14ac:dyDescent="0.35">
      <c r="A2051"/>
      <c r="B2051"/>
      <c r="C2051"/>
      <c r="D2051"/>
      <c r="E2051"/>
      <c r="F2051"/>
      <c r="G2051"/>
      <c r="H2051"/>
      <c r="I2051"/>
      <c r="J2051"/>
      <c r="K2051"/>
    </row>
    <row r="2052" spans="1:11" ht="12.75" x14ac:dyDescent="0.35">
      <c r="A2052"/>
      <c r="B2052"/>
      <c r="C2052"/>
      <c r="D2052"/>
      <c r="E2052"/>
      <c r="F2052"/>
      <c r="G2052"/>
      <c r="H2052"/>
      <c r="I2052"/>
      <c r="J2052"/>
      <c r="K2052"/>
    </row>
    <row r="2053" spans="1:11" ht="12.75" x14ac:dyDescent="0.35">
      <c r="A2053"/>
      <c r="B2053"/>
      <c r="C2053"/>
      <c r="D2053"/>
      <c r="E2053"/>
      <c r="F2053"/>
      <c r="G2053"/>
      <c r="H2053"/>
      <c r="I2053"/>
      <c r="J2053"/>
      <c r="K2053"/>
    </row>
    <row r="2054" spans="1:11" ht="12.75" x14ac:dyDescent="0.35">
      <c r="A2054"/>
      <c r="B2054"/>
      <c r="C2054"/>
      <c r="D2054"/>
      <c r="E2054"/>
      <c r="F2054"/>
      <c r="G2054"/>
      <c r="H2054"/>
      <c r="I2054"/>
      <c r="J2054"/>
      <c r="K2054"/>
    </row>
    <row r="2055" spans="1:11" ht="12.75" x14ac:dyDescent="0.35">
      <c r="A2055"/>
      <c r="B2055"/>
      <c r="C2055"/>
      <c r="D2055"/>
      <c r="E2055"/>
      <c r="F2055"/>
      <c r="G2055"/>
      <c r="H2055"/>
      <c r="I2055"/>
      <c r="J2055"/>
      <c r="K2055"/>
    </row>
    <row r="2056" spans="1:11" ht="12.75" x14ac:dyDescent="0.35">
      <c r="A2056"/>
      <c r="B2056"/>
      <c r="C2056"/>
      <c r="D2056"/>
      <c r="E2056"/>
      <c r="F2056"/>
      <c r="G2056"/>
      <c r="H2056"/>
      <c r="I2056"/>
      <c r="J2056"/>
      <c r="K2056"/>
    </row>
    <row r="2057" spans="1:11" ht="12.75" x14ac:dyDescent="0.35">
      <c r="A2057"/>
      <c r="B2057"/>
      <c r="C2057"/>
      <c r="D2057"/>
      <c r="E2057"/>
      <c r="F2057"/>
      <c r="G2057"/>
      <c r="H2057"/>
      <c r="I2057"/>
      <c r="J2057"/>
      <c r="K2057"/>
    </row>
    <row r="2058" spans="1:11" ht="12.75" x14ac:dyDescent="0.35">
      <c r="A2058"/>
      <c r="B2058"/>
      <c r="C2058"/>
      <c r="D2058"/>
      <c r="E2058"/>
      <c r="F2058"/>
      <c r="G2058"/>
      <c r="H2058"/>
      <c r="I2058"/>
      <c r="J2058"/>
      <c r="K2058"/>
    </row>
    <row r="2059" spans="1:11" ht="12.75" x14ac:dyDescent="0.35">
      <c r="A2059"/>
      <c r="B2059"/>
      <c r="C2059"/>
      <c r="D2059"/>
      <c r="E2059"/>
      <c r="F2059"/>
      <c r="G2059"/>
      <c r="H2059"/>
      <c r="I2059"/>
      <c r="J2059"/>
      <c r="K2059"/>
    </row>
    <row r="2060" spans="1:11" ht="12.75" x14ac:dyDescent="0.35">
      <c r="A2060"/>
      <c r="B2060"/>
      <c r="C2060"/>
      <c r="D2060"/>
      <c r="E2060"/>
      <c r="F2060"/>
      <c r="G2060"/>
      <c r="H2060"/>
      <c r="I2060"/>
      <c r="J2060"/>
      <c r="K2060"/>
    </row>
    <row r="2061" spans="1:11" ht="12.75" x14ac:dyDescent="0.35">
      <c r="A2061"/>
      <c r="B2061"/>
      <c r="C2061"/>
      <c r="D2061"/>
      <c r="E2061"/>
      <c r="F2061"/>
      <c r="G2061"/>
      <c r="H2061"/>
      <c r="I2061"/>
      <c r="J2061"/>
      <c r="K2061"/>
    </row>
    <row r="2062" spans="1:11" ht="12.75" x14ac:dyDescent="0.35">
      <c r="A2062"/>
      <c r="B2062"/>
      <c r="C2062"/>
      <c r="D2062"/>
      <c r="E2062"/>
      <c r="F2062"/>
      <c r="G2062"/>
      <c r="H2062"/>
      <c r="I2062"/>
      <c r="J2062"/>
      <c r="K2062"/>
    </row>
    <row r="2063" spans="1:11" ht="12.75" x14ac:dyDescent="0.35">
      <c r="A2063"/>
      <c r="B2063"/>
      <c r="C2063"/>
      <c r="D2063"/>
      <c r="E2063"/>
      <c r="F2063"/>
      <c r="G2063"/>
      <c r="H2063"/>
      <c r="I2063"/>
      <c r="J2063"/>
      <c r="K2063"/>
    </row>
    <row r="2064" spans="1:11" ht="12.75" x14ac:dyDescent="0.35">
      <c r="A2064"/>
      <c r="B2064"/>
      <c r="C2064"/>
      <c r="D2064"/>
      <c r="E2064"/>
      <c r="F2064"/>
      <c r="G2064"/>
      <c r="H2064"/>
      <c r="I2064"/>
      <c r="J2064"/>
      <c r="K2064"/>
    </row>
    <row r="2065" spans="1:11" ht="12.75" x14ac:dyDescent="0.35">
      <c r="A2065"/>
      <c r="B2065"/>
      <c r="C2065"/>
      <c r="D2065"/>
      <c r="E2065"/>
      <c r="F2065"/>
      <c r="G2065"/>
      <c r="H2065"/>
      <c r="I2065"/>
      <c r="J2065"/>
      <c r="K2065"/>
    </row>
    <row r="2066" spans="1:11" ht="12.75" x14ac:dyDescent="0.35">
      <c r="A2066"/>
      <c r="B2066"/>
      <c r="C2066"/>
      <c r="D2066"/>
      <c r="E2066"/>
      <c r="F2066"/>
      <c r="G2066"/>
      <c r="H2066"/>
      <c r="I2066"/>
      <c r="J2066"/>
      <c r="K2066"/>
    </row>
    <row r="2067" spans="1:11" ht="12.75" x14ac:dyDescent="0.35">
      <c r="A2067"/>
      <c r="B2067"/>
      <c r="C2067"/>
      <c r="D2067"/>
      <c r="E2067"/>
      <c r="F2067"/>
      <c r="G2067"/>
      <c r="H2067"/>
      <c r="I2067"/>
      <c r="J2067"/>
      <c r="K2067"/>
    </row>
    <row r="2068" spans="1:11" ht="12.75" x14ac:dyDescent="0.35">
      <c r="A2068"/>
      <c r="B2068"/>
      <c r="C2068"/>
      <c r="D2068"/>
      <c r="E2068"/>
      <c r="F2068"/>
      <c r="G2068"/>
      <c r="H2068"/>
      <c r="I2068"/>
      <c r="J2068"/>
      <c r="K2068"/>
    </row>
    <row r="2069" spans="1:11" ht="12.75" x14ac:dyDescent="0.35">
      <c r="A2069"/>
      <c r="B2069"/>
      <c r="C2069"/>
      <c r="D2069"/>
      <c r="E2069"/>
      <c r="F2069"/>
      <c r="G2069"/>
      <c r="H2069"/>
      <c r="I2069"/>
      <c r="J2069"/>
      <c r="K2069"/>
    </row>
    <row r="2070" spans="1:11" ht="12.75" x14ac:dyDescent="0.35">
      <c r="A2070"/>
      <c r="B2070"/>
      <c r="C2070"/>
      <c r="D2070"/>
      <c r="E2070"/>
      <c r="F2070"/>
      <c r="G2070"/>
      <c r="H2070"/>
      <c r="I2070"/>
      <c r="J2070"/>
      <c r="K2070"/>
    </row>
    <row r="2071" spans="1:11" ht="12.75" x14ac:dyDescent="0.35">
      <c r="A2071"/>
      <c r="B2071"/>
      <c r="C2071"/>
      <c r="D2071"/>
      <c r="E2071"/>
      <c r="F2071"/>
      <c r="G2071"/>
      <c r="H2071"/>
      <c r="I2071"/>
      <c r="J2071"/>
      <c r="K2071"/>
    </row>
    <row r="2072" spans="1:11" ht="12.75" x14ac:dyDescent="0.35">
      <c r="A2072"/>
      <c r="B2072"/>
      <c r="C2072"/>
      <c r="D2072"/>
      <c r="E2072"/>
      <c r="F2072"/>
      <c r="G2072"/>
      <c r="H2072"/>
      <c r="I2072"/>
      <c r="J2072"/>
      <c r="K2072"/>
    </row>
    <row r="2073" spans="1:11" ht="12.75" x14ac:dyDescent="0.35">
      <c r="A2073"/>
      <c r="B2073"/>
      <c r="C2073"/>
      <c r="D2073"/>
      <c r="E2073"/>
      <c r="F2073"/>
      <c r="G2073"/>
      <c r="H2073"/>
      <c r="I2073"/>
      <c r="J2073"/>
      <c r="K2073"/>
    </row>
    <row r="2074" spans="1:11" ht="12.75" x14ac:dyDescent="0.35">
      <c r="A2074"/>
      <c r="B2074"/>
      <c r="C2074"/>
      <c r="D2074"/>
      <c r="E2074"/>
      <c r="F2074"/>
      <c r="G2074"/>
      <c r="H2074"/>
      <c r="I2074"/>
      <c r="J2074"/>
      <c r="K2074"/>
    </row>
    <row r="2075" spans="1:11" ht="12.75" x14ac:dyDescent="0.35">
      <c r="A2075"/>
      <c r="B2075"/>
      <c r="C2075"/>
      <c r="D2075"/>
      <c r="E2075"/>
      <c r="F2075"/>
      <c r="G2075"/>
      <c r="H2075"/>
      <c r="I2075"/>
      <c r="J2075"/>
      <c r="K2075"/>
    </row>
    <row r="2076" spans="1:11" ht="12.75" x14ac:dyDescent="0.35">
      <c r="A2076"/>
      <c r="B2076"/>
      <c r="C2076"/>
      <c r="D2076"/>
      <c r="E2076"/>
      <c r="F2076"/>
      <c r="G2076"/>
      <c r="H2076"/>
      <c r="I2076"/>
      <c r="J2076"/>
      <c r="K2076"/>
    </row>
    <row r="2077" spans="1:11" ht="12.75" x14ac:dyDescent="0.35">
      <c r="A2077"/>
      <c r="B2077"/>
      <c r="C2077"/>
      <c r="D2077"/>
      <c r="E2077"/>
      <c r="F2077"/>
      <c r="G2077"/>
      <c r="H2077"/>
      <c r="I2077"/>
      <c r="J2077"/>
      <c r="K2077"/>
    </row>
    <row r="2078" spans="1:11" ht="12.75" x14ac:dyDescent="0.35">
      <c r="A2078"/>
      <c r="B2078"/>
      <c r="C2078"/>
      <c r="D2078"/>
      <c r="E2078"/>
      <c r="F2078"/>
      <c r="G2078"/>
      <c r="H2078"/>
      <c r="I2078"/>
      <c r="J2078"/>
      <c r="K2078"/>
    </row>
    <row r="2079" spans="1:11" ht="12.75" x14ac:dyDescent="0.35">
      <c r="A2079"/>
      <c r="B2079"/>
      <c r="C2079"/>
      <c r="D2079"/>
      <c r="E2079"/>
      <c r="F2079"/>
      <c r="G2079"/>
      <c r="H2079"/>
      <c r="I2079"/>
      <c r="J2079"/>
      <c r="K2079"/>
    </row>
    <row r="2080" spans="1:11" ht="12.75" x14ac:dyDescent="0.35">
      <c r="A2080"/>
      <c r="B2080"/>
      <c r="C2080"/>
      <c r="D2080"/>
      <c r="E2080"/>
      <c r="F2080"/>
      <c r="G2080"/>
      <c r="H2080"/>
      <c r="I2080"/>
      <c r="J2080"/>
      <c r="K2080"/>
    </row>
    <row r="2081" spans="1:11" ht="12.75" x14ac:dyDescent="0.35">
      <c r="A2081"/>
      <c r="B2081"/>
      <c r="C2081"/>
      <c r="D2081"/>
      <c r="E2081"/>
      <c r="F2081"/>
      <c r="G2081"/>
      <c r="H2081"/>
      <c r="I2081"/>
      <c r="J2081"/>
      <c r="K2081"/>
    </row>
    <row r="2082" spans="1:11" ht="12.75" x14ac:dyDescent="0.35">
      <c r="A2082"/>
      <c r="B2082"/>
      <c r="C2082"/>
      <c r="D2082"/>
      <c r="E2082"/>
      <c r="F2082"/>
      <c r="G2082"/>
      <c r="H2082"/>
      <c r="I2082"/>
      <c r="J2082"/>
      <c r="K2082"/>
    </row>
    <row r="2083" spans="1:11" ht="12.75" x14ac:dyDescent="0.35">
      <c r="A2083"/>
      <c r="B2083"/>
      <c r="C2083"/>
      <c r="D2083"/>
      <c r="E2083"/>
      <c r="F2083"/>
      <c r="G2083"/>
      <c r="H2083"/>
      <c r="I2083"/>
      <c r="J2083"/>
      <c r="K2083"/>
    </row>
    <row r="2084" spans="1:11" ht="12.75" x14ac:dyDescent="0.35">
      <c r="A2084"/>
      <c r="B2084"/>
      <c r="C2084"/>
      <c r="D2084"/>
      <c r="E2084"/>
      <c r="F2084"/>
      <c r="G2084"/>
      <c r="H2084"/>
      <c r="I2084"/>
      <c r="J2084"/>
      <c r="K2084"/>
    </row>
    <row r="2085" spans="1:11" ht="12.75" x14ac:dyDescent="0.35">
      <c r="A2085"/>
      <c r="B2085"/>
      <c r="C2085"/>
      <c r="D2085"/>
      <c r="E2085"/>
      <c r="F2085"/>
      <c r="G2085"/>
      <c r="H2085"/>
      <c r="I2085"/>
      <c r="J2085"/>
      <c r="K2085"/>
    </row>
    <row r="2086" spans="1:11" ht="12.75" x14ac:dyDescent="0.35">
      <c r="A2086"/>
      <c r="B2086"/>
      <c r="C2086"/>
      <c r="D2086"/>
      <c r="E2086"/>
      <c r="F2086"/>
      <c r="G2086"/>
      <c r="H2086"/>
      <c r="I2086"/>
      <c r="J2086"/>
      <c r="K2086"/>
    </row>
    <row r="2087" spans="1:11" ht="12.75" x14ac:dyDescent="0.35">
      <c r="A2087"/>
      <c r="B2087"/>
      <c r="C2087"/>
      <c r="D2087"/>
      <c r="E2087"/>
      <c r="F2087"/>
      <c r="G2087"/>
      <c r="H2087"/>
      <c r="I2087"/>
      <c r="J2087"/>
      <c r="K2087"/>
    </row>
    <row r="2088" spans="1:11" ht="12.75" x14ac:dyDescent="0.35">
      <c r="A2088"/>
      <c r="B2088"/>
      <c r="C2088"/>
      <c r="D2088"/>
      <c r="E2088"/>
      <c r="F2088"/>
      <c r="G2088"/>
      <c r="H2088"/>
      <c r="I2088"/>
      <c r="J2088"/>
      <c r="K2088"/>
    </row>
    <row r="2089" spans="1:11" ht="12.75" x14ac:dyDescent="0.35">
      <c r="A2089"/>
      <c r="B2089"/>
      <c r="C2089"/>
      <c r="D2089"/>
      <c r="E2089"/>
      <c r="F2089"/>
      <c r="G2089"/>
      <c r="H2089"/>
      <c r="I2089"/>
      <c r="J2089"/>
      <c r="K2089"/>
    </row>
    <row r="2090" spans="1:11" ht="12.75" x14ac:dyDescent="0.35">
      <c r="A2090"/>
      <c r="B2090"/>
      <c r="C2090"/>
      <c r="D2090"/>
      <c r="E2090"/>
      <c r="F2090"/>
      <c r="G2090"/>
      <c r="H2090"/>
      <c r="I2090"/>
      <c r="J2090"/>
      <c r="K2090"/>
    </row>
    <row r="2091" spans="1:11" ht="12.75" x14ac:dyDescent="0.35">
      <c r="A2091"/>
      <c r="B2091"/>
      <c r="C2091"/>
      <c r="D2091"/>
      <c r="E2091"/>
      <c r="F2091"/>
      <c r="G2091"/>
      <c r="H2091"/>
      <c r="I2091"/>
      <c r="J2091"/>
      <c r="K2091"/>
    </row>
    <row r="2092" spans="1:11" ht="12.75" x14ac:dyDescent="0.35">
      <c r="A2092"/>
      <c r="B2092"/>
      <c r="C2092"/>
      <c r="D2092"/>
      <c r="E2092"/>
      <c r="F2092"/>
      <c r="G2092"/>
      <c r="H2092"/>
      <c r="I2092"/>
      <c r="J2092"/>
      <c r="K2092"/>
    </row>
    <row r="2093" spans="1:11" ht="12.75" x14ac:dyDescent="0.35">
      <c r="A2093"/>
      <c r="B2093"/>
      <c r="C2093"/>
      <c r="D2093"/>
      <c r="E2093"/>
      <c r="F2093"/>
      <c r="G2093"/>
      <c r="H2093"/>
      <c r="I2093"/>
      <c r="J2093"/>
      <c r="K2093"/>
    </row>
    <row r="2094" spans="1:11" ht="12.75" x14ac:dyDescent="0.35">
      <c r="A2094"/>
      <c r="B2094"/>
      <c r="C2094"/>
      <c r="D2094"/>
      <c r="E2094"/>
      <c r="F2094"/>
      <c r="G2094"/>
      <c r="H2094"/>
      <c r="I2094"/>
      <c r="J2094"/>
      <c r="K2094"/>
    </row>
    <row r="2095" spans="1:11" ht="12.75" x14ac:dyDescent="0.35">
      <c r="A2095"/>
      <c r="B2095"/>
      <c r="C2095"/>
      <c r="D2095"/>
      <c r="E2095"/>
      <c r="F2095"/>
      <c r="G2095"/>
      <c r="H2095"/>
      <c r="I2095"/>
      <c r="J2095"/>
      <c r="K2095"/>
    </row>
    <row r="2096" spans="1:11" ht="12.75" x14ac:dyDescent="0.35">
      <c r="A2096"/>
      <c r="B2096"/>
      <c r="C2096"/>
      <c r="D2096"/>
      <c r="E2096"/>
      <c r="F2096"/>
      <c r="G2096"/>
      <c r="H2096"/>
      <c r="I2096"/>
      <c r="J2096"/>
      <c r="K2096"/>
    </row>
    <row r="2097" spans="1:11" ht="12.75" x14ac:dyDescent="0.35">
      <c r="A2097"/>
      <c r="B2097"/>
      <c r="C2097"/>
      <c r="D2097"/>
      <c r="E2097"/>
      <c r="F2097"/>
      <c r="G2097"/>
      <c r="H2097"/>
      <c r="I2097"/>
      <c r="J2097"/>
      <c r="K2097"/>
    </row>
    <row r="2098" spans="1:11" ht="12.75" x14ac:dyDescent="0.35">
      <c r="A2098"/>
      <c r="B2098"/>
      <c r="C2098"/>
      <c r="D2098"/>
      <c r="E2098"/>
      <c r="F2098"/>
      <c r="G2098"/>
      <c r="H2098"/>
      <c r="I2098"/>
      <c r="J2098"/>
      <c r="K2098"/>
    </row>
    <row r="2099" spans="1:11" ht="12.75" x14ac:dyDescent="0.35">
      <c r="A2099"/>
      <c r="B2099"/>
      <c r="C2099"/>
      <c r="D2099"/>
      <c r="E2099"/>
      <c r="F2099"/>
      <c r="G2099"/>
      <c r="H2099"/>
      <c r="I2099"/>
      <c r="J2099"/>
      <c r="K2099"/>
    </row>
    <row r="2100" spans="1:11" ht="12.75" x14ac:dyDescent="0.35">
      <c r="A2100"/>
      <c r="B2100"/>
      <c r="C2100"/>
      <c r="D2100"/>
      <c r="E2100"/>
      <c r="F2100"/>
      <c r="G2100"/>
      <c r="H2100"/>
      <c r="I2100"/>
      <c r="J2100"/>
      <c r="K2100"/>
    </row>
    <row r="2101" spans="1:11" ht="12.75" x14ac:dyDescent="0.35">
      <c r="A2101"/>
      <c r="B2101"/>
      <c r="C2101"/>
      <c r="D2101"/>
      <c r="E2101"/>
      <c r="F2101"/>
      <c r="G2101"/>
      <c r="H2101"/>
      <c r="I2101"/>
      <c r="J2101"/>
      <c r="K2101"/>
    </row>
    <row r="2102" spans="1:11" ht="12.75" x14ac:dyDescent="0.35">
      <c r="A2102"/>
      <c r="B2102"/>
      <c r="C2102"/>
      <c r="D2102"/>
      <c r="E2102"/>
      <c r="F2102"/>
      <c r="G2102"/>
      <c r="H2102"/>
      <c r="I2102"/>
      <c r="J2102"/>
      <c r="K2102"/>
    </row>
    <row r="2103" spans="1:11" ht="12.75" x14ac:dyDescent="0.35">
      <c r="A2103"/>
      <c r="B2103"/>
      <c r="C2103"/>
      <c r="D2103"/>
      <c r="E2103"/>
      <c r="F2103"/>
      <c r="G2103"/>
      <c r="H2103"/>
      <c r="I2103"/>
      <c r="J2103"/>
      <c r="K2103"/>
    </row>
    <row r="2104" spans="1:11" ht="12.75" x14ac:dyDescent="0.35">
      <c r="A2104"/>
      <c r="B2104"/>
      <c r="C2104"/>
      <c r="D2104"/>
      <c r="E2104"/>
      <c r="F2104"/>
      <c r="G2104"/>
      <c r="H2104"/>
      <c r="I2104"/>
      <c r="J2104"/>
      <c r="K2104"/>
    </row>
    <row r="2105" spans="1:11" ht="12.75" x14ac:dyDescent="0.35">
      <c r="A2105"/>
      <c r="B2105"/>
      <c r="C2105"/>
      <c r="D2105"/>
      <c r="E2105"/>
      <c r="F2105"/>
      <c r="G2105"/>
      <c r="H2105"/>
      <c r="I2105"/>
      <c r="J2105"/>
      <c r="K2105"/>
    </row>
    <row r="2106" spans="1:11" ht="12.75" x14ac:dyDescent="0.35">
      <c r="A2106"/>
      <c r="B2106"/>
      <c r="C2106"/>
      <c r="D2106"/>
      <c r="E2106"/>
      <c r="F2106"/>
      <c r="G2106"/>
      <c r="H2106"/>
      <c r="I2106"/>
      <c r="J2106"/>
      <c r="K2106"/>
    </row>
  </sheetData>
  <sortState xmlns:xlrd2="http://schemas.microsoft.com/office/spreadsheetml/2017/richdata2" ref="A30:J59">
    <sortCondition ref="A30:A59"/>
  </sortState>
  <phoneticPr fontId="39" type="noConversion"/>
  <printOptions gridLines="1"/>
  <pageMargins left="0.23622047244094491" right="0.23622047244094491" top="0.70866141732283472" bottom="0" header="0.19685039370078741" footer="0"/>
  <pageSetup scale="77" fitToWidth="0" orientation="portrait" horizontalDpi="300" verticalDpi="300" r:id="rId1"/>
  <headerFooter alignWithMargins="0">
    <oddHeader xml:space="preserve">&amp;L2-May-2023
&amp;A
&amp;CTOWN OF TOPSFIELD FINANCE COMMITTEE
BUDGET WORKSHEETS
&amp;R&amp;"Arial,Bold"&amp;12VERSION 2.1
FY 2024
</oddHeader>
    <oddFooter xml:space="preserve">&amp;R
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49"/>
  <sheetViews>
    <sheetView topLeftCell="A15" workbookViewId="0">
      <selection activeCell="AB37" sqref="AB37"/>
    </sheetView>
  </sheetViews>
  <sheetFormatPr defaultColWidth="8.86328125" defaultRowHeight="10.15" x14ac:dyDescent="0.3"/>
  <cols>
    <col min="1" max="1" width="33.1328125" style="108" customWidth="1"/>
    <col min="2" max="2" width="13.1328125" style="108" customWidth="1"/>
    <col min="3" max="3" width="0.6640625" style="108" customWidth="1"/>
    <col min="4" max="4" width="16.1328125" style="108" customWidth="1"/>
    <col min="5" max="5" width="4.46484375" style="108" customWidth="1"/>
    <col min="6" max="6" width="33.1328125" style="108" customWidth="1"/>
    <col min="7" max="7" width="12.33203125" style="108" customWidth="1"/>
    <col min="8" max="8" width="13.46484375" style="108" customWidth="1"/>
    <col min="9" max="9" width="9.46484375" style="108" customWidth="1"/>
    <col min="10" max="10" width="8.86328125" style="108"/>
    <col min="11" max="11" width="16" style="108" customWidth="1"/>
    <col min="12" max="16384" width="8.86328125" style="108"/>
  </cols>
  <sheetData>
    <row r="1" spans="1:12" ht="11.65" x14ac:dyDescent="0.35">
      <c r="B1" s="486" t="s">
        <v>79</v>
      </c>
      <c r="C1" s="487"/>
      <c r="D1" s="487"/>
      <c r="E1" s="487"/>
      <c r="F1" s="487"/>
      <c r="G1" s="487"/>
      <c r="H1" s="488"/>
      <c r="I1" s="489"/>
      <c r="J1" s="507"/>
      <c r="K1" s="493"/>
      <c r="L1" s="493"/>
    </row>
    <row r="2" spans="1:12" ht="11.65" x14ac:dyDescent="0.35">
      <c r="B2" s="490" t="s">
        <v>395</v>
      </c>
      <c r="C2" s="491"/>
      <c r="D2" s="492"/>
      <c r="E2" s="492"/>
      <c r="F2" s="492"/>
      <c r="G2" s="492"/>
      <c r="H2" s="493"/>
      <c r="I2" s="494"/>
      <c r="J2" s="508"/>
      <c r="K2" s="493"/>
      <c r="L2" s="493"/>
    </row>
    <row r="3" spans="1:12" ht="12" thickBot="1" x14ac:dyDescent="0.4">
      <c r="B3" s="495" t="s">
        <v>99</v>
      </c>
      <c r="C3" s="496"/>
      <c r="D3" s="497"/>
      <c r="E3" s="497"/>
      <c r="F3" s="497"/>
      <c r="G3" s="497"/>
      <c r="H3" s="498"/>
      <c r="I3" s="499"/>
      <c r="J3" s="509"/>
      <c r="K3" s="493"/>
      <c r="L3" s="493"/>
    </row>
    <row r="4" spans="1:12" ht="12.75" x14ac:dyDescent="0.35">
      <c r="A4" s="128" t="s">
        <v>339</v>
      </c>
      <c r="B4" s="129"/>
      <c r="C4" s="129"/>
      <c r="D4" s="129"/>
      <c r="E4" s="130"/>
      <c r="F4" s="129"/>
      <c r="G4" s="129"/>
      <c r="H4" s="129"/>
      <c r="I4" s="129"/>
    </row>
    <row r="5" spans="1:12" ht="12.75" x14ac:dyDescent="0.35">
      <c r="A5" s="131" t="s">
        <v>340</v>
      </c>
      <c r="B5" s="129"/>
      <c r="C5" s="129"/>
      <c r="D5" s="129"/>
      <c r="E5" s="130"/>
      <c r="F5" s="131" t="s">
        <v>205</v>
      </c>
      <c r="G5" s="129"/>
      <c r="H5" s="129"/>
      <c r="I5" s="129"/>
    </row>
    <row r="6" spans="1:12" ht="13.15" thickBot="1" x14ac:dyDescent="0.4">
      <c r="A6" s="129"/>
      <c r="B6" s="129"/>
      <c r="C6" s="129"/>
      <c r="D6" s="129"/>
      <c r="E6" s="130"/>
      <c r="F6" s="129"/>
      <c r="G6" s="129"/>
      <c r="H6" s="129"/>
      <c r="I6" s="129"/>
    </row>
    <row r="7" spans="1:12" x14ac:dyDescent="0.3">
      <c r="A7" s="165" t="s">
        <v>251</v>
      </c>
      <c r="B7" s="132" t="s">
        <v>420</v>
      </c>
      <c r="C7" s="132"/>
      <c r="D7" s="133" t="s">
        <v>421</v>
      </c>
      <c r="F7" s="134" t="s">
        <v>213</v>
      </c>
      <c r="G7" s="135"/>
      <c r="H7" s="135"/>
      <c r="I7" s="136"/>
    </row>
    <row r="8" spans="1:12" x14ac:dyDescent="0.3">
      <c r="A8" s="166" t="s">
        <v>495</v>
      </c>
      <c r="B8" s="137" t="s">
        <v>463</v>
      </c>
      <c r="C8" s="137"/>
      <c r="D8" s="138" t="s">
        <v>1053</v>
      </c>
      <c r="F8" s="103"/>
      <c r="I8" s="127"/>
    </row>
    <row r="9" spans="1:12" x14ac:dyDescent="0.3">
      <c r="A9" s="167" t="s">
        <v>374</v>
      </c>
      <c r="B9" s="139" t="s">
        <v>118</v>
      </c>
      <c r="C9" s="139"/>
      <c r="D9" s="140" t="s">
        <v>117</v>
      </c>
      <c r="F9" s="103" t="s">
        <v>7</v>
      </c>
      <c r="I9" s="127"/>
    </row>
    <row r="10" spans="1:12" ht="10.5" x14ac:dyDescent="0.35">
      <c r="A10" s="141" t="s">
        <v>239</v>
      </c>
      <c r="B10" s="142"/>
      <c r="C10" s="143"/>
      <c r="D10" s="144"/>
      <c r="F10" s="103" t="s">
        <v>240</v>
      </c>
      <c r="G10" s="605">
        <f>BUDGET!AT417+BUDGET!AT418</f>
        <v>413785</v>
      </c>
      <c r="I10" s="127"/>
      <c r="K10" s="1516">
        <v>378387</v>
      </c>
    </row>
    <row r="11" spans="1:12" x14ac:dyDescent="0.3">
      <c r="A11" s="141"/>
      <c r="B11" s="142" t="s">
        <v>160</v>
      </c>
      <c r="C11" s="143"/>
      <c r="D11" s="144"/>
      <c r="F11" s="103" t="s">
        <v>242</v>
      </c>
      <c r="G11" s="606">
        <f>BUDGET!AT419</f>
        <v>441050</v>
      </c>
      <c r="I11" s="127"/>
      <c r="K11" s="1516">
        <v>415824</v>
      </c>
    </row>
    <row r="12" spans="1:12" x14ac:dyDescent="0.3">
      <c r="A12" s="141" t="s">
        <v>241</v>
      </c>
      <c r="B12" s="108">
        <v>818821</v>
      </c>
      <c r="C12" s="143"/>
      <c r="D12" s="449">
        <f>I16+H28</f>
        <v>2806958</v>
      </c>
      <c r="F12" s="103" t="s">
        <v>500</v>
      </c>
      <c r="G12" s="606">
        <v>0</v>
      </c>
      <c r="I12" s="127"/>
      <c r="K12" s="1516">
        <v>0</v>
      </c>
    </row>
    <row r="13" spans="1:12" x14ac:dyDescent="0.3">
      <c r="A13" s="141" t="s">
        <v>372</v>
      </c>
      <c r="B13" s="146"/>
      <c r="C13" s="143"/>
      <c r="D13" s="147"/>
      <c r="F13" s="193" t="s">
        <v>318</v>
      </c>
      <c r="G13" s="607">
        <f>BUDGET!AT429</f>
        <v>140000</v>
      </c>
      <c r="I13" s="127"/>
      <c r="K13" s="1516">
        <v>240000</v>
      </c>
    </row>
    <row r="14" spans="1:12" x14ac:dyDescent="0.3">
      <c r="A14" s="141" t="s">
        <v>628</v>
      </c>
      <c r="B14" s="146"/>
      <c r="C14" s="143"/>
      <c r="D14" s="147"/>
      <c r="F14" s="103" t="s">
        <v>629</v>
      </c>
      <c r="G14" s="608">
        <v>0</v>
      </c>
      <c r="I14" s="127"/>
      <c r="K14" s="1516">
        <v>0</v>
      </c>
    </row>
    <row r="15" spans="1:12" x14ac:dyDescent="0.3">
      <c r="A15" s="141" t="s">
        <v>634</v>
      </c>
      <c r="B15" s="146"/>
      <c r="C15" s="143"/>
      <c r="D15" s="147"/>
      <c r="F15" s="103" t="s">
        <v>820</v>
      </c>
      <c r="G15" s="606">
        <f>BUDGET!AT428</f>
        <v>150000</v>
      </c>
      <c r="I15" s="127"/>
      <c r="K15" s="1516">
        <v>5435</v>
      </c>
    </row>
    <row r="16" spans="1:12" ht="10.5" thickBot="1" x14ac:dyDescent="0.35">
      <c r="A16" s="141" t="s">
        <v>35</v>
      </c>
      <c r="B16" s="149">
        <f>SUM(B12:B15)</f>
        <v>818821</v>
      </c>
      <c r="C16" s="143"/>
      <c r="D16" s="450">
        <f>SUM(D12:D15)</f>
        <v>2806958</v>
      </c>
      <c r="F16" s="103" t="s">
        <v>36</v>
      </c>
      <c r="G16" s="606">
        <f>BUDGET!AT427</f>
        <v>1053062</v>
      </c>
      <c r="H16" s="123"/>
      <c r="I16" s="457">
        <f>SUM(G10:G17)</f>
        <v>2622897</v>
      </c>
      <c r="K16" s="1516">
        <v>811938</v>
      </c>
    </row>
    <row r="17" spans="1:12" ht="13.15" thickTop="1" x14ac:dyDescent="0.35">
      <c r="A17" s="141"/>
      <c r="B17" s="142"/>
      <c r="C17" s="143"/>
      <c r="D17" s="151"/>
      <c r="F17" s="152" t="s">
        <v>37</v>
      </c>
      <c r="G17" s="406">
        <f>SUM('PROJECTED SCH. B'!G14:G61)</f>
        <v>425000</v>
      </c>
      <c r="H17" s="535" t="s">
        <v>64</v>
      </c>
      <c r="I17" s="127"/>
    </row>
    <row r="18" spans="1:12" x14ac:dyDescent="0.3">
      <c r="A18" s="141" t="s">
        <v>699</v>
      </c>
      <c r="B18" s="146">
        <v>99000</v>
      </c>
      <c r="C18" s="143"/>
      <c r="D18" s="449"/>
      <c r="F18" s="103" t="s">
        <v>635</v>
      </c>
      <c r="G18" s="123" t="s">
        <v>275</v>
      </c>
      <c r="H18" s="145">
        <f>SUM(G10:G17)</f>
        <v>2622897</v>
      </c>
      <c r="I18" s="127"/>
    </row>
    <row r="19" spans="1:12" x14ac:dyDescent="0.3">
      <c r="A19" s="141" t="s">
        <v>766</v>
      </c>
      <c r="B19" s="146"/>
      <c r="C19" s="143"/>
      <c r="F19" s="103" t="s">
        <v>767</v>
      </c>
      <c r="G19" s="123"/>
      <c r="H19" s="108" t="s">
        <v>768</v>
      </c>
      <c r="I19" s="127"/>
    </row>
    <row r="20" spans="1:12" x14ac:dyDescent="0.3">
      <c r="A20" s="141" t="s">
        <v>512</v>
      </c>
      <c r="B20" s="146"/>
      <c r="C20" s="143"/>
      <c r="D20" s="147"/>
      <c r="F20" s="103" t="s">
        <v>639</v>
      </c>
      <c r="G20" s="123"/>
      <c r="H20" s="108" t="s">
        <v>638</v>
      </c>
      <c r="I20" s="127"/>
    </row>
    <row r="21" spans="1:12" ht="10.5" thickBot="1" x14ac:dyDescent="0.35">
      <c r="A21" s="141" t="s">
        <v>519</v>
      </c>
      <c r="B21" s="153">
        <f>SUM(B16,B18:B20)</f>
        <v>917821</v>
      </c>
      <c r="C21" s="143"/>
      <c r="D21" s="451">
        <f>SUM(D16,D18)</f>
        <v>2806958</v>
      </c>
      <c r="F21" s="103" t="s">
        <v>520</v>
      </c>
      <c r="G21" s="123"/>
      <c r="I21" s="127"/>
    </row>
    <row r="22" spans="1:12" ht="10.9" thickTop="1" thickBot="1" x14ac:dyDescent="0.35">
      <c r="A22" s="117"/>
      <c r="B22" s="154"/>
      <c r="C22" s="155"/>
      <c r="D22" s="156"/>
      <c r="F22" s="103" t="s">
        <v>641</v>
      </c>
      <c r="G22" s="145">
        <v>40215</v>
      </c>
      <c r="I22" s="127"/>
    </row>
    <row r="23" spans="1:12" x14ac:dyDescent="0.3">
      <c r="F23" s="103" t="s">
        <v>645</v>
      </c>
      <c r="G23" s="145">
        <v>80105</v>
      </c>
      <c r="I23" s="127"/>
    </row>
    <row r="24" spans="1:12" x14ac:dyDescent="0.3">
      <c r="A24" s="157" t="s">
        <v>828</v>
      </c>
      <c r="B24" s="157"/>
      <c r="C24" s="157"/>
      <c r="D24" s="157"/>
      <c r="F24" s="103" t="s">
        <v>515</v>
      </c>
      <c r="G24" s="145">
        <v>28290</v>
      </c>
      <c r="I24" s="127"/>
    </row>
    <row r="25" spans="1:12" ht="12.75" x14ac:dyDescent="0.35">
      <c r="A25" s="129"/>
      <c r="F25" s="103" t="s">
        <v>649</v>
      </c>
      <c r="G25" s="145">
        <v>4807</v>
      </c>
      <c r="I25" s="127"/>
    </row>
    <row r="26" spans="1:12" x14ac:dyDescent="0.3">
      <c r="A26" s="108" t="s">
        <v>661</v>
      </c>
      <c r="F26" s="103" t="s">
        <v>405</v>
      </c>
      <c r="G26" s="145"/>
      <c r="I26" s="127"/>
    </row>
    <row r="27" spans="1:12" x14ac:dyDescent="0.3">
      <c r="A27" s="108" t="s">
        <v>406</v>
      </c>
      <c r="F27" s="103" t="s">
        <v>531</v>
      </c>
      <c r="G27" s="145">
        <v>30644</v>
      </c>
      <c r="I27" s="127"/>
      <c r="K27" s="1594" t="s">
        <v>1049</v>
      </c>
      <c r="L27" s="108" t="s">
        <v>1050</v>
      </c>
    </row>
    <row r="28" spans="1:12" x14ac:dyDescent="0.3">
      <c r="F28" s="103" t="s">
        <v>532</v>
      </c>
      <c r="H28" s="457">
        <f>SUM(G22:G27)+I28</f>
        <v>184061</v>
      </c>
      <c r="I28" s="127"/>
      <c r="J28" s="552"/>
      <c r="K28" s="1593">
        <f>SUM(G22:G27)</f>
        <v>184061</v>
      </c>
    </row>
    <row r="29" spans="1:12" x14ac:dyDescent="0.3">
      <c r="F29" s="103"/>
      <c r="I29" s="127"/>
      <c r="K29" s="1566"/>
    </row>
    <row r="30" spans="1:12" ht="10.5" thickBot="1" x14ac:dyDescent="0.35">
      <c r="A30" s="532" t="s">
        <v>323</v>
      </c>
      <c r="B30" s="532"/>
      <c r="C30" s="532"/>
      <c r="D30" s="532"/>
      <c r="E30" s="532"/>
      <c r="F30" s="158" t="s">
        <v>540</v>
      </c>
      <c r="H30" s="159">
        <f>SUM(H28 +H18)</f>
        <v>2806958</v>
      </c>
      <c r="I30" s="127"/>
      <c r="K30" s="395"/>
    </row>
    <row r="31" spans="1:12" ht="10.5" thickTop="1" x14ac:dyDescent="0.3">
      <c r="A31" s="532" t="s">
        <v>22</v>
      </c>
      <c r="D31" s="408"/>
      <c r="F31" s="160"/>
      <c r="G31" s="161"/>
      <c r="H31" s="161"/>
      <c r="I31" s="127"/>
    </row>
    <row r="32" spans="1:12" x14ac:dyDescent="0.3">
      <c r="F32" s="103" t="s">
        <v>410</v>
      </c>
      <c r="I32" s="127"/>
    </row>
    <row r="33" spans="3:9" x14ac:dyDescent="0.3">
      <c r="F33" s="103"/>
      <c r="I33" s="127"/>
    </row>
    <row r="34" spans="3:9" x14ac:dyDescent="0.3">
      <c r="D34" s="123">
        <v>373094</v>
      </c>
      <c r="F34" s="103" t="s">
        <v>404</v>
      </c>
      <c r="G34" s="145">
        <f>SUM(D21)</f>
        <v>2806958</v>
      </c>
      <c r="H34" s="108" t="s">
        <v>516</v>
      </c>
      <c r="I34" s="127"/>
    </row>
    <row r="35" spans="3:9" x14ac:dyDescent="0.3">
      <c r="D35" s="123">
        <v>356712</v>
      </c>
      <c r="F35" s="103" t="s">
        <v>517</v>
      </c>
      <c r="G35" s="145">
        <f>SUM(H30)</f>
        <v>2806958</v>
      </c>
      <c r="H35" s="108" t="s">
        <v>390</v>
      </c>
      <c r="I35" s="127"/>
    </row>
    <row r="36" spans="3:9" x14ac:dyDescent="0.3">
      <c r="D36" s="147"/>
      <c r="F36" s="103" t="s">
        <v>391</v>
      </c>
      <c r="G36" s="161">
        <v>0</v>
      </c>
      <c r="H36" s="108" t="s">
        <v>643</v>
      </c>
      <c r="I36" s="127"/>
    </row>
    <row r="37" spans="3:9" x14ac:dyDescent="0.3">
      <c r="F37" s="103"/>
      <c r="H37" s="108" t="s">
        <v>644</v>
      </c>
      <c r="I37" s="127"/>
    </row>
    <row r="38" spans="3:9" x14ac:dyDescent="0.3">
      <c r="F38" s="103" t="s">
        <v>271</v>
      </c>
      <c r="G38" s="145">
        <f>G34-G35</f>
        <v>0</v>
      </c>
      <c r="I38" s="127"/>
    </row>
    <row r="39" spans="3:9" x14ac:dyDescent="0.3">
      <c r="F39" s="160"/>
      <c r="G39" s="161"/>
      <c r="H39" s="161"/>
      <c r="I39" s="162"/>
    </row>
    <row r="40" spans="3:9" x14ac:dyDescent="0.3">
      <c r="F40" s="103" t="s">
        <v>523</v>
      </c>
      <c r="I40" s="127"/>
    </row>
    <row r="41" spans="3:9" x14ac:dyDescent="0.3">
      <c r="F41" s="103" t="s">
        <v>402</v>
      </c>
      <c r="I41" s="127"/>
    </row>
    <row r="42" spans="3:9" x14ac:dyDescent="0.3">
      <c r="C42" s="108">
        <v>225000</v>
      </c>
      <c r="F42" s="103"/>
      <c r="I42" s="127"/>
    </row>
    <row r="43" spans="3:9" x14ac:dyDescent="0.3">
      <c r="F43" s="103" t="s">
        <v>144</v>
      </c>
      <c r="G43" s="145">
        <f>SUM(H30-H28)</f>
        <v>2622897</v>
      </c>
      <c r="H43" s="108" t="s">
        <v>45</v>
      </c>
      <c r="I43" s="127"/>
    </row>
    <row r="44" spans="3:9" x14ac:dyDescent="0.3">
      <c r="F44" s="103" t="s">
        <v>143</v>
      </c>
      <c r="G44" s="161"/>
      <c r="I44" s="127"/>
    </row>
    <row r="45" spans="3:9" x14ac:dyDescent="0.3">
      <c r="F45" s="103" t="s">
        <v>180</v>
      </c>
      <c r="G45" s="161"/>
      <c r="I45" s="127"/>
    </row>
    <row r="46" spans="3:9" x14ac:dyDescent="0.3">
      <c r="F46" s="103" t="s">
        <v>181</v>
      </c>
      <c r="G46" s="161"/>
      <c r="I46" s="127"/>
    </row>
    <row r="47" spans="3:9" x14ac:dyDescent="0.3">
      <c r="F47" s="103"/>
      <c r="I47" s="127"/>
    </row>
    <row r="48" spans="3:9" x14ac:dyDescent="0.3">
      <c r="F48" s="103" t="s">
        <v>130</v>
      </c>
      <c r="I48" s="127"/>
    </row>
    <row r="49" spans="6:9" ht="10.5" thickBot="1" x14ac:dyDescent="0.35">
      <c r="F49" s="117" t="s">
        <v>128</v>
      </c>
      <c r="G49" s="163">
        <f>SUM(G43:G46)</f>
        <v>2622897</v>
      </c>
      <c r="H49" s="155" t="s">
        <v>161</v>
      </c>
      <c r="I49" s="164"/>
    </row>
  </sheetData>
  <phoneticPr fontId="39" type="noConversion"/>
  <printOptions gridLines="1"/>
  <pageMargins left="0.23622047244094491" right="0.23622047244094491" top="0.70866141732283472" bottom="0" header="0.19685039370078741" footer="0"/>
  <pageSetup fitToWidth="0" orientation="landscape" horizontalDpi="300" verticalDpi="300" r:id="rId1"/>
  <headerFooter alignWithMargins="0">
    <oddHeader xml:space="preserve">&amp;L29-Mar-2022
&amp;A
&amp;CTOWN OF TOPSFIELD FINANCE COMMITTEE
BUDGET WORKSHEETS
&amp;R&amp;"Arial,Bold"&amp;12VERSION 2.5
FY 2023
</oddHeader>
    <oddFooter xml:space="preserve">&amp;R
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L214"/>
  <sheetViews>
    <sheetView workbookViewId="0">
      <selection activeCell="AB37" sqref="AB37"/>
    </sheetView>
  </sheetViews>
  <sheetFormatPr defaultColWidth="7.6640625" defaultRowHeight="9" x14ac:dyDescent="0.25"/>
  <cols>
    <col min="1" max="1" width="4.86328125" style="613" customWidth="1"/>
    <col min="2" max="2" width="28.86328125" style="613" customWidth="1"/>
    <col min="3" max="3" width="13.46484375" style="613" customWidth="1"/>
    <col min="4" max="4" width="6.1328125" style="613" customWidth="1"/>
    <col min="5" max="5" width="4.86328125" style="615" customWidth="1"/>
    <col min="6" max="6" width="11.53125" style="613" hidden="1" customWidth="1"/>
    <col min="7" max="7" width="11" style="613" hidden="1" customWidth="1"/>
    <col min="8" max="9" width="11.1328125" style="613" hidden="1" customWidth="1"/>
    <col min="10" max="10" width="11.33203125" style="613" hidden="1" customWidth="1"/>
    <col min="11" max="12" width="10.6640625" style="613" hidden="1" customWidth="1"/>
    <col min="13" max="13" width="11" style="613" hidden="1" customWidth="1"/>
    <col min="14" max="14" width="11.6640625" style="613" hidden="1" customWidth="1"/>
    <col min="15" max="15" width="11.33203125" style="613" hidden="1" customWidth="1"/>
    <col min="16" max="16" width="11.1328125" style="613" hidden="1" customWidth="1"/>
    <col min="17" max="17" width="12.33203125" style="613" hidden="1" customWidth="1"/>
    <col min="18" max="18" width="12.6640625" style="613" hidden="1" customWidth="1"/>
    <col min="19" max="21" width="12.53125" style="613" hidden="1" customWidth="1"/>
    <col min="22" max="22" width="10.6640625" style="613" hidden="1" customWidth="1"/>
    <col min="23" max="24" width="10.86328125" style="613" hidden="1" customWidth="1"/>
    <col min="25" max="25" width="11.1328125" style="613" hidden="1" customWidth="1"/>
    <col min="26" max="26" width="12.1328125" style="613" hidden="1" customWidth="1"/>
    <col min="27" max="27" width="11.1328125" style="1456" hidden="1" customWidth="1"/>
    <col min="28" max="28" width="11.86328125" style="613" customWidth="1"/>
    <col min="29" max="29" width="12" style="613" customWidth="1"/>
    <col min="30" max="30" width="11" style="613" customWidth="1"/>
    <col min="31" max="31" width="11.46484375" style="613" customWidth="1"/>
    <col min="32" max="32" width="10.86328125" style="613" customWidth="1"/>
    <col min="33" max="33" width="10.6640625" style="613" customWidth="1"/>
    <col min="34" max="34" width="11.86328125" style="1608" customWidth="1"/>
    <col min="35" max="35" width="10.6640625" style="616" customWidth="1"/>
    <col min="36" max="36" width="12.6640625" style="613" customWidth="1"/>
    <col min="37" max="47" width="10.6640625" style="613" customWidth="1"/>
    <col min="48" max="48" width="10.1328125" style="613" customWidth="1"/>
    <col min="49" max="49" width="9.86328125" style="613" customWidth="1"/>
    <col min="50" max="51" width="9.33203125" style="613" bestFit="1" customWidth="1"/>
    <col min="52" max="52" width="9" style="613" bestFit="1" customWidth="1"/>
    <col min="53" max="53" width="9.33203125" style="613" customWidth="1"/>
    <col min="54" max="54" width="10.86328125" style="613" customWidth="1"/>
    <col min="55" max="55" width="8.1328125" style="613" bestFit="1" customWidth="1"/>
    <col min="56" max="56" width="8.86328125" style="613" bestFit="1" customWidth="1"/>
    <col min="57" max="16384" width="7.6640625" style="613"/>
  </cols>
  <sheetData>
    <row r="1" spans="1:55" ht="11.25" x14ac:dyDescent="0.3">
      <c r="B1" s="614" t="s">
        <v>79</v>
      </c>
    </row>
    <row r="2" spans="1:55" ht="11.25" x14ac:dyDescent="0.3">
      <c r="B2" s="617" t="s">
        <v>395</v>
      </c>
    </row>
    <row r="3" spans="1:55" ht="11.65" thickBot="1" x14ac:dyDescent="0.35">
      <c r="B3" s="618" t="s">
        <v>99</v>
      </c>
    </row>
    <row r="4" spans="1:55" x14ac:dyDescent="0.25">
      <c r="A4" s="1504" t="s">
        <v>547</v>
      </c>
      <c r="B4" s="619" t="s">
        <v>579</v>
      </c>
      <c r="C4" s="619" t="s">
        <v>575</v>
      </c>
      <c r="D4" s="619" t="s">
        <v>580</v>
      </c>
      <c r="E4" s="620"/>
      <c r="F4" s="621" t="s">
        <v>581</v>
      </c>
      <c r="G4" s="621" t="s">
        <v>581</v>
      </c>
      <c r="H4" s="621" t="s">
        <v>581</v>
      </c>
      <c r="I4" s="621" t="s">
        <v>581</v>
      </c>
      <c r="J4" s="621" t="s">
        <v>581</v>
      </c>
      <c r="K4" s="621" t="s">
        <v>581</v>
      </c>
      <c r="L4" s="621" t="s">
        <v>581</v>
      </c>
      <c r="M4" s="621" t="s">
        <v>581</v>
      </c>
      <c r="N4" s="621" t="s">
        <v>581</v>
      </c>
      <c r="O4" s="621" t="s">
        <v>581</v>
      </c>
      <c r="P4" s="621" t="s">
        <v>581</v>
      </c>
      <c r="Q4" s="621" t="s">
        <v>581</v>
      </c>
      <c r="R4" s="621" t="s">
        <v>581</v>
      </c>
      <c r="S4" s="621" t="s">
        <v>581</v>
      </c>
      <c r="T4" s="621" t="s">
        <v>581</v>
      </c>
      <c r="U4" s="621" t="s">
        <v>581</v>
      </c>
      <c r="V4" s="621" t="s">
        <v>581</v>
      </c>
      <c r="W4" s="621" t="s">
        <v>581</v>
      </c>
      <c r="X4" s="621" t="s">
        <v>581</v>
      </c>
      <c r="Y4" s="621" t="s">
        <v>581</v>
      </c>
      <c r="Z4" s="621" t="s">
        <v>581</v>
      </c>
      <c r="AA4" s="1457" t="s">
        <v>581</v>
      </c>
      <c r="AB4" s="621" t="s">
        <v>581</v>
      </c>
      <c r="AC4" s="621" t="s">
        <v>581</v>
      </c>
      <c r="AD4" s="621" t="s">
        <v>581</v>
      </c>
      <c r="AE4" s="621" t="s">
        <v>581</v>
      </c>
      <c r="AF4" s="621" t="s">
        <v>581</v>
      </c>
      <c r="AG4" s="621" t="s">
        <v>581</v>
      </c>
      <c r="AH4" s="1599" t="s">
        <v>581</v>
      </c>
      <c r="AI4" s="621" t="s">
        <v>581</v>
      </c>
      <c r="AJ4" s="621" t="s">
        <v>581</v>
      </c>
      <c r="AK4" s="621" t="s">
        <v>581</v>
      </c>
      <c r="AL4" s="621" t="s">
        <v>581</v>
      </c>
      <c r="AM4" s="621" t="s">
        <v>581</v>
      </c>
      <c r="AN4" s="621" t="s">
        <v>581</v>
      </c>
      <c r="AO4" s="621" t="s">
        <v>581</v>
      </c>
      <c r="AP4" s="621" t="s">
        <v>581</v>
      </c>
      <c r="AQ4" s="621" t="s">
        <v>581</v>
      </c>
      <c r="AR4" s="621" t="s">
        <v>581</v>
      </c>
      <c r="AS4" s="621" t="s">
        <v>581</v>
      </c>
      <c r="AT4" s="621" t="s">
        <v>581</v>
      </c>
      <c r="AU4" s="621" t="s">
        <v>581</v>
      </c>
      <c r="AV4" s="621" t="s">
        <v>581</v>
      </c>
      <c r="AW4" s="621" t="s">
        <v>581</v>
      </c>
      <c r="AX4" s="621" t="s">
        <v>581</v>
      </c>
      <c r="AY4" s="621" t="s">
        <v>581</v>
      </c>
      <c r="AZ4" s="621" t="s">
        <v>581</v>
      </c>
      <c r="BA4" s="621" t="s">
        <v>581</v>
      </c>
      <c r="BB4" s="621" t="s">
        <v>581</v>
      </c>
      <c r="BC4" s="613" t="s">
        <v>899</v>
      </c>
    </row>
    <row r="5" spans="1:55" ht="11.25" customHeight="1" x14ac:dyDescent="0.25">
      <c r="A5" s="1504" t="s">
        <v>547</v>
      </c>
      <c r="B5" s="622" t="s">
        <v>460</v>
      </c>
      <c r="C5" s="622" t="s">
        <v>214</v>
      </c>
      <c r="D5" s="622" t="s">
        <v>354</v>
      </c>
      <c r="E5" s="623" t="s">
        <v>355</v>
      </c>
      <c r="F5" s="624">
        <v>1997</v>
      </c>
      <c r="G5" s="624">
        <v>1998</v>
      </c>
      <c r="H5" s="624">
        <v>1999</v>
      </c>
      <c r="I5" s="624">
        <v>2000</v>
      </c>
      <c r="J5" s="624">
        <v>2001</v>
      </c>
      <c r="K5" s="624">
        <v>2002</v>
      </c>
      <c r="L5" s="624">
        <v>2003</v>
      </c>
      <c r="M5" s="624">
        <v>2004</v>
      </c>
      <c r="N5" s="624">
        <v>2005</v>
      </c>
      <c r="O5" s="624">
        <v>2006</v>
      </c>
      <c r="P5" s="624">
        <v>2007</v>
      </c>
      <c r="Q5" s="624">
        <v>2008</v>
      </c>
      <c r="R5" s="624">
        <v>2009</v>
      </c>
      <c r="S5" s="624">
        <v>2010</v>
      </c>
      <c r="T5" s="624">
        <v>2011</v>
      </c>
      <c r="U5" s="624">
        <v>2012</v>
      </c>
      <c r="V5" s="624">
        <v>2013</v>
      </c>
      <c r="W5" s="624">
        <v>2014</v>
      </c>
      <c r="X5" s="624">
        <v>2015</v>
      </c>
      <c r="Y5" s="624">
        <v>2016</v>
      </c>
      <c r="Z5" s="624">
        <v>2017</v>
      </c>
      <c r="AA5" s="1458">
        <v>2018</v>
      </c>
      <c r="AB5" s="624">
        <v>2019</v>
      </c>
      <c r="AC5" s="624">
        <v>2020</v>
      </c>
      <c r="AD5" s="624">
        <v>2021</v>
      </c>
      <c r="AE5" s="624">
        <v>2022</v>
      </c>
      <c r="AF5" s="624">
        <f>AE5+1</f>
        <v>2023</v>
      </c>
      <c r="AG5" s="624">
        <f t="shared" ref="AG5:AI5" si="0">AF5+1</f>
        <v>2024</v>
      </c>
      <c r="AH5" s="1600">
        <f t="shared" si="0"/>
        <v>2025</v>
      </c>
      <c r="AI5" s="624">
        <f t="shared" si="0"/>
        <v>2026</v>
      </c>
      <c r="AJ5" s="624">
        <f t="shared" ref="AJ5" si="1">AI5+1</f>
        <v>2027</v>
      </c>
      <c r="AK5" s="624">
        <f t="shared" ref="AK5" si="2">AJ5+1</f>
        <v>2028</v>
      </c>
      <c r="AL5" s="624">
        <f t="shared" ref="AL5" si="3">AK5+1</f>
        <v>2029</v>
      </c>
      <c r="AM5" s="624">
        <f t="shared" ref="AM5" si="4">AL5+1</f>
        <v>2030</v>
      </c>
      <c r="AN5" s="624">
        <f t="shared" ref="AN5" si="5">AM5+1</f>
        <v>2031</v>
      </c>
      <c r="AO5" s="624">
        <f t="shared" ref="AO5" si="6">AN5+1</f>
        <v>2032</v>
      </c>
      <c r="AP5" s="624">
        <f t="shared" ref="AP5" si="7">AO5+1</f>
        <v>2033</v>
      </c>
      <c r="AQ5" s="624">
        <f t="shared" ref="AQ5" si="8">AP5+1</f>
        <v>2034</v>
      </c>
      <c r="AR5" s="624">
        <f t="shared" ref="AR5" si="9">AQ5+1</f>
        <v>2035</v>
      </c>
      <c r="AS5" s="624">
        <f t="shared" ref="AS5" si="10">AR5+1</f>
        <v>2036</v>
      </c>
      <c r="AT5" s="624">
        <f t="shared" ref="AT5" si="11">AS5+1</f>
        <v>2037</v>
      </c>
      <c r="AU5" s="624">
        <f t="shared" ref="AU5" si="12">AT5+1</f>
        <v>2038</v>
      </c>
      <c r="AV5" s="624">
        <f t="shared" ref="AV5" si="13">AU5+1</f>
        <v>2039</v>
      </c>
      <c r="AW5" s="624">
        <f t="shared" ref="AW5" si="14">AV5+1</f>
        <v>2040</v>
      </c>
      <c r="AX5" s="624">
        <f t="shared" ref="AX5" si="15">AW5+1</f>
        <v>2041</v>
      </c>
      <c r="AY5" s="624">
        <f t="shared" ref="AY5" si="16">AX5+1</f>
        <v>2042</v>
      </c>
      <c r="AZ5" s="624">
        <f t="shared" ref="AZ5:BB5" si="17">AY5+1</f>
        <v>2043</v>
      </c>
      <c r="BA5" s="624">
        <f t="shared" si="17"/>
        <v>2044</v>
      </c>
      <c r="BB5" s="624">
        <f t="shared" si="17"/>
        <v>2045</v>
      </c>
    </row>
    <row r="6" spans="1:55" x14ac:dyDescent="0.25">
      <c r="B6" s="625" t="s">
        <v>374</v>
      </c>
      <c r="C6" s="626"/>
      <c r="D6" s="626"/>
      <c r="E6" s="627"/>
    </row>
    <row r="7" spans="1:55" x14ac:dyDescent="0.25">
      <c r="B7" s="626" t="s">
        <v>216</v>
      </c>
      <c r="C7" s="626"/>
      <c r="D7" s="626"/>
      <c r="E7" s="627"/>
    </row>
    <row r="8" spans="1:55" x14ac:dyDescent="0.25">
      <c r="B8" s="626" t="s">
        <v>217</v>
      </c>
      <c r="C8" s="626">
        <f>SUM(F8:AG8)</f>
        <v>560000</v>
      </c>
      <c r="D8" s="626">
        <v>6.95</v>
      </c>
      <c r="E8" s="627"/>
      <c r="F8" s="613">
        <v>35000</v>
      </c>
      <c r="G8" s="613">
        <v>50000</v>
      </c>
      <c r="H8" s="613">
        <v>100000</v>
      </c>
      <c r="I8" s="613">
        <v>100000</v>
      </c>
      <c r="J8" s="613">
        <v>100000</v>
      </c>
      <c r="K8" s="613">
        <v>100000</v>
      </c>
      <c r="L8" s="613">
        <v>75000</v>
      </c>
      <c r="M8" s="613">
        <v>0</v>
      </c>
      <c r="N8" s="613">
        <v>0</v>
      </c>
      <c r="O8" s="613">
        <v>0</v>
      </c>
    </row>
    <row r="9" spans="1:55" x14ac:dyDescent="0.25">
      <c r="B9" s="626" t="s">
        <v>89</v>
      </c>
      <c r="C9" s="626"/>
      <c r="D9" s="626" t="s">
        <v>160</v>
      </c>
      <c r="E9" s="627"/>
    </row>
    <row r="10" spans="1:55" x14ac:dyDescent="0.25">
      <c r="B10" s="626" t="s">
        <v>90</v>
      </c>
      <c r="C10" s="626">
        <f>SUM(F10:AG10)</f>
        <v>94500</v>
      </c>
      <c r="D10" s="626">
        <v>4.8899999999999997</v>
      </c>
      <c r="E10" s="627"/>
      <c r="F10" s="613">
        <v>31500</v>
      </c>
      <c r="G10" s="613">
        <v>31500</v>
      </c>
      <c r="H10" s="613">
        <v>31500</v>
      </c>
      <c r="I10" s="613">
        <v>0</v>
      </c>
      <c r="J10" s="613">
        <v>0</v>
      </c>
      <c r="K10" s="613">
        <v>0</v>
      </c>
      <c r="L10" s="613">
        <v>0</v>
      </c>
      <c r="M10" s="613">
        <v>0</v>
      </c>
      <c r="N10" s="613">
        <v>0</v>
      </c>
      <c r="O10" s="613">
        <v>0</v>
      </c>
    </row>
    <row r="11" spans="1:55" x14ac:dyDescent="0.25">
      <c r="B11" s="626" t="s">
        <v>91</v>
      </c>
      <c r="C11" s="626">
        <f>SUM(F11:AG11)</f>
        <v>140600</v>
      </c>
      <c r="D11" s="626">
        <v>4.66</v>
      </c>
      <c r="E11" s="627"/>
      <c r="H11" s="613">
        <v>0</v>
      </c>
      <c r="I11" s="613">
        <v>0</v>
      </c>
      <c r="J11" s="613">
        <v>0</v>
      </c>
      <c r="K11" s="613">
        <v>4800</v>
      </c>
      <c r="L11" s="613">
        <v>5000</v>
      </c>
      <c r="M11" s="613">
        <v>5000</v>
      </c>
      <c r="N11" s="613">
        <v>5500</v>
      </c>
      <c r="O11" s="613">
        <v>5500</v>
      </c>
      <c r="P11" s="613">
        <v>6000</v>
      </c>
      <c r="Q11" s="613">
        <v>6000</v>
      </c>
      <c r="R11" s="613">
        <v>6500</v>
      </c>
      <c r="S11" s="613">
        <v>7000</v>
      </c>
      <c r="T11" s="613">
        <v>7000</v>
      </c>
      <c r="U11" s="628">
        <v>8300</v>
      </c>
      <c r="V11" s="628">
        <v>8500</v>
      </c>
      <c r="W11" s="628">
        <v>9000</v>
      </c>
      <c r="X11" s="628">
        <v>8500</v>
      </c>
      <c r="Y11" s="628">
        <v>9000</v>
      </c>
      <c r="Z11" s="628">
        <v>9500</v>
      </c>
      <c r="AA11" s="1459">
        <v>9500</v>
      </c>
      <c r="AB11" s="628">
        <v>10000</v>
      </c>
      <c r="AC11" s="628">
        <v>10000</v>
      </c>
    </row>
    <row r="12" spans="1:55" x14ac:dyDescent="0.25">
      <c r="B12" s="626" t="s">
        <v>187</v>
      </c>
      <c r="C12" s="626">
        <f>550000+505000</f>
        <v>1055000</v>
      </c>
      <c r="D12" s="626"/>
      <c r="E12" s="627"/>
      <c r="U12" s="628">
        <v>75000</v>
      </c>
      <c r="V12" s="628">
        <v>75000</v>
      </c>
      <c r="W12" s="628">
        <v>75000</v>
      </c>
      <c r="X12" s="628">
        <v>75000</v>
      </c>
      <c r="Y12" s="628">
        <v>75000</v>
      </c>
      <c r="Z12" s="628">
        <v>70000</v>
      </c>
      <c r="AA12" s="1459">
        <v>70000</v>
      </c>
      <c r="AB12" s="628">
        <v>70000</v>
      </c>
      <c r="AC12" s="628">
        <v>70000</v>
      </c>
      <c r="AD12" s="628">
        <v>70000</v>
      </c>
      <c r="AE12" s="628">
        <v>70000</v>
      </c>
      <c r="AF12" s="628">
        <v>65000</v>
      </c>
      <c r="AG12" s="628">
        <v>65000</v>
      </c>
      <c r="AH12" s="1601">
        <v>65000</v>
      </c>
      <c r="AI12" s="628">
        <v>65000</v>
      </c>
      <c r="AJ12" s="628"/>
      <c r="AK12" s="628"/>
      <c r="AL12" s="628"/>
      <c r="AM12" s="628"/>
      <c r="AN12" s="628"/>
      <c r="AO12" s="628"/>
    </row>
    <row r="13" spans="1:55" x14ac:dyDescent="0.25">
      <c r="B13" s="626"/>
      <c r="C13" s="626"/>
      <c r="D13" s="626"/>
      <c r="E13" s="627"/>
      <c r="U13" s="628"/>
      <c r="V13" s="628"/>
      <c r="W13" s="628"/>
      <c r="X13" s="628"/>
      <c r="Y13" s="628"/>
      <c r="Z13" s="628"/>
      <c r="AA13" s="1459"/>
      <c r="AB13" s="628"/>
      <c r="AC13" s="628"/>
      <c r="AD13" s="628"/>
      <c r="AE13" s="628"/>
      <c r="AF13" s="628"/>
      <c r="AG13" s="628"/>
      <c r="AH13" s="1601"/>
      <c r="AI13" s="628"/>
      <c r="AJ13" s="628"/>
      <c r="AK13" s="628"/>
      <c r="AL13" s="628"/>
      <c r="AM13" s="628"/>
      <c r="AN13" s="628"/>
      <c r="AO13" s="628"/>
    </row>
    <row r="14" spans="1:55" x14ac:dyDescent="0.25">
      <c r="B14" s="626" t="s">
        <v>900</v>
      </c>
      <c r="C14" s="626">
        <v>930900</v>
      </c>
      <c r="D14" s="626"/>
      <c r="E14" s="627">
        <v>20</v>
      </c>
      <c r="U14" s="628"/>
      <c r="V14" s="628"/>
      <c r="W14" s="628"/>
      <c r="X14" s="628"/>
      <c r="Y14" s="628"/>
      <c r="Z14" s="628"/>
      <c r="AA14" s="1459"/>
      <c r="AB14" s="629">
        <v>42900</v>
      </c>
      <c r="AC14" s="629">
        <v>50000</v>
      </c>
      <c r="AD14" s="629">
        <v>50000</v>
      </c>
      <c r="AE14" s="629">
        <v>50000</v>
      </c>
      <c r="AF14" s="629">
        <v>50000</v>
      </c>
      <c r="AG14" s="629">
        <v>50000</v>
      </c>
      <c r="AH14" s="1602">
        <v>50000</v>
      </c>
      <c r="AI14" s="629">
        <v>50000</v>
      </c>
      <c r="AJ14" s="629">
        <v>50000</v>
      </c>
      <c r="AK14" s="629">
        <v>45000</v>
      </c>
      <c r="AL14" s="629">
        <v>45000</v>
      </c>
      <c r="AM14" s="629">
        <v>45000</v>
      </c>
      <c r="AN14" s="629">
        <v>45000</v>
      </c>
      <c r="AO14" s="629">
        <v>45000</v>
      </c>
      <c r="AP14" s="629">
        <v>45000</v>
      </c>
      <c r="AQ14" s="629">
        <v>45000</v>
      </c>
      <c r="AR14" s="629">
        <v>45000</v>
      </c>
      <c r="AS14" s="629">
        <v>45000</v>
      </c>
      <c r="AT14" s="629">
        <v>45000</v>
      </c>
      <c r="AU14" s="629">
        <v>38000</v>
      </c>
      <c r="BC14" s="613">
        <f>SUM(F14:AZ14)</f>
        <v>930900</v>
      </c>
    </row>
    <row r="15" spans="1:55" x14ac:dyDescent="0.25">
      <c r="B15" s="626" t="s">
        <v>901</v>
      </c>
      <c r="C15" s="626">
        <v>626600</v>
      </c>
      <c r="D15" s="626"/>
      <c r="E15" s="627">
        <v>20</v>
      </c>
      <c r="U15" s="628"/>
      <c r="V15" s="628"/>
      <c r="W15" s="628"/>
      <c r="X15" s="628"/>
      <c r="Y15" s="628"/>
      <c r="Z15" s="628"/>
      <c r="AA15" s="1459"/>
      <c r="AB15" s="629">
        <v>29600</v>
      </c>
      <c r="AC15" s="629">
        <v>35000</v>
      </c>
      <c r="AD15" s="629">
        <v>35000</v>
      </c>
      <c r="AE15" s="629">
        <v>35000</v>
      </c>
      <c r="AF15" s="629">
        <v>35000</v>
      </c>
      <c r="AG15" s="629">
        <v>35000</v>
      </c>
      <c r="AH15" s="1602">
        <v>35000</v>
      </c>
      <c r="AI15" s="629">
        <v>30000</v>
      </c>
      <c r="AJ15" s="629">
        <v>30000</v>
      </c>
      <c r="AK15" s="629">
        <v>30000</v>
      </c>
      <c r="AL15" s="629">
        <v>30000</v>
      </c>
      <c r="AM15" s="629">
        <v>30000</v>
      </c>
      <c r="AN15" s="629">
        <v>30000</v>
      </c>
      <c r="AO15" s="629">
        <v>30000</v>
      </c>
      <c r="AP15" s="629">
        <v>30000</v>
      </c>
      <c r="AQ15" s="629">
        <v>30000</v>
      </c>
      <c r="AR15" s="629">
        <v>30000</v>
      </c>
      <c r="AS15" s="629">
        <v>30000</v>
      </c>
      <c r="AT15" s="629">
        <v>30000</v>
      </c>
      <c r="AU15" s="629">
        <v>27000</v>
      </c>
      <c r="BC15" s="613">
        <f>SUM(F15:AZ15)</f>
        <v>626600</v>
      </c>
    </row>
    <row r="16" spans="1:55" x14ac:dyDescent="0.25">
      <c r="B16" s="626"/>
      <c r="C16" s="626"/>
      <c r="D16" s="626"/>
      <c r="E16" s="627"/>
      <c r="U16" s="628"/>
      <c r="V16" s="628"/>
      <c r="W16" s="628"/>
      <c r="X16" s="628"/>
      <c r="Y16" s="628"/>
      <c r="Z16" s="628"/>
      <c r="AA16" s="1459"/>
      <c r="AB16" s="628"/>
      <c r="AC16" s="628"/>
      <c r="AD16" s="628"/>
      <c r="AE16" s="628"/>
      <c r="AF16" s="628"/>
      <c r="AG16" s="628"/>
      <c r="AH16" s="1601"/>
      <c r="AI16" s="628"/>
      <c r="AJ16" s="628"/>
      <c r="AK16" s="628"/>
      <c r="AL16" s="628"/>
      <c r="AM16" s="628"/>
      <c r="AN16" s="628"/>
      <c r="AO16" s="628"/>
    </row>
    <row r="17" spans="2:53" x14ac:dyDescent="0.25">
      <c r="B17" s="1517" t="s">
        <v>968</v>
      </c>
      <c r="C17" s="626">
        <v>3734000</v>
      </c>
      <c r="D17" s="626"/>
      <c r="E17" s="627">
        <v>20</v>
      </c>
      <c r="U17" s="628"/>
      <c r="V17" s="628"/>
      <c r="W17" s="628"/>
      <c r="X17" s="628"/>
      <c r="Y17" s="628"/>
      <c r="Z17" s="628"/>
      <c r="AA17" s="1459"/>
      <c r="AB17" s="628"/>
      <c r="AC17" s="628">
        <v>189000</v>
      </c>
      <c r="AD17" s="628">
        <v>190000</v>
      </c>
      <c r="AE17" s="628">
        <v>190000</v>
      </c>
      <c r="AF17" s="628">
        <v>190000</v>
      </c>
      <c r="AG17" s="628">
        <v>190000</v>
      </c>
      <c r="AH17" s="1601">
        <v>190000</v>
      </c>
      <c r="AI17" s="628">
        <v>190000</v>
      </c>
      <c r="AJ17" s="628">
        <v>185000</v>
      </c>
      <c r="AK17" s="628">
        <v>185000</v>
      </c>
      <c r="AL17" s="628">
        <v>185000</v>
      </c>
      <c r="AM17" s="628">
        <v>185000</v>
      </c>
      <c r="AN17" s="628">
        <v>185000</v>
      </c>
      <c r="AO17" s="628">
        <v>185000</v>
      </c>
      <c r="AP17" s="628">
        <v>185000</v>
      </c>
      <c r="AQ17" s="628">
        <v>185000</v>
      </c>
      <c r="AR17" s="628">
        <v>185000</v>
      </c>
      <c r="AS17" s="628">
        <v>185000</v>
      </c>
      <c r="AT17" s="628">
        <v>185000</v>
      </c>
      <c r="AU17" s="628">
        <v>185000</v>
      </c>
      <c r="AV17" s="628">
        <v>185000</v>
      </c>
      <c r="AW17" s="628">
        <v>0</v>
      </c>
    </row>
    <row r="18" spans="2:53" x14ac:dyDescent="0.25">
      <c r="B18" s="1517"/>
      <c r="C18" s="626"/>
      <c r="D18" s="626"/>
      <c r="E18" s="627"/>
      <c r="U18" s="628"/>
      <c r="V18" s="628"/>
      <c r="W18" s="628"/>
      <c r="X18" s="628"/>
      <c r="Y18" s="628"/>
      <c r="Z18" s="628"/>
      <c r="AA18" s="1459"/>
      <c r="AB18" s="628"/>
      <c r="AC18" s="628"/>
      <c r="AD18" s="628"/>
      <c r="AE18" s="628"/>
      <c r="AF18" s="628"/>
      <c r="AG18" s="628"/>
      <c r="AH18" s="1601"/>
      <c r="AI18" s="628"/>
      <c r="AJ18" s="628"/>
      <c r="AK18" s="628"/>
      <c r="AL18" s="628"/>
      <c r="AM18" s="628"/>
      <c r="AN18" s="628"/>
      <c r="AO18" s="628"/>
      <c r="AP18" s="628"/>
      <c r="AQ18" s="628"/>
      <c r="AR18" s="628"/>
      <c r="AS18" s="628"/>
      <c r="AT18" s="628"/>
      <c r="AU18" s="628"/>
      <c r="AV18" s="628"/>
      <c r="AW18" s="628"/>
    </row>
    <row r="19" spans="2:53" x14ac:dyDescent="0.25">
      <c r="B19" s="1517" t="s">
        <v>1000</v>
      </c>
      <c r="C19" s="626">
        <v>1630000</v>
      </c>
      <c r="D19" s="626">
        <v>2.2229700000000001</v>
      </c>
      <c r="E19" s="627">
        <v>20</v>
      </c>
      <c r="U19" s="628"/>
      <c r="V19" s="628"/>
      <c r="W19" s="628"/>
      <c r="X19" s="628"/>
      <c r="Y19" s="628"/>
      <c r="Z19" s="628"/>
      <c r="AA19" s="1459"/>
      <c r="AB19" s="628"/>
      <c r="AC19" s="628"/>
      <c r="AD19" s="628">
        <v>85000</v>
      </c>
      <c r="AE19" s="628">
        <v>85000</v>
      </c>
      <c r="AF19" s="628">
        <v>85000</v>
      </c>
      <c r="AG19" s="628">
        <v>85000</v>
      </c>
      <c r="AH19" s="1601">
        <v>85000</v>
      </c>
      <c r="AI19" s="628">
        <v>85000</v>
      </c>
      <c r="AJ19" s="628">
        <v>85000</v>
      </c>
      <c r="AK19" s="628">
        <v>80000</v>
      </c>
      <c r="AL19" s="628">
        <v>80000</v>
      </c>
      <c r="AM19" s="628">
        <v>80000</v>
      </c>
      <c r="AN19" s="628">
        <v>80000</v>
      </c>
      <c r="AO19" s="628">
        <v>80000</v>
      </c>
      <c r="AP19" s="628">
        <v>80000</v>
      </c>
      <c r="AQ19" s="628">
        <v>80000</v>
      </c>
      <c r="AR19" s="628">
        <v>80000</v>
      </c>
      <c r="AS19" s="628">
        <v>80000</v>
      </c>
      <c r="AT19" s="628">
        <v>80000</v>
      </c>
      <c r="AU19" s="628">
        <v>80000</v>
      </c>
      <c r="AV19" s="628">
        <v>80000</v>
      </c>
      <c r="AW19" s="628">
        <v>75000</v>
      </c>
    </row>
    <row r="20" spans="2:53" x14ac:dyDescent="0.25">
      <c r="B20" s="1517" t="s">
        <v>1001</v>
      </c>
      <c r="C20" s="626">
        <v>918000</v>
      </c>
      <c r="D20" s="626">
        <v>2.2229700000000001</v>
      </c>
      <c r="E20" s="627">
        <v>20</v>
      </c>
      <c r="U20" s="628"/>
      <c r="V20" s="628"/>
      <c r="W20" s="628"/>
      <c r="X20" s="628"/>
      <c r="Y20" s="628"/>
      <c r="Z20" s="628"/>
      <c r="AA20" s="1459"/>
      <c r="AB20" s="628"/>
      <c r="AC20" s="628"/>
      <c r="AD20" s="628">
        <v>50000</v>
      </c>
      <c r="AE20" s="628">
        <v>50000</v>
      </c>
      <c r="AF20" s="628">
        <v>50000</v>
      </c>
      <c r="AG20" s="628">
        <v>50000</v>
      </c>
      <c r="AH20" s="1601">
        <v>45000</v>
      </c>
      <c r="AI20" s="628">
        <v>45000</v>
      </c>
      <c r="AJ20" s="628">
        <v>45000</v>
      </c>
      <c r="AK20" s="628">
        <v>45000</v>
      </c>
      <c r="AL20" s="628">
        <v>45000</v>
      </c>
      <c r="AM20" s="628">
        <v>45000</v>
      </c>
      <c r="AN20" s="628">
        <v>45000</v>
      </c>
      <c r="AO20" s="628">
        <v>45000</v>
      </c>
      <c r="AP20" s="628">
        <v>45000</v>
      </c>
      <c r="AQ20" s="628">
        <v>45000</v>
      </c>
      <c r="AR20" s="628">
        <v>45000</v>
      </c>
      <c r="AS20" s="628">
        <v>45000</v>
      </c>
      <c r="AT20" s="628">
        <v>45000</v>
      </c>
      <c r="AU20" s="628">
        <v>45000</v>
      </c>
      <c r="AV20" s="628">
        <v>45000</v>
      </c>
      <c r="AW20" s="628">
        <v>43000</v>
      </c>
    </row>
    <row r="21" spans="2:53" x14ac:dyDescent="0.25">
      <c r="B21" s="626"/>
      <c r="C21" s="626"/>
      <c r="D21" s="626"/>
      <c r="E21" s="627"/>
      <c r="U21" s="628"/>
      <c r="V21" s="628"/>
      <c r="W21" s="628"/>
      <c r="X21" s="628"/>
      <c r="Y21" s="628"/>
      <c r="Z21" s="628"/>
      <c r="AA21" s="1459"/>
      <c r="AB21" s="628"/>
      <c r="AC21" s="628"/>
      <c r="AD21" s="628"/>
      <c r="AE21" s="628"/>
      <c r="AF21" s="628"/>
      <c r="AG21" s="628"/>
      <c r="AH21" s="1601"/>
      <c r="AI21" s="628"/>
      <c r="AJ21" s="628"/>
      <c r="AK21" s="628"/>
      <c r="AL21" s="628"/>
      <c r="AM21" s="628"/>
      <c r="AN21" s="628"/>
      <c r="AO21" s="628"/>
    </row>
    <row r="22" spans="2:53" x14ac:dyDescent="0.25">
      <c r="B22" s="626"/>
      <c r="C22" s="626"/>
      <c r="D22" s="626"/>
      <c r="E22" s="627"/>
    </row>
    <row r="23" spans="2:53" x14ac:dyDescent="0.25">
      <c r="B23" s="630" t="s">
        <v>203</v>
      </c>
      <c r="C23" s="630">
        <f>SUM(AB23:AZ23)</f>
        <v>8399500</v>
      </c>
      <c r="D23" s="630"/>
      <c r="E23" s="631"/>
      <c r="F23" s="632">
        <f t="shared" ref="F23:AA23" si="18">SUM(F6:F22)</f>
        <v>66500</v>
      </c>
      <c r="G23" s="632">
        <f t="shared" si="18"/>
        <v>81500</v>
      </c>
      <c r="H23" s="632">
        <f t="shared" si="18"/>
        <v>131500</v>
      </c>
      <c r="I23" s="632">
        <f t="shared" si="18"/>
        <v>100000</v>
      </c>
      <c r="J23" s="632">
        <f t="shared" si="18"/>
        <v>100000</v>
      </c>
      <c r="K23" s="632">
        <f t="shared" si="18"/>
        <v>104800</v>
      </c>
      <c r="L23" s="632">
        <f t="shared" si="18"/>
        <v>80000</v>
      </c>
      <c r="M23" s="632">
        <f t="shared" si="18"/>
        <v>5000</v>
      </c>
      <c r="N23" s="632">
        <f t="shared" si="18"/>
        <v>5500</v>
      </c>
      <c r="O23" s="632">
        <f t="shared" si="18"/>
        <v>5500</v>
      </c>
      <c r="P23" s="632">
        <f t="shared" si="18"/>
        <v>6000</v>
      </c>
      <c r="Q23" s="632">
        <f t="shared" si="18"/>
        <v>6000</v>
      </c>
      <c r="R23" s="632">
        <f t="shared" si="18"/>
        <v>6500</v>
      </c>
      <c r="S23" s="632">
        <f t="shared" si="18"/>
        <v>7000</v>
      </c>
      <c r="T23" s="632">
        <f t="shared" si="18"/>
        <v>7000</v>
      </c>
      <c r="U23" s="632">
        <f t="shared" si="18"/>
        <v>83300</v>
      </c>
      <c r="V23" s="632">
        <f t="shared" si="18"/>
        <v>83500</v>
      </c>
      <c r="W23" s="632">
        <f t="shared" si="18"/>
        <v>84000</v>
      </c>
      <c r="X23" s="632">
        <f t="shared" si="18"/>
        <v>83500</v>
      </c>
      <c r="Y23" s="632">
        <f t="shared" si="18"/>
        <v>84000</v>
      </c>
      <c r="Z23" s="632">
        <f t="shared" si="18"/>
        <v>79500</v>
      </c>
      <c r="AA23" s="1460">
        <f t="shared" si="18"/>
        <v>79500</v>
      </c>
      <c r="AB23" s="632">
        <f>SUM(AB6:AB22)</f>
        <v>152500</v>
      </c>
      <c r="AC23" s="632">
        <f>SUM(AC6:AC22)</f>
        <v>354000</v>
      </c>
      <c r="AD23" s="632">
        <f>SUM(AD6:AD22)</f>
        <v>480000</v>
      </c>
      <c r="AE23" s="632">
        <f t="shared" ref="AE23:BA23" si="19">SUM(AE6:AE22)</f>
        <v>480000</v>
      </c>
      <c r="AF23" s="632">
        <f t="shared" si="19"/>
        <v>475000</v>
      </c>
      <c r="AG23" s="632">
        <f t="shared" si="19"/>
        <v>475000</v>
      </c>
      <c r="AH23" s="1603">
        <f t="shared" si="19"/>
        <v>470000</v>
      </c>
      <c r="AI23" s="632">
        <f t="shared" si="19"/>
        <v>465000</v>
      </c>
      <c r="AJ23" s="632">
        <f t="shared" si="19"/>
        <v>395000</v>
      </c>
      <c r="AK23" s="632">
        <f t="shared" si="19"/>
        <v>385000</v>
      </c>
      <c r="AL23" s="632">
        <f t="shared" si="19"/>
        <v>385000</v>
      </c>
      <c r="AM23" s="632">
        <f t="shared" si="19"/>
        <v>385000</v>
      </c>
      <c r="AN23" s="632">
        <f t="shared" si="19"/>
        <v>385000</v>
      </c>
      <c r="AO23" s="632">
        <f t="shared" si="19"/>
        <v>385000</v>
      </c>
      <c r="AP23" s="632">
        <f t="shared" si="19"/>
        <v>385000</v>
      </c>
      <c r="AQ23" s="632">
        <f t="shared" si="19"/>
        <v>385000</v>
      </c>
      <c r="AR23" s="632">
        <f t="shared" si="19"/>
        <v>385000</v>
      </c>
      <c r="AS23" s="632">
        <f t="shared" si="19"/>
        <v>385000</v>
      </c>
      <c r="AT23" s="632">
        <f t="shared" si="19"/>
        <v>385000</v>
      </c>
      <c r="AU23" s="632">
        <f t="shared" si="19"/>
        <v>375000</v>
      </c>
      <c r="AV23" s="632">
        <f t="shared" si="19"/>
        <v>310000</v>
      </c>
      <c r="AW23" s="632">
        <f t="shared" si="19"/>
        <v>118000</v>
      </c>
      <c r="AX23" s="632">
        <f t="shared" si="19"/>
        <v>0</v>
      </c>
      <c r="AY23" s="632">
        <f t="shared" si="19"/>
        <v>0</v>
      </c>
      <c r="AZ23" s="632">
        <f t="shared" si="19"/>
        <v>0</v>
      </c>
      <c r="BA23" s="632">
        <f t="shared" si="19"/>
        <v>0</v>
      </c>
    </row>
    <row r="24" spans="2:53" ht="9.4" x14ac:dyDescent="0.3">
      <c r="B24" s="633"/>
      <c r="C24" s="634"/>
      <c r="D24" s="626"/>
      <c r="E24" s="627"/>
    </row>
    <row r="25" spans="2:53" x14ac:dyDescent="0.25">
      <c r="B25" s="626" t="s">
        <v>94</v>
      </c>
      <c r="C25" s="626"/>
      <c r="D25" s="626"/>
      <c r="E25" s="627"/>
      <c r="F25" s="613" t="s">
        <v>160</v>
      </c>
    </row>
    <row r="26" spans="2:53" x14ac:dyDescent="0.25">
      <c r="B26" s="626" t="s">
        <v>368</v>
      </c>
      <c r="C26" s="626">
        <f>SUM(F26:AG26)</f>
        <v>157476.25</v>
      </c>
      <c r="D26" s="626">
        <v>6.95</v>
      </c>
      <c r="E26" s="627"/>
      <c r="F26" s="613">
        <v>38920</v>
      </c>
      <c r="G26" s="613">
        <v>36487.5</v>
      </c>
      <c r="H26" s="613">
        <v>30487.5</v>
      </c>
      <c r="I26" s="613">
        <v>23487.5</v>
      </c>
      <c r="J26" s="613">
        <v>16312.5</v>
      </c>
      <c r="K26" s="613">
        <v>9062.5</v>
      </c>
      <c r="L26" s="613">
        <v>2718.75</v>
      </c>
      <c r="M26" s="613">
        <v>0</v>
      </c>
      <c r="N26" s="613">
        <v>0</v>
      </c>
      <c r="O26" s="613">
        <v>0</v>
      </c>
    </row>
    <row r="27" spans="2:53" x14ac:dyDescent="0.25">
      <c r="B27" s="626" t="s">
        <v>369</v>
      </c>
      <c r="C27" s="626"/>
      <c r="D27" s="626" t="s">
        <v>160</v>
      </c>
      <c r="E27" s="627"/>
    </row>
    <row r="28" spans="2:53" x14ac:dyDescent="0.25">
      <c r="B28" s="626" t="s">
        <v>373</v>
      </c>
      <c r="C28" s="626">
        <f>SUM(F28:AG29)</f>
        <v>73503.039999999979</v>
      </c>
      <c r="D28" s="626">
        <v>4.8899999999999997</v>
      </c>
      <c r="E28" s="627"/>
      <c r="F28" s="613">
        <v>3843</v>
      </c>
      <c r="G28" s="613">
        <v>2291.63</v>
      </c>
      <c r="H28" s="613">
        <v>763.87</v>
      </c>
      <c r="I28" s="613">
        <v>0</v>
      </c>
      <c r="J28" s="613">
        <v>0</v>
      </c>
      <c r="K28" s="613">
        <v>0</v>
      </c>
      <c r="L28" s="613">
        <v>0</v>
      </c>
      <c r="M28" s="613">
        <v>0</v>
      </c>
    </row>
    <row r="29" spans="2:53" x14ac:dyDescent="0.25">
      <c r="B29" s="626" t="s">
        <v>91</v>
      </c>
      <c r="C29" s="626">
        <f>SUM(F29:AG29)</f>
        <v>66604.539999999994</v>
      </c>
      <c r="D29" s="626">
        <v>4.66</v>
      </c>
      <c r="E29" s="627"/>
      <c r="F29" s="613">
        <v>0</v>
      </c>
      <c r="G29" s="613">
        <v>0</v>
      </c>
      <c r="H29" s="613">
        <v>0</v>
      </c>
      <c r="I29" s="613">
        <v>0</v>
      </c>
      <c r="J29" s="613">
        <v>0</v>
      </c>
      <c r="K29" s="613">
        <v>6514.88</v>
      </c>
      <c r="L29" s="613">
        <v>6226.87</v>
      </c>
      <c r="M29" s="613">
        <v>6014.38</v>
      </c>
      <c r="N29" s="613">
        <v>5801.88</v>
      </c>
      <c r="O29" s="613">
        <v>5581.88</v>
      </c>
      <c r="P29" s="613">
        <v>5361.88</v>
      </c>
      <c r="Q29" s="613">
        <v>5121.88</v>
      </c>
      <c r="R29" s="613">
        <v>4881.88</v>
      </c>
      <c r="S29" s="613">
        <v>4621.88</v>
      </c>
      <c r="T29" s="613">
        <v>4333.13</v>
      </c>
      <c r="U29" s="628">
        <v>2435.25</v>
      </c>
      <c r="V29" s="628">
        <v>2186.25</v>
      </c>
      <c r="W29" s="628">
        <v>1931.25</v>
      </c>
      <c r="X29" s="628">
        <v>1571.25</v>
      </c>
      <c r="Y29" s="628">
        <v>1231.25</v>
      </c>
      <c r="Z29" s="628">
        <v>1051.25</v>
      </c>
      <c r="AA29" s="1459">
        <v>837.5</v>
      </c>
      <c r="AB29" s="628">
        <v>600</v>
      </c>
      <c r="AC29" s="628">
        <v>300</v>
      </c>
    </row>
    <row r="30" spans="2:53" x14ac:dyDescent="0.25">
      <c r="B30" s="626" t="s">
        <v>869</v>
      </c>
      <c r="C30" s="626"/>
      <c r="D30" s="626"/>
      <c r="E30" s="627"/>
      <c r="U30" s="628">
        <v>17845</v>
      </c>
      <c r="V30" s="628">
        <v>16645</v>
      </c>
      <c r="W30" s="635">
        <v>15445</v>
      </c>
      <c r="X30" s="635">
        <v>13845</v>
      </c>
      <c r="Y30" s="635">
        <v>12245</v>
      </c>
      <c r="Z30" s="635">
        <v>11445</v>
      </c>
      <c r="AA30" s="1461">
        <v>10657.5</v>
      </c>
      <c r="AB30" s="628">
        <v>9782.5</v>
      </c>
      <c r="AC30" s="628">
        <v>8732.5</v>
      </c>
      <c r="AD30" s="628">
        <v>7682.5</v>
      </c>
      <c r="AE30" s="628">
        <v>6562.5</v>
      </c>
      <c r="AF30" s="628">
        <v>5250</v>
      </c>
      <c r="AG30" s="628">
        <v>3937.5</v>
      </c>
      <c r="AH30" s="2252">
        <v>2625</v>
      </c>
      <c r="AI30" s="637">
        <v>1312.5</v>
      </c>
      <c r="AJ30" s="628">
        <f>SUM(U30:AI30)</f>
        <v>144012.5</v>
      </c>
    </row>
    <row r="31" spans="2:53" x14ac:dyDescent="0.25">
      <c r="B31" s="626" t="s">
        <v>187</v>
      </c>
      <c r="C31" s="626"/>
      <c r="D31" s="626"/>
      <c r="E31" s="627"/>
      <c r="U31" s="628">
        <v>16295</v>
      </c>
      <c r="V31" s="628">
        <v>15245</v>
      </c>
      <c r="W31" s="635">
        <v>14195</v>
      </c>
      <c r="X31" s="635">
        <v>12795</v>
      </c>
      <c r="Y31" s="635">
        <v>11395</v>
      </c>
      <c r="Z31" s="635">
        <v>10695</v>
      </c>
      <c r="AA31" s="1461">
        <v>9907.5</v>
      </c>
      <c r="AB31" s="628">
        <v>9032.5</v>
      </c>
      <c r="AC31" s="628">
        <v>7982.5</v>
      </c>
      <c r="AD31" s="628">
        <v>6932.5</v>
      </c>
      <c r="AE31" s="628">
        <v>5812.5</v>
      </c>
      <c r="AF31" s="628">
        <v>4500</v>
      </c>
      <c r="AG31" s="628">
        <v>3375</v>
      </c>
      <c r="AH31" s="2252">
        <v>2250</v>
      </c>
      <c r="AI31" s="637">
        <v>1125</v>
      </c>
      <c r="AJ31" s="628">
        <f>SUM(U31:AI31)</f>
        <v>131537.5</v>
      </c>
    </row>
    <row r="32" spans="2:53" x14ac:dyDescent="0.25">
      <c r="B32" s="636"/>
      <c r="C32" s="626"/>
      <c r="D32" s="626"/>
      <c r="E32" s="627"/>
      <c r="U32" s="628"/>
      <c r="V32" s="628"/>
      <c r="W32" s="628"/>
      <c r="X32" s="628"/>
      <c r="Y32" s="628"/>
      <c r="Z32" s="628"/>
      <c r="AA32" s="1459"/>
      <c r="AB32" s="628"/>
      <c r="AC32" s="628"/>
      <c r="AD32" s="628"/>
      <c r="AE32" s="628"/>
      <c r="AF32" s="628"/>
      <c r="AG32" s="628"/>
      <c r="AH32" s="2252"/>
      <c r="AI32" s="637"/>
      <c r="AJ32" s="628"/>
    </row>
    <row r="33" spans="2:55" x14ac:dyDescent="0.25">
      <c r="B33" s="626" t="s">
        <v>900</v>
      </c>
      <c r="C33" s="626">
        <v>300438.65999999997</v>
      </c>
      <c r="D33" s="626"/>
      <c r="E33" s="627">
        <v>20</v>
      </c>
      <c r="U33" s="628"/>
      <c r="V33" s="628"/>
      <c r="W33" s="628"/>
      <c r="X33" s="628"/>
      <c r="Y33" s="628"/>
      <c r="Z33" s="628"/>
      <c r="AA33" s="1462">
        <v>14598.28</v>
      </c>
      <c r="AB33" s="629">
        <v>29387.26</v>
      </c>
      <c r="AC33" s="629">
        <v>27993.759999999998</v>
      </c>
      <c r="AD33" s="629">
        <v>26493.759999999998</v>
      </c>
      <c r="AE33" s="629">
        <v>24993.759999999998</v>
      </c>
      <c r="AF33" s="629">
        <v>23243.759999999998</v>
      </c>
      <c r="AG33" s="629">
        <v>21243.759999999998</v>
      </c>
      <c r="AH33" s="2253">
        <v>19243.759999999998</v>
      </c>
      <c r="AI33" s="638">
        <v>17243.759999999998</v>
      </c>
      <c r="AJ33" s="629">
        <v>15493.76</v>
      </c>
      <c r="AK33" s="629">
        <v>14068.76</v>
      </c>
      <c r="AL33" s="629">
        <v>12718.76</v>
      </c>
      <c r="AM33" s="629">
        <v>11368.76</v>
      </c>
      <c r="AN33" s="629">
        <v>10018.76</v>
      </c>
      <c r="AO33" s="629">
        <v>8668.76</v>
      </c>
      <c r="AP33" s="629">
        <v>7318.76</v>
      </c>
      <c r="AQ33" s="629">
        <v>5968.76</v>
      </c>
      <c r="AR33" s="629">
        <v>4618.76</v>
      </c>
      <c r="AS33" s="629">
        <v>3268.76</v>
      </c>
      <c r="AT33" s="629">
        <v>1890.63</v>
      </c>
      <c r="AU33" s="629">
        <v>593.75</v>
      </c>
      <c r="BC33" s="613">
        <f>SUM(F33:AZ33)</f>
        <v>300438.84000000008</v>
      </c>
    </row>
    <row r="34" spans="2:55" x14ac:dyDescent="0.25">
      <c r="B34" s="626" t="s">
        <v>901</v>
      </c>
      <c r="C34" s="626">
        <v>201044.68</v>
      </c>
      <c r="D34" s="626"/>
      <c r="E34" s="627">
        <v>20</v>
      </c>
      <c r="U34" s="628"/>
      <c r="V34" s="628"/>
      <c r="W34" s="628"/>
      <c r="X34" s="628"/>
      <c r="Y34" s="628"/>
      <c r="Z34" s="628"/>
      <c r="AA34" s="1462">
        <v>9828.7999999999993</v>
      </c>
      <c r="AB34" s="629">
        <v>19775.259999999998</v>
      </c>
      <c r="AC34" s="629">
        <v>18806.259999999998</v>
      </c>
      <c r="AD34" s="629">
        <v>17756.259999999998</v>
      </c>
      <c r="AE34" s="629">
        <v>16706.259999999998</v>
      </c>
      <c r="AF34" s="629">
        <v>15481.26</v>
      </c>
      <c r="AG34" s="629">
        <v>14081.26</v>
      </c>
      <c r="AH34" s="2253">
        <v>12681.26</v>
      </c>
      <c r="AI34" s="638">
        <v>11381.26</v>
      </c>
      <c r="AJ34" s="629">
        <v>10331.26</v>
      </c>
      <c r="AK34" s="629">
        <v>9431.26</v>
      </c>
      <c r="AL34" s="629">
        <v>8531.26</v>
      </c>
      <c r="AM34" s="629">
        <v>7631.26</v>
      </c>
      <c r="AN34" s="629">
        <v>6731.26</v>
      </c>
      <c r="AO34" s="629">
        <v>5831.26</v>
      </c>
      <c r="AP34" s="629">
        <v>4931.26</v>
      </c>
      <c r="AQ34" s="629">
        <v>4031.26</v>
      </c>
      <c r="AR34" s="629">
        <v>3131.26</v>
      </c>
      <c r="AS34" s="629">
        <v>2231.2600000000002</v>
      </c>
      <c r="AT34" s="629">
        <v>1312.51</v>
      </c>
      <c r="AU34" s="629">
        <v>421.88</v>
      </c>
      <c r="BC34" s="613">
        <f>SUM(F34:AZ34)</f>
        <v>201044.87000000008</v>
      </c>
    </row>
    <row r="35" spans="2:55" x14ac:dyDescent="0.25">
      <c r="B35" s="700" t="s">
        <v>933</v>
      </c>
      <c r="C35" s="626">
        <v>3500000</v>
      </c>
      <c r="D35" s="1425">
        <v>3.5000000000000003E-2</v>
      </c>
      <c r="E35" s="627"/>
      <c r="U35" s="628"/>
      <c r="V35" s="628"/>
      <c r="W35" s="628"/>
      <c r="X35" s="628"/>
      <c r="Y35" s="628"/>
      <c r="Z35" s="628"/>
      <c r="AA35" s="1459"/>
      <c r="AB35" s="6">
        <f>C35*0.035*150/360</f>
        <v>51041.666666666679</v>
      </c>
      <c r="AC35" s="628"/>
      <c r="AD35" s="628"/>
      <c r="AE35" s="628"/>
      <c r="AF35" s="628"/>
      <c r="AG35" s="628"/>
      <c r="AH35" s="2252"/>
      <c r="AI35" s="637"/>
      <c r="AJ35" s="628"/>
    </row>
    <row r="36" spans="2:55" x14ac:dyDescent="0.25">
      <c r="B36" s="700" t="s">
        <v>934</v>
      </c>
      <c r="C36" s="626">
        <v>7250000</v>
      </c>
      <c r="D36" s="1425">
        <v>3.5000000000000003E-2</v>
      </c>
      <c r="E36" s="627"/>
      <c r="U36" s="628"/>
      <c r="V36" s="628"/>
      <c r="W36" s="628"/>
      <c r="X36" s="628"/>
      <c r="Y36" s="628"/>
      <c r="Z36" s="628"/>
      <c r="AA36" s="1459"/>
      <c r="AB36" s="6">
        <f>C36*D36*359/360</f>
        <v>253045.13888888893</v>
      </c>
      <c r="AC36" s="628"/>
      <c r="AD36" s="628"/>
      <c r="AE36" s="628"/>
      <c r="AF36" s="628"/>
      <c r="AG36" s="628"/>
      <c r="AH36" s="2252"/>
      <c r="AI36" s="637"/>
      <c r="AJ36" s="628"/>
    </row>
    <row r="37" spans="2:55" x14ac:dyDescent="0.25">
      <c r="B37" s="700"/>
      <c r="C37" s="626"/>
      <c r="D37" s="1425"/>
      <c r="E37" s="627"/>
      <c r="U37" s="628"/>
      <c r="V37" s="628"/>
      <c r="W37" s="628"/>
      <c r="X37" s="628"/>
      <c r="Y37" s="628"/>
      <c r="Z37" s="628"/>
      <c r="AA37" s="1459"/>
      <c r="AB37" s="6"/>
      <c r="AC37" s="628">
        <v>153631.26</v>
      </c>
      <c r="AD37" s="628">
        <v>144181.26</v>
      </c>
      <c r="AE37" s="628">
        <v>134681.26</v>
      </c>
      <c r="AF37" s="628">
        <v>125181.26000000002</v>
      </c>
      <c r="AG37" s="628">
        <v>115681.26000000002</v>
      </c>
      <c r="AH37" s="1601">
        <v>106181.26000000002</v>
      </c>
      <c r="AI37" s="628">
        <v>96681.26</v>
      </c>
      <c r="AJ37" s="628">
        <v>87181.26</v>
      </c>
      <c r="AK37" s="628">
        <v>77931.259999999995</v>
      </c>
      <c r="AL37" s="628">
        <v>68681.259999999995</v>
      </c>
      <c r="AM37" s="628">
        <v>59431.26</v>
      </c>
      <c r="AN37" s="628">
        <v>52031.26</v>
      </c>
      <c r="AO37" s="628">
        <v>46481.26</v>
      </c>
      <c r="AP37" s="628">
        <v>40931.26</v>
      </c>
      <c r="AQ37" s="628">
        <v>35381.26</v>
      </c>
      <c r="AR37" s="628">
        <v>29831.26</v>
      </c>
      <c r="AS37" s="628">
        <v>24050</v>
      </c>
      <c r="AT37" s="628">
        <v>18268.759999999998</v>
      </c>
      <c r="AU37" s="628">
        <v>12256.26</v>
      </c>
      <c r="AV37" s="628">
        <v>6243.76</v>
      </c>
      <c r="AW37" s="628">
        <v>0</v>
      </c>
    </row>
    <row r="38" spans="2:55" x14ac:dyDescent="0.25">
      <c r="B38" s="700" t="s">
        <v>1002</v>
      </c>
      <c r="C38" s="626">
        <f>C17</f>
        <v>3734000</v>
      </c>
      <c r="D38" s="1425"/>
      <c r="E38" s="627">
        <v>20</v>
      </c>
      <c r="U38" s="628"/>
      <c r="V38" s="628"/>
      <c r="W38" s="628"/>
      <c r="X38" s="628"/>
      <c r="Y38" s="628"/>
      <c r="Z38" s="628"/>
      <c r="AA38" s="1459"/>
      <c r="AB38" s="6"/>
      <c r="AC38" s="628"/>
      <c r="AD38" s="628"/>
      <c r="AE38" s="628"/>
      <c r="AF38" s="628"/>
      <c r="AG38" s="628"/>
      <c r="AH38" s="2252"/>
      <c r="AI38" s="637"/>
      <c r="AJ38" s="628"/>
    </row>
    <row r="39" spans="2:55" x14ac:dyDescent="0.25">
      <c r="B39" s="700"/>
      <c r="C39" s="626"/>
      <c r="D39" s="1425"/>
      <c r="E39" s="627"/>
      <c r="U39" s="628"/>
      <c r="V39" s="628"/>
      <c r="W39" s="628"/>
      <c r="X39" s="628"/>
      <c r="Y39" s="628"/>
      <c r="Z39" s="628"/>
      <c r="AA39" s="1459"/>
      <c r="AB39" s="6"/>
      <c r="AC39" s="628"/>
      <c r="AD39" s="628"/>
      <c r="AE39" s="628"/>
      <c r="AF39" s="628"/>
      <c r="AG39" s="628"/>
      <c r="AH39" s="2252"/>
      <c r="AI39" s="637"/>
      <c r="AJ39" s="628"/>
    </row>
    <row r="40" spans="2:55" x14ac:dyDescent="0.25">
      <c r="B40" s="700" t="s">
        <v>1003</v>
      </c>
      <c r="C40" s="626">
        <v>1630000</v>
      </c>
      <c r="D40" s="1425">
        <v>2.2200000000000001E-2</v>
      </c>
      <c r="E40" s="627">
        <v>20</v>
      </c>
      <c r="U40" s="628"/>
      <c r="V40" s="628"/>
      <c r="W40" s="628"/>
      <c r="X40" s="628"/>
      <c r="Y40" s="628"/>
      <c r="Z40" s="628"/>
      <c r="AA40" s="1459"/>
      <c r="AB40" s="6"/>
      <c r="AC40" s="628"/>
      <c r="AD40" s="628">
        <v>27195.96</v>
      </c>
      <c r="AE40" s="628">
        <v>54142.5</v>
      </c>
      <c r="AF40" s="628">
        <v>49892.5</v>
      </c>
      <c r="AG40" s="628">
        <v>45642.45</v>
      </c>
      <c r="AH40" s="2252">
        <v>41392.5</v>
      </c>
      <c r="AI40" s="637">
        <v>37142.5</v>
      </c>
      <c r="AJ40" s="628">
        <v>32892.5</v>
      </c>
      <c r="AK40" s="613">
        <v>28642.5</v>
      </c>
      <c r="AL40" s="613">
        <v>24517.5</v>
      </c>
      <c r="AM40" s="613">
        <v>21317.5</v>
      </c>
      <c r="AN40" s="613">
        <v>18917.5</v>
      </c>
      <c r="AO40" s="613">
        <v>16917.5</v>
      </c>
      <c r="AP40" s="613">
        <v>15297.5</v>
      </c>
      <c r="AQ40" s="613">
        <v>13637.5</v>
      </c>
      <c r="AR40" s="613">
        <v>11937.5</v>
      </c>
      <c r="AS40" s="613">
        <v>10197.5</v>
      </c>
      <c r="AT40" s="613">
        <v>8417.5</v>
      </c>
      <c r="AU40" s="613">
        <v>6597.5</v>
      </c>
      <c r="AV40" s="613">
        <v>4737.5</v>
      </c>
      <c r="AW40" s="613">
        <v>2817.5</v>
      </c>
      <c r="AX40" s="613">
        <v>918.75</v>
      </c>
    </row>
    <row r="41" spans="2:55" x14ac:dyDescent="0.25">
      <c r="B41" s="700" t="s">
        <v>1004</v>
      </c>
      <c r="C41" s="626">
        <v>918000</v>
      </c>
      <c r="D41" s="1539">
        <v>2.2200000000000001E-2</v>
      </c>
      <c r="E41" s="627">
        <v>20</v>
      </c>
      <c r="U41" s="628"/>
      <c r="V41" s="628"/>
      <c r="W41" s="628"/>
      <c r="X41" s="628"/>
      <c r="Y41" s="628"/>
      <c r="Z41" s="628"/>
      <c r="AA41" s="1459"/>
      <c r="AB41" s="628"/>
      <c r="AC41" s="628"/>
      <c r="AD41" s="628">
        <v>15314.9</v>
      </c>
      <c r="AE41" s="628">
        <v>30436</v>
      </c>
      <c r="AF41" s="628">
        <v>27936</v>
      </c>
      <c r="AG41" s="628">
        <v>25436</v>
      </c>
      <c r="AH41" s="2252">
        <v>22936</v>
      </c>
      <c r="AI41" s="637">
        <v>20561</v>
      </c>
      <c r="AJ41" s="628">
        <v>18311</v>
      </c>
      <c r="AK41" s="613">
        <v>16061</v>
      </c>
      <c r="AL41" s="613">
        <v>13811</v>
      </c>
      <c r="AM41" s="613">
        <v>12011</v>
      </c>
      <c r="AN41" s="613">
        <v>10661</v>
      </c>
      <c r="AO41" s="613">
        <v>9536</v>
      </c>
      <c r="AP41" s="613">
        <v>8624.75</v>
      </c>
      <c r="AQ41" s="613">
        <v>7691</v>
      </c>
      <c r="AR41" s="613">
        <v>6734.75</v>
      </c>
      <c r="AS41" s="613">
        <v>5756</v>
      </c>
      <c r="AT41" s="613">
        <v>4754.75</v>
      </c>
      <c r="AU41" s="613">
        <v>3731</v>
      </c>
      <c r="AV41" s="613">
        <v>2684.75</v>
      </c>
      <c r="AW41" s="613">
        <v>1604.75</v>
      </c>
      <c r="AX41" s="613">
        <v>526.75</v>
      </c>
    </row>
    <row r="42" spans="2:55" x14ac:dyDescent="0.25">
      <c r="B42" s="639"/>
      <c r="C42" s="640">
        <v>225000</v>
      </c>
      <c r="D42" s="626"/>
      <c r="E42" s="627"/>
    </row>
    <row r="43" spans="2:55" x14ac:dyDescent="0.25">
      <c r="B43" s="630" t="s">
        <v>371</v>
      </c>
      <c r="C43" s="630">
        <f>SUM(F43:AG43)</f>
        <v>2033045.9055555556</v>
      </c>
      <c r="D43" s="630"/>
      <c r="E43" s="631"/>
      <c r="F43" s="632">
        <f t="shared" ref="F43:Z43" si="20">SUM(F24:F42)</f>
        <v>42763</v>
      </c>
      <c r="G43" s="632">
        <f t="shared" si="20"/>
        <v>38779.129999999997</v>
      </c>
      <c r="H43" s="632">
        <f t="shared" si="20"/>
        <v>31251.37</v>
      </c>
      <c r="I43" s="632">
        <f t="shared" si="20"/>
        <v>23487.5</v>
      </c>
      <c r="J43" s="632">
        <f t="shared" si="20"/>
        <v>16312.5</v>
      </c>
      <c r="K43" s="632">
        <f t="shared" si="20"/>
        <v>15577.380000000001</v>
      </c>
      <c r="L43" s="632">
        <f t="shared" si="20"/>
        <v>8945.619999999999</v>
      </c>
      <c r="M43" s="632">
        <f t="shared" si="20"/>
        <v>6014.38</v>
      </c>
      <c r="N43" s="632">
        <f t="shared" si="20"/>
        <v>5801.88</v>
      </c>
      <c r="O43" s="632">
        <f t="shared" si="20"/>
        <v>5581.88</v>
      </c>
      <c r="P43" s="632">
        <f t="shared" si="20"/>
        <v>5361.88</v>
      </c>
      <c r="Q43" s="632">
        <f t="shared" si="20"/>
        <v>5121.88</v>
      </c>
      <c r="R43" s="632">
        <f t="shared" si="20"/>
        <v>4881.88</v>
      </c>
      <c r="S43" s="632">
        <f t="shared" si="20"/>
        <v>4621.88</v>
      </c>
      <c r="T43" s="632">
        <f t="shared" si="20"/>
        <v>4333.13</v>
      </c>
      <c r="U43" s="632">
        <f>SUM(U24:U42)</f>
        <v>36575.25</v>
      </c>
      <c r="V43" s="632">
        <f t="shared" si="20"/>
        <v>34076.25</v>
      </c>
      <c r="W43" s="632">
        <f>SUM(W24:W42)</f>
        <v>31571.25</v>
      </c>
      <c r="X43" s="632">
        <f t="shared" si="20"/>
        <v>28211.25</v>
      </c>
      <c r="Y43" s="632">
        <f t="shared" si="20"/>
        <v>24871.25</v>
      </c>
      <c r="Z43" s="632">
        <f t="shared" si="20"/>
        <v>23191.25</v>
      </c>
      <c r="AA43" s="1460">
        <f>SUM(AA24:AA42)</f>
        <v>45829.58</v>
      </c>
      <c r="AB43" s="632">
        <f>SUM(AB24:AB42)</f>
        <v>372664.32555555564</v>
      </c>
      <c r="AC43" s="632">
        <f>SUM(AC24:AC42)</f>
        <v>217446.28</v>
      </c>
      <c r="AD43" s="632">
        <f>SUM(AD24:AD42)</f>
        <v>245557.13999999998</v>
      </c>
      <c r="AE43" s="632">
        <f>SUM(AE24:AE42)</f>
        <v>273334.78000000003</v>
      </c>
      <c r="AF43" s="632">
        <f t="shared" ref="AF43:BA43" si="21">SUM(AF24:AF42)</f>
        <v>251484.78000000003</v>
      </c>
      <c r="AG43" s="632">
        <f t="shared" si="21"/>
        <v>229397.23000000004</v>
      </c>
      <c r="AH43" s="1603">
        <f t="shared" si="21"/>
        <v>207309.78000000003</v>
      </c>
      <c r="AI43" s="632">
        <f t="shared" si="21"/>
        <v>185447.28</v>
      </c>
      <c r="AJ43" s="632">
        <f t="shared" si="21"/>
        <v>439759.78</v>
      </c>
      <c r="AK43" s="632">
        <f t="shared" si="21"/>
        <v>146134.78</v>
      </c>
      <c r="AL43" s="632">
        <f t="shared" si="21"/>
        <v>128259.78</v>
      </c>
      <c r="AM43" s="632">
        <f t="shared" si="21"/>
        <v>111759.78</v>
      </c>
      <c r="AN43" s="632">
        <f t="shared" si="21"/>
        <v>98359.78</v>
      </c>
      <c r="AO43" s="632">
        <f t="shared" si="21"/>
        <v>87434.78</v>
      </c>
      <c r="AP43" s="632">
        <f t="shared" si="21"/>
        <v>77103.53</v>
      </c>
      <c r="AQ43" s="632">
        <f t="shared" si="21"/>
        <v>66709.78</v>
      </c>
      <c r="AR43" s="632">
        <f t="shared" si="21"/>
        <v>56253.53</v>
      </c>
      <c r="AS43" s="632">
        <f t="shared" si="21"/>
        <v>45503.520000000004</v>
      </c>
      <c r="AT43" s="632">
        <f t="shared" si="21"/>
        <v>34644.149999999994</v>
      </c>
      <c r="AU43" s="632">
        <f t="shared" si="21"/>
        <v>23600.39</v>
      </c>
      <c r="AV43" s="632">
        <f t="shared" si="21"/>
        <v>13666.01</v>
      </c>
      <c r="AW43" s="632">
        <f t="shared" si="21"/>
        <v>4422.25</v>
      </c>
      <c r="AX43" s="632">
        <f t="shared" si="21"/>
        <v>1445.5</v>
      </c>
      <c r="AY43" s="632">
        <f t="shared" si="21"/>
        <v>0</v>
      </c>
      <c r="AZ43" s="632">
        <f t="shared" si="21"/>
        <v>0</v>
      </c>
      <c r="BA43" s="632">
        <f t="shared" si="21"/>
        <v>0</v>
      </c>
    </row>
    <row r="44" spans="2:55" ht="9.4" x14ac:dyDescent="0.3">
      <c r="B44" s="641" t="s">
        <v>8</v>
      </c>
      <c r="C44" s="642">
        <f>SUM(C26:C29)</f>
        <v>297583.82999999996</v>
      </c>
      <c r="D44" s="642"/>
      <c r="E44" s="643"/>
      <c r="F44" s="644"/>
      <c r="G44" s="644"/>
      <c r="H44" s="644"/>
      <c r="I44" s="644"/>
      <c r="J44" s="644"/>
      <c r="K44" s="644"/>
      <c r="L44" s="644"/>
      <c r="M44" s="644"/>
      <c r="N44" s="644"/>
      <c r="O44" s="644"/>
      <c r="P44" s="644"/>
      <c r="Q44" s="644"/>
      <c r="R44" s="644"/>
      <c r="S44" s="644"/>
      <c r="T44" s="644"/>
      <c r="U44" s="644"/>
      <c r="V44" s="644"/>
      <c r="W44" s="644"/>
      <c r="X44" s="644"/>
      <c r="Y44" s="644"/>
      <c r="Z44" s="644"/>
      <c r="AA44" s="1463"/>
      <c r="AH44" s="1598"/>
      <c r="AI44" s="613"/>
    </row>
    <row r="45" spans="2:55" ht="9.4" thickBot="1" x14ac:dyDescent="0.3">
      <c r="B45" s="645" t="s">
        <v>494</v>
      </c>
      <c r="C45" s="645">
        <f>SUM(F45:AG45)</f>
        <v>5739645.9055555556</v>
      </c>
      <c r="D45" s="645"/>
      <c r="E45" s="646"/>
      <c r="F45" s="647">
        <f t="shared" ref="F45:AE45" si="22">SUM(F23+F43)</f>
        <v>109263</v>
      </c>
      <c r="G45" s="647">
        <f t="shared" si="22"/>
        <v>120279.13</v>
      </c>
      <c r="H45" s="647">
        <f t="shared" si="22"/>
        <v>162751.37</v>
      </c>
      <c r="I45" s="647">
        <f t="shared" si="22"/>
        <v>123487.5</v>
      </c>
      <c r="J45" s="647">
        <f t="shared" si="22"/>
        <v>116312.5</v>
      </c>
      <c r="K45" s="647">
        <f t="shared" si="22"/>
        <v>120377.38</v>
      </c>
      <c r="L45" s="647">
        <f t="shared" si="22"/>
        <v>88945.62</v>
      </c>
      <c r="M45" s="647">
        <f t="shared" si="22"/>
        <v>11014.380000000001</v>
      </c>
      <c r="N45" s="647">
        <f t="shared" si="22"/>
        <v>11301.880000000001</v>
      </c>
      <c r="O45" s="647">
        <f t="shared" si="22"/>
        <v>11081.880000000001</v>
      </c>
      <c r="P45" s="647">
        <f t="shared" si="22"/>
        <v>11361.880000000001</v>
      </c>
      <c r="Q45" s="647">
        <f t="shared" si="22"/>
        <v>11121.880000000001</v>
      </c>
      <c r="R45" s="647">
        <f t="shared" si="22"/>
        <v>11381.880000000001</v>
      </c>
      <c r="S45" s="647">
        <f t="shared" si="22"/>
        <v>11621.880000000001</v>
      </c>
      <c r="T45" s="647">
        <f t="shared" si="22"/>
        <v>11333.130000000001</v>
      </c>
      <c r="U45" s="647">
        <f t="shared" si="22"/>
        <v>119875.25</v>
      </c>
      <c r="V45" s="647">
        <f t="shared" si="22"/>
        <v>117576.25</v>
      </c>
      <c r="W45" s="647">
        <f t="shared" si="22"/>
        <v>115571.25</v>
      </c>
      <c r="X45" s="647">
        <f t="shared" si="22"/>
        <v>111711.25</v>
      </c>
      <c r="Y45" s="647">
        <f t="shared" si="22"/>
        <v>108871.25</v>
      </c>
      <c r="Z45" s="647">
        <f t="shared" si="22"/>
        <v>102691.25</v>
      </c>
      <c r="AA45" s="1464">
        <f>SUM(AA23+AA43)</f>
        <v>125329.58</v>
      </c>
      <c r="AB45" s="647">
        <f t="shared" si="22"/>
        <v>525164.32555555564</v>
      </c>
      <c r="AC45" s="647">
        <f t="shared" si="22"/>
        <v>571446.28</v>
      </c>
      <c r="AD45" s="647">
        <f>SUM(AD23+AD43)</f>
        <v>725557.14</v>
      </c>
      <c r="AE45" s="647">
        <f t="shared" si="22"/>
        <v>753334.78</v>
      </c>
      <c r="AF45" s="647">
        <f t="shared" ref="AF45:BA45" si="23">SUM(AF23+AF43)</f>
        <v>726484.78</v>
      </c>
      <c r="AG45" s="647">
        <f t="shared" si="23"/>
        <v>704397.23</v>
      </c>
      <c r="AH45" s="1604">
        <f t="shared" si="23"/>
        <v>677309.78</v>
      </c>
      <c r="AI45" s="647">
        <f t="shared" si="23"/>
        <v>650447.28</v>
      </c>
      <c r="AJ45" s="647">
        <f t="shared" si="23"/>
        <v>834759.78</v>
      </c>
      <c r="AK45" s="647">
        <f t="shared" si="23"/>
        <v>531134.78</v>
      </c>
      <c r="AL45" s="647">
        <f t="shared" si="23"/>
        <v>513259.78</v>
      </c>
      <c r="AM45" s="647">
        <f t="shared" si="23"/>
        <v>496759.78</v>
      </c>
      <c r="AN45" s="647">
        <f t="shared" si="23"/>
        <v>483359.78</v>
      </c>
      <c r="AO45" s="647">
        <f t="shared" si="23"/>
        <v>472434.78</v>
      </c>
      <c r="AP45" s="647">
        <f t="shared" si="23"/>
        <v>462103.53</v>
      </c>
      <c r="AQ45" s="647">
        <f t="shared" si="23"/>
        <v>451709.78</v>
      </c>
      <c r="AR45" s="647">
        <f t="shared" si="23"/>
        <v>441253.53</v>
      </c>
      <c r="AS45" s="647">
        <f t="shared" si="23"/>
        <v>430503.52</v>
      </c>
      <c r="AT45" s="647">
        <f t="shared" si="23"/>
        <v>419644.15</v>
      </c>
      <c r="AU45" s="647">
        <f t="shared" si="23"/>
        <v>398600.39</v>
      </c>
      <c r="AV45" s="647">
        <f t="shared" si="23"/>
        <v>323666.01</v>
      </c>
      <c r="AW45" s="647">
        <f t="shared" si="23"/>
        <v>122422.25</v>
      </c>
      <c r="AX45" s="647">
        <f t="shared" si="23"/>
        <v>1445.5</v>
      </c>
      <c r="AY45" s="647">
        <f t="shared" si="23"/>
        <v>0</v>
      </c>
      <c r="AZ45" s="647">
        <f t="shared" si="23"/>
        <v>0</v>
      </c>
      <c r="BA45" s="647">
        <f t="shared" si="23"/>
        <v>0</v>
      </c>
      <c r="BB45" s="1488"/>
    </row>
    <row r="46" spans="2:55" ht="9.75" thickTop="1" x14ac:dyDescent="0.3">
      <c r="B46" s="633" t="s">
        <v>8</v>
      </c>
      <c r="C46" s="634">
        <f>SUM(C23+C43)</f>
        <v>10432545.905555556</v>
      </c>
      <c r="D46" s="626"/>
      <c r="E46" s="627"/>
    </row>
    <row r="47" spans="2:55" ht="9.4" thickBot="1" x14ac:dyDescent="0.3">
      <c r="B47" s="648"/>
      <c r="C47" s="649"/>
      <c r="D47" s="649"/>
      <c r="E47" s="650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1"/>
      <c r="R47" s="651"/>
      <c r="S47" s="651"/>
      <c r="T47" s="651"/>
      <c r="U47" s="651"/>
      <c r="V47" s="651"/>
      <c r="W47" s="651"/>
      <c r="X47" s="651"/>
      <c r="Y47" s="651"/>
      <c r="Z47" s="651"/>
      <c r="AA47" s="1465"/>
      <c r="AB47" s="651"/>
      <c r="AC47" s="651"/>
      <c r="AD47" s="651"/>
      <c r="AE47" s="651"/>
    </row>
    <row r="48" spans="2:55" ht="9.4" thickTop="1" x14ac:dyDescent="0.25">
      <c r="B48" s="625" t="s">
        <v>34</v>
      </c>
      <c r="C48" s="626"/>
      <c r="D48" s="626"/>
      <c r="E48" s="627"/>
      <c r="G48" s="613" t="s">
        <v>248</v>
      </c>
    </row>
    <row r="49" spans="1:37" x14ac:dyDescent="0.25">
      <c r="B49" s="626" t="s">
        <v>753</v>
      </c>
      <c r="C49" s="626"/>
      <c r="D49" s="626"/>
      <c r="E49" s="627"/>
    </row>
    <row r="50" spans="1:37" x14ac:dyDescent="0.25">
      <c r="B50" s="626" t="s">
        <v>368</v>
      </c>
      <c r="C50" s="626">
        <f>SUM(F50:AG50)</f>
        <v>115000</v>
      </c>
      <c r="D50" s="626">
        <v>6.95</v>
      </c>
      <c r="E50" s="627"/>
      <c r="F50" s="613">
        <v>65000</v>
      </c>
      <c r="G50" s="613">
        <v>50000</v>
      </c>
      <c r="I50" s="613">
        <v>0</v>
      </c>
      <c r="J50" s="613">
        <v>0</v>
      </c>
      <c r="K50" s="613">
        <v>0</v>
      </c>
      <c r="L50" s="613">
        <v>0</v>
      </c>
    </row>
    <row r="51" spans="1:37" x14ac:dyDescent="0.25">
      <c r="B51" s="626" t="s">
        <v>228</v>
      </c>
      <c r="C51" s="626">
        <f>SUM(F51:AG51)</f>
        <v>542000</v>
      </c>
      <c r="D51" s="626">
        <v>4.0199999999999996</v>
      </c>
      <c r="E51" s="627"/>
      <c r="F51" s="613">
        <v>0</v>
      </c>
      <c r="G51" s="613">
        <v>0</v>
      </c>
      <c r="H51" s="613">
        <v>112000</v>
      </c>
      <c r="I51" s="613">
        <v>110000</v>
      </c>
      <c r="J51" s="613">
        <v>110000</v>
      </c>
      <c r="K51" s="613">
        <v>105000</v>
      </c>
      <c r="L51" s="613">
        <v>105000</v>
      </c>
    </row>
    <row r="52" spans="1:37" x14ac:dyDescent="0.25">
      <c r="B52" s="626" t="s">
        <v>229</v>
      </c>
      <c r="C52" s="626">
        <f>SUM(F52:AG52)</f>
        <v>151000</v>
      </c>
      <c r="D52" s="626">
        <v>3.85</v>
      </c>
      <c r="E52" s="627"/>
      <c r="F52" s="613">
        <v>42000</v>
      </c>
      <c r="G52" s="613">
        <v>42000</v>
      </c>
      <c r="H52" s="613">
        <v>42000</v>
      </c>
      <c r="I52" s="613">
        <f>SUM(I48:I50)</f>
        <v>0</v>
      </c>
      <c r="J52" s="613">
        <f>SUM(J48:J50)</f>
        <v>0</v>
      </c>
      <c r="X52" s="652">
        <v>25000</v>
      </c>
      <c r="Y52" s="653"/>
      <c r="Z52" s="653"/>
      <c r="AA52" s="1466"/>
      <c r="AB52" s="653"/>
    </row>
    <row r="53" spans="1:37" x14ac:dyDescent="0.25">
      <c r="B53" s="626" t="s">
        <v>367</v>
      </c>
      <c r="C53" s="626">
        <f>SUM(F53:AG53)</f>
        <v>1822700</v>
      </c>
      <c r="D53" s="626">
        <v>4.66</v>
      </c>
      <c r="E53" s="627">
        <v>20</v>
      </c>
      <c r="K53" s="613">
        <v>151200</v>
      </c>
      <c r="L53" s="613">
        <v>155000</v>
      </c>
      <c r="M53" s="613">
        <v>155000</v>
      </c>
      <c r="N53" s="613">
        <v>169500</v>
      </c>
      <c r="O53" s="613">
        <v>174500</v>
      </c>
      <c r="P53" s="613">
        <v>189000</v>
      </c>
      <c r="Q53" s="613">
        <v>189000</v>
      </c>
      <c r="R53" s="613">
        <v>203500</v>
      </c>
      <c r="S53" s="613">
        <v>213000</v>
      </c>
      <c r="T53" s="613">
        <v>223000</v>
      </c>
      <c r="U53" s="628"/>
      <c r="V53" s="628"/>
      <c r="W53" s="628"/>
      <c r="X53" s="628"/>
      <c r="Y53" s="628"/>
      <c r="Z53" s="628"/>
      <c r="AA53" s="1459"/>
      <c r="AB53" s="628"/>
      <c r="AC53" s="628"/>
      <c r="AD53" s="628"/>
    </row>
    <row r="54" spans="1:37" x14ac:dyDescent="0.25">
      <c r="B54" s="626" t="s">
        <v>501</v>
      </c>
      <c r="C54" s="626">
        <f>SUM(F54:AG54)</f>
        <v>3634000</v>
      </c>
      <c r="D54" s="626">
        <v>4.71</v>
      </c>
      <c r="E54" s="627">
        <v>20</v>
      </c>
      <c r="L54" s="613">
        <v>299000</v>
      </c>
      <c r="M54" s="613">
        <v>305000</v>
      </c>
      <c r="N54" s="613">
        <v>320000</v>
      </c>
      <c r="O54" s="613">
        <v>335000</v>
      </c>
      <c r="P54" s="613">
        <v>350000</v>
      </c>
      <c r="Q54" s="613">
        <v>370000</v>
      </c>
      <c r="R54" s="613">
        <v>385000</v>
      </c>
      <c r="S54" s="613">
        <v>405000</v>
      </c>
      <c r="T54" s="613">
        <v>420000</v>
      </c>
      <c r="U54" s="652">
        <f>445000</f>
        <v>445000</v>
      </c>
    </row>
    <row r="55" spans="1:37" s="656" customFormat="1" x14ac:dyDescent="0.25">
      <c r="B55" s="654" t="s">
        <v>708</v>
      </c>
      <c r="C55" s="654"/>
      <c r="D55" s="654">
        <v>2.56</v>
      </c>
      <c r="E55" s="655"/>
      <c r="AA55" s="1467"/>
      <c r="AH55" s="2254"/>
      <c r="AI55" s="657"/>
    </row>
    <row r="56" spans="1:37" x14ac:dyDescent="0.25">
      <c r="A56" s="628" t="s">
        <v>794</v>
      </c>
      <c r="B56" s="658" t="s">
        <v>706</v>
      </c>
      <c r="C56" s="626">
        <v>740700</v>
      </c>
      <c r="D56" s="626"/>
      <c r="E56" s="627">
        <v>9</v>
      </c>
      <c r="U56" s="628">
        <f>83000-8300</f>
        <v>74700</v>
      </c>
      <c r="V56" s="628">
        <f>85000-8500</f>
        <v>76500</v>
      </c>
      <c r="W56" s="628">
        <f>90000-9000</f>
        <v>81000</v>
      </c>
      <c r="X56" s="628">
        <f>85000-8500</f>
        <v>76500</v>
      </c>
      <c r="Y56" s="628">
        <f>90000-9000</f>
        <v>81000</v>
      </c>
      <c r="Z56" s="628">
        <f>95000-9500</f>
        <v>85500</v>
      </c>
      <c r="AA56" s="1459">
        <f>95000-9500</f>
        <v>85500</v>
      </c>
      <c r="AB56" s="628">
        <f>100000-10000</f>
        <v>90000</v>
      </c>
      <c r="AC56" s="628">
        <v>90000</v>
      </c>
      <c r="AD56" s="628">
        <v>0</v>
      </c>
    </row>
    <row r="57" spans="1:37" x14ac:dyDescent="0.25">
      <c r="A57" s="628" t="s">
        <v>794</v>
      </c>
      <c r="B57" s="658" t="s">
        <v>154</v>
      </c>
      <c r="C57" s="626">
        <v>649000</v>
      </c>
      <c r="D57" s="626"/>
      <c r="E57" s="627">
        <v>7</v>
      </c>
      <c r="U57" s="628">
        <v>84000</v>
      </c>
      <c r="V57" s="628">
        <v>85000</v>
      </c>
      <c r="W57" s="628">
        <v>90000</v>
      </c>
      <c r="X57" s="628">
        <v>95000</v>
      </c>
      <c r="Y57" s="628">
        <v>100000</v>
      </c>
      <c r="Z57" s="628">
        <v>95000</v>
      </c>
      <c r="AA57" s="1459">
        <v>100000</v>
      </c>
      <c r="AB57" s="628">
        <v>0</v>
      </c>
      <c r="AC57" s="628">
        <v>0</v>
      </c>
      <c r="AD57" s="628">
        <v>0</v>
      </c>
    </row>
    <row r="58" spans="1:37" x14ac:dyDescent="0.25">
      <c r="A58" s="628" t="s">
        <v>794</v>
      </c>
      <c r="B58" s="658" t="s">
        <v>361</v>
      </c>
      <c r="C58" s="626">
        <v>765000</v>
      </c>
      <c r="D58" s="626"/>
      <c r="E58" s="627">
        <v>10</v>
      </c>
      <c r="U58" s="628">
        <v>65000</v>
      </c>
      <c r="V58" s="628">
        <v>70000</v>
      </c>
      <c r="W58" s="628">
        <v>75000</v>
      </c>
      <c r="X58" s="628">
        <v>75000</v>
      </c>
      <c r="Y58" s="628">
        <v>75000</v>
      </c>
      <c r="Z58" s="628">
        <v>80000</v>
      </c>
      <c r="AA58" s="1459">
        <v>80000</v>
      </c>
      <c r="AB58" s="628">
        <v>80000</v>
      </c>
      <c r="AC58" s="628">
        <v>85000</v>
      </c>
      <c r="AD58" s="628">
        <v>80000</v>
      </c>
    </row>
    <row r="59" spans="1:37" x14ac:dyDescent="0.25">
      <c r="A59" s="628" t="s">
        <v>794</v>
      </c>
      <c r="B59" s="658" t="s">
        <v>362</v>
      </c>
      <c r="C59" s="626">
        <v>98000</v>
      </c>
      <c r="D59" s="626"/>
      <c r="E59" s="627">
        <v>4</v>
      </c>
      <c r="U59" s="628">
        <v>23000</v>
      </c>
      <c r="V59" s="628">
        <v>25000</v>
      </c>
      <c r="W59" s="628">
        <v>25000</v>
      </c>
      <c r="X59" s="628">
        <v>25000</v>
      </c>
      <c r="Y59" s="653"/>
      <c r="Z59" s="653"/>
      <c r="AA59" s="1466"/>
      <c r="AB59" s="653"/>
      <c r="AC59" s="653"/>
      <c r="AD59" s="653"/>
    </row>
    <row r="60" spans="1:37" x14ac:dyDescent="0.25">
      <c r="A60" s="628"/>
      <c r="B60" s="654" t="s">
        <v>134</v>
      </c>
      <c r="C60" s="626">
        <f>SUM(U60:X60)</f>
        <v>250000</v>
      </c>
      <c r="D60" s="626"/>
      <c r="E60" s="627">
        <v>4</v>
      </c>
      <c r="U60" s="628">
        <v>65000</v>
      </c>
      <c r="V60" s="628">
        <v>65000</v>
      </c>
      <c r="W60" s="628">
        <v>60000</v>
      </c>
      <c r="X60" s="628">
        <v>60000</v>
      </c>
      <c r="Y60" s="653">
        <v>0</v>
      </c>
      <c r="Z60" s="653">
        <v>0</v>
      </c>
      <c r="AA60" s="1466">
        <v>0</v>
      </c>
      <c r="AB60" s="653">
        <v>0</v>
      </c>
      <c r="AC60" s="653">
        <v>0</v>
      </c>
      <c r="AD60" s="653">
        <v>0</v>
      </c>
      <c r="AE60" s="628"/>
      <c r="AF60" s="628"/>
      <c r="AG60" s="628"/>
      <c r="AH60" s="2252"/>
      <c r="AI60" s="637"/>
    </row>
    <row r="61" spans="1:37" x14ac:dyDescent="0.25">
      <c r="A61" s="628" t="s">
        <v>794</v>
      </c>
      <c r="B61" s="654" t="s">
        <v>392</v>
      </c>
      <c r="C61" s="626">
        <v>400000</v>
      </c>
      <c r="D61" s="626"/>
      <c r="E61" s="627">
        <v>10</v>
      </c>
      <c r="U61" s="628">
        <v>40000</v>
      </c>
      <c r="V61" s="628">
        <v>40000</v>
      </c>
      <c r="W61" s="628">
        <v>40000</v>
      </c>
      <c r="X61" s="628">
        <v>40000</v>
      </c>
      <c r="Y61" s="628">
        <v>40000</v>
      </c>
      <c r="Z61" s="628">
        <v>40000</v>
      </c>
      <c r="AA61" s="1459">
        <v>40000</v>
      </c>
      <c r="AB61" s="628">
        <v>40000</v>
      </c>
      <c r="AC61" s="628">
        <v>40000</v>
      </c>
      <c r="AD61" s="628">
        <v>40000</v>
      </c>
      <c r="AE61" s="628"/>
      <c r="AF61" s="628"/>
      <c r="AG61" s="628"/>
      <c r="AH61" s="2252"/>
      <c r="AI61" s="637"/>
    </row>
    <row r="62" spans="1:37" ht="9.75" customHeight="1" x14ac:dyDescent="0.25">
      <c r="A62" s="659"/>
      <c r="B62" s="6" t="s">
        <v>928</v>
      </c>
      <c r="C62" s="704"/>
      <c r="D62" s="704"/>
      <c r="E62" s="703"/>
      <c r="F62" s="704"/>
      <c r="G62" s="704"/>
      <c r="H62" s="704"/>
      <c r="I62" s="704"/>
      <c r="J62" s="704"/>
      <c r="K62" s="704"/>
      <c r="L62" s="704"/>
      <c r="M62" s="704"/>
      <c r="N62" s="704"/>
      <c r="O62" s="704"/>
      <c r="P62" s="704"/>
      <c r="Q62" s="704"/>
      <c r="R62" s="704"/>
      <c r="S62" s="704"/>
      <c r="T62" s="704"/>
      <c r="U62" s="704"/>
      <c r="V62" s="704"/>
      <c r="W62" s="704"/>
      <c r="X62" s="704"/>
      <c r="Y62" s="704"/>
      <c r="Z62" s="704"/>
      <c r="AA62" s="1468"/>
      <c r="AB62" s="704"/>
      <c r="AC62" s="704"/>
      <c r="AD62" s="704"/>
      <c r="AE62" s="704"/>
      <c r="AF62" s="704"/>
      <c r="AG62" s="704"/>
      <c r="AH62" s="1605"/>
      <c r="AI62" s="704"/>
      <c r="AK62" s="660"/>
    </row>
    <row r="63" spans="1:37" s="628" customFormat="1" ht="9.75" customHeight="1" x14ac:dyDescent="0.25">
      <c r="A63" s="659" t="s">
        <v>547</v>
      </c>
      <c r="B63" s="6" t="s">
        <v>664</v>
      </c>
      <c r="C63" s="379">
        <f>SUM(V63:AE63)</f>
        <v>267000</v>
      </c>
      <c r="D63" s="6"/>
      <c r="E63" s="706">
        <v>10</v>
      </c>
      <c r="F63" s="707"/>
      <c r="G63" s="707"/>
      <c r="H63" s="707"/>
      <c r="I63" s="707"/>
      <c r="J63" s="707"/>
      <c r="K63" s="707"/>
      <c r="L63" s="707"/>
      <c r="M63" s="707"/>
      <c r="N63" s="707"/>
      <c r="O63" s="707"/>
      <c r="P63" s="707"/>
      <c r="Q63" s="707"/>
      <c r="R63" s="707"/>
      <c r="S63" s="707"/>
      <c r="T63" s="707"/>
      <c r="U63" s="707"/>
      <c r="V63" s="6">
        <v>22000</v>
      </c>
      <c r="W63" s="6">
        <v>25000</v>
      </c>
      <c r="X63" s="6">
        <v>25000</v>
      </c>
      <c r="Y63" s="6">
        <v>25000</v>
      </c>
      <c r="Z63" s="6">
        <v>25000</v>
      </c>
      <c r="AA63" s="1469">
        <v>30000</v>
      </c>
      <c r="AB63" s="6">
        <v>30000</v>
      </c>
      <c r="AC63" s="6">
        <v>30000</v>
      </c>
      <c r="AD63" s="6">
        <v>25000</v>
      </c>
      <c r="AE63" s="6">
        <v>30000</v>
      </c>
      <c r="AF63" s="6"/>
      <c r="AG63" s="6"/>
      <c r="AH63" s="1606"/>
      <c r="AI63" s="6"/>
      <c r="AJ63" s="613"/>
    </row>
    <row r="64" spans="1:37" s="628" customFormat="1" ht="9.75" customHeight="1" x14ac:dyDescent="0.25">
      <c r="A64" s="659"/>
      <c r="B64" s="6" t="s">
        <v>781</v>
      </c>
      <c r="C64" s="379">
        <f>SUM(V64:AE64)</f>
        <v>66000</v>
      </c>
      <c r="D64" s="6"/>
      <c r="E64" s="706">
        <v>10</v>
      </c>
      <c r="F64" s="707"/>
      <c r="G64" s="707"/>
      <c r="H64" s="707"/>
      <c r="I64" s="707"/>
      <c r="J64" s="707"/>
      <c r="K64" s="707"/>
      <c r="L64" s="707"/>
      <c r="M64" s="707"/>
      <c r="N64" s="707"/>
      <c r="O64" s="707"/>
      <c r="P64" s="707"/>
      <c r="Q64" s="707"/>
      <c r="R64" s="707"/>
      <c r="S64" s="707"/>
      <c r="T64" s="707"/>
      <c r="U64" s="707"/>
      <c r="V64" s="6">
        <v>6000</v>
      </c>
      <c r="W64" s="6">
        <v>5000</v>
      </c>
      <c r="X64" s="6">
        <v>5000</v>
      </c>
      <c r="Y64" s="6">
        <v>5000</v>
      </c>
      <c r="Z64" s="6">
        <v>5000</v>
      </c>
      <c r="AA64" s="1469">
        <v>5000</v>
      </c>
      <c r="AB64" s="6">
        <v>10000</v>
      </c>
      <c r="AC64" s="6">
        <v>10000</v>
      </c>
      <c r="AD64" s="6">
        <v>10000</v>
      </c>
      <c r="AE64" s="6">
        <v>5000</v>
      </c>
      <c r="AF64" s="6"/>
      <c r="AG64" s="6"/>
      <c r="AH64" s="1606"/>
      <c r="AI64" s="6"/>
      <c r="AJ64" s="613"/>
    </row>
    <row r="65" spans="1:54" s="628" customFormat="1" ht="9.75" customHeight="1" x14ac:dyDescent="0.25">
      <c r="A65" s="659" t="s">
        <v>547</v>
      </c>
      <c r="B65" s="6" t="s">
        <v>782</v>
      </c>
      <c r="C65" s="379">
        <f>SUM(V65:AE65)</f>
        <v>1543000</v>
      </c>
      <c r="D65" s="6"/>
      <c r="E65" s="706">
        <v>10</v>
      </c>
      <c r="F65" s="707"/>
      <c r="G65" s="707"/>
      <c r="H65" s="707"/>
      <c r="I65" s="707"/>
      <c r="J65" s="707"/>
      <c r="K65" s="707"/>
      <c r="L65" s="707"/>
      <c r="M65" s="707"/>
      <c r="N65" s="707"/>
      <c r="O65" s="707"/>
      <c r="P65" s="707"/>
      <c r="Q65" s="707"/>
      <c r="R65" s="707"/>
      <c r="S65" s="707"/>
      <c r="T65" s="707"/>
      <c r="U65" s="707"/>
      <c r="V65" s="6">
        <v>138000</v>
      </c>
      <c r="W65" s="6">
        <v>140000</v>
      </c>
      <c r="X65" s="6">
        <v>145000</v>
      </c>
      <c r="Y65" s="6">
        <v>150000</v>
      </c>
      <c r="Z65" s="6">
        <v>155000</v>
      </c>
      <c r="AA65" s="1469">
        <v>155000</v>
      </c>
      <c r="AB65" s="6">
        <v>160000</v>
      </c>
      <c r="AC65" s="6">
        <v>170000</v>
      </c>
      <c r="AD65" s="6">
        <v>165000</v>
      </c>
      <c r="AE65" s="6">
        <v>165000</v>
      </c>
      <c r="AF65" s="6"/>
      <c r="AG65" s="6"/>
      <c r="AH65" s="1606"/>
      <c r="AI65" s="6"/>
      <c r="AJ65" s="613"/>
    </row>
    <row r="66" spans="1:54" s="628" customFormat="1" x14ac:dyDescent="0.25">
      <c r="A66" s="659" t="s">
        <v>547</v>
      </c>
      <c r="B66" s="6" t="s">
        <v>783</v>
      </c>
      <c r="C66" s="379">
        <f>SUM(V66:AE66)</f>
        <v>70000</v>
      </c>
      <c r="D66" s="6"/>
      <c r="E66" s="706">
        <v>7</v>
      </c>
      <c r="F66" s="707"/>
      <c r="G66" s="707"/>
      <c r="H66" s="707"/>
      <c r="I66" s="707"/>
      <c r="J66" s="707"/>
      <c r="K66" s="707"/>
      <c r="L66" s="707"/>
      <c r="M66" s="707"/>
      <c r="N66" s="707"/>
      <c r="O66" s="707"/>
      <c r="P66" s="707"/>
      <c r="Q66" s="707"/>
      <c r="R66" s="707"/>
      <c r="S66" s="707"/>
      <c r="T66" s="707"/>
      <c r="U66" s="707"/>
      <c r="V66" s="6">
        <v>10000</v>
      </c>
      <c r="W66" s="6">
        <v>10000</v>
      </c>
      <c r="X66" s="6">
        <v>10000</v>
      </c>
      <c r="Y66" s="6">
        <v>10000</v>
      </c>
      <c r="Z66" s="6">
        <v>10000</v>
      </c>
      <c r="AA66" s="1469">
        <v>10000</v>
      </c>
      <c r="AB66" s="6">
        <v>10000</v>
      </c>
      <c r="AC66" s="6">
        <v>0</v>
      </c>
      <c r="AD66" s="6">
        <v>0</v>
      </c>
      <c r="AE66" s="6">
        <v>0</v>
      </c>
      <c r="AF66" s="6"/>
      <c r="AG66" s="6"/>
      <c r="AH66" s="2255"/>
      <c r="AI66" s="1"/>
      <c r="AJ66" s="613"/>
    </row>
    <row r="67" spans="1:54" s="628" customFormat="1" x14ac:dyDescent="0.25">
      <c r="B67" s="665" t="s">
        <v>837</v>
      </c>
      <c r="C67" s="661"/>
      <c r="D67" s="660"/>
      <c r="E67" s="662"/>
      <c r="F67" s="663"/>
      <c r="G67" s="663"/>
      <c r="H67" s="663"/>
      <c r="I67" s="663"/>
      <c r="J67" s="663"/>
      <c r="K67" s="663"/>
      <c r="L67" s="663"/>
      <c r="M67" s="663"/>
      <c r="N67" s="663"/>
      <c r="O67" s="663"/>
      <c r="P67" s="663"/>
      <c r="Q67" s="663"/>
      <c r="R67" s="663"/>
      <c r="S67" s="663"/>
      <c r="T67" s="663"/>
      <c r="U67" s="653"/>
      <c r="V67" s="660"/>
      <c r="W67" s="660"/>
      <c r="X67" s="660"/>
      <c r="Y67" s="660">
        <v>71000</v>
      </c>
      <c r="Z67" s="660">
        <v>74000</v>
      </c>
      <c r="AA67" s="1470"/>
      <c r="AB67" s="660"/>
      <c r="AC67" s="660"/>
      <c r="AD67" s="660"/>
      <c r="AE67" s="660"/>
      <c r="AF67" s="660"/>
      <c r="AG67" s="660"/>
      <c r="AH67" s="2256"/>
      <c r="AI67" s="664"/>
      <c r="AJ67" s="660"/>
    </row>
    <row r="68" spans="1:54" s="628" customFormat="1" x14ac:dyDescent="0.25">
      <c r="B68" s="661"/>
      <c r="C68" s="661"/>
      <c r="D68" s="660"/>
      <c r="E68" s="662"/>
      <c r="F68" s="663"/>
      <c r="G68" s="663"/>
      <c r="H68" s="663"/>
      <c r="I68" s="663"/>
      <c r="J68" s="663"/>
      <c r="K68" s="663"/>
      <c r="L68" s="663"/>
      <c r="M68" s="663"/>
      <c r="N68" s="663"/>
      <c r="O68" s="663"/>
      <c r="P68" s="663"/>
      <c r="Q68" s="663"/>
      <c r="R68" s="663"/>
      <c r="S68" s="663"/>
      <c r="T68" s="663"/>
      <c r="U68" s="653"/>
      <c r="V68" s="660"/>
      <c r="W68" s="660"/>
      <c r="X68" s="660"/>
      <c r="Y68" s="660"/>
      <c r="Z68" s="660"/>
      <c r="AA68" s="1470"/>
      <c r="AB68" s="660"/>
      <c r="AC68" s="660"/>
      <c r="AD68" s="660"/>
      <c r="AE68" s="660"/>
      <c r="AF68" s="660"/>
      <c r="AG68" s="660"/>
      <c r="AH68" s="2256"/>
      <c r="AI68" s="664"/>
      <c r="AJ68" s="660"/>
    </row>
    <row r="69" spans="1:54" s="628" customFormat="1" x14ac:dyDescent="0.25">
      <c r="B69" s="709" t="s">
        <v>931</v>
      </c>
      <c r="C69" s="661"/>
      <c r="D69" s="660"/>
      <c r="E69" s="662"/>
      <c r="F69" s="663"/>
      <c r="G69" s="663"/>
      <c r="H69" s="663"/>
      <c r="I69" s="663"/>
      <c r="J69" s="663"/>
      <c r="K69" s="663"/>
      <c r="L69" s="663"/>
      <c r="M69" s="663"/>
      <c r="N69" s="663"/>
      <c r="O69" s="663"/>
      <c r="P69" s="663"/>
      <c r="Q69" s="663"/>
      <c r="R69" s="663"/>
      <c r="S69" s="663"/>
      <c r="T69" s="663"/>
      <c r="U69" s="653"/>
      <c r="V69" s="660"/>
      <c r="W69" s="660"/>
      <c r="X69" s="660"/>
      <c r="Y69" s="660"/>
      <c r="Z69" s="660"/>
      <c r="AA69" s="1470"/>
      <c r="AB69" s="660"/>
      <c r="AC69" s="660"/>
      <c r="AD69" s="660"/>
      <c r="AE69" s="660"/>
      <c r="AF69" s="660"/>
      <c r="AG69" s="660"/>
      <c r="AH69" s="2256"/>
      <c r="AI69" s="664"/>
      <c r="AJ69" s="660"/>
    </row>
    <row r="70" spans="1:54" s="628" customFormat="1" x14ac:dyDescent="0.25">
      <c r="B70" s="667" t="s">
        <v>888</v>
      </c>
      <c r="C70" s="661">
        <v>172000</v>
      </c>
      <c r="D70" s="660"/>
      <c r="E70" s="662">
        <v>7</v>
      </c>
      <c r="F70" s="663"/>
      <c r="G70" s="663"/>
      <c r="H70" s="663"/>
      <c r="I70" s="663"/>
      <c r="J70" s="663"/>
      <c r="K70" s="663"/>
      <c r="L70" s="663"/>
      <c r="M70" s="663"/>
      <c r="N70" s="663"/>
      <c r="O70" s="663"/>
      <c r="P70" s="663"/>
      <c r="Q70" s="663"/>
      <c r="R70" s="663"/>
      <c r="S70" s="663"/>
      <c r="T70" s="663"/>
      <c r="U70" s="653"/>
      <c r="V70" s="660"/>
      <c r="W70" s="660"/>
      <c r="X70" s="660"/>
      <c r="Y70" s="660"/>
      <c r="Z70" s="660"/>
      <c r="AA70" s="1470"/>
      <c r="AB70" s="660">
        <v>22000</v>
      </c>
      <c r="AC70" s="660">
        <v>25000</v>
      </c>
      <c r="AD70" s="660">
        <v>25000</v>
      </c>
      <c r="AE70" s="660">
        <v>25000</v>
      </c>
      <c r="AF70" s="660">
        <v>25000</v>
      </c>
      <c r="AG70" s="660">
        <v>25000</v>
      </c>
      <c r="AH70" s="1607">
        <v>25000</v>
      </c>
      <c r="AI70" s="660">
        <v>0</v>
      </c>
      <c r="AJ70" s="660">
        <v>0</v>
      </c>
      <c r="AK70" s="660">
        <v>0</v>
      </c>
      <c r="AL70" s="660">
        <v>0</v>
      </c>
      <c r="AM70" s="660">
        <v>0</v>
      </c>
      <c r="AN70" s="660">
        <v>0</v>
      </c>
      <c r="AO70" s="660">
        <v>0</v>
      </c>
      <c r="AP70" s="660">
        <v>0</v>
      </c>
      <c r="AQ70" s="660">
        <v>0</v>
      </c>
      <c r="AR70" s="660">
        <v>0</v>
      </c>
      <c r="AS70" s="660">
        <v>0</v>
      </c>
      <c r="AT70" s="660">
        <v>0</v>
      </c>
      <c r="AU70" s="660">
        <v>0</v>
      </c>
      <c r="AV70" s="660">
        <v>0</v>
      </c>
      <c r="AW70" s="660">
        <v>0</v>
      </c>
      <c r="AX70" s="660">
        <v>0</v>
      </c>
      <c r="AY70" s="660">
        <v>0</v>
      </c>
      <c r="AZ70" s="660">
        <v>0</v>
      </c>
    </row>
    <row r="71" spans="1:54" s="628" customFormat="1" x14ac:dyDescent="0.25">
      <c r="B71" s="667" t="s">
        <v>889</v>
      </c>
      <c r="C71" s="661">
        <v>172300</v>
      </c>
      <c r="D71" s="660"/>
      <c r="E71" s="662">
        <v>20</v>
      </c>
      <c r="F71" s="663"/>
      <c r="G71" s="663"/>
      <c r="H71" s="663"/>
      <c r="I71" s="663"/>
      <c r="J71" s="663"/>
      <c r="K71" s="663"/>
      <c r="L71" s="663"/>
      <c r="M71" s="663"/>
      <c r="N71" s="663"/>
      <c r="O71" s="663"/>
      <c r="P71" s="663"/>
      <c r="Q71" s="663"/>
      <c r="R71" s="663"/>
      <c r="S71" s="663"/>
      <c r="T71" s="663"/>
      <c r="U71" s="653"/>
      <c r="V71" s="660"/>
      <c r="W71" s="660"/>
      <c r="X71" s="660"/>
      <c r="Y71" s="660"/>
      <c r="Z71" s="660"/>
      <c r="AA71" s="1470"/>
      <c r="AB71" s="660">
        <v>7300</v>
      </c>
      <c r="AC71" s="660">
        <v>5000</v>
      </c>
      <c r="AD71" s="660">
        <v>5000</v>
      </c>
      <c r="AE71" s="660">
        <v>5000</v>
      </c>
      <c r="AF71" s="660">
        <v>5000</v>
      </c>
      <c r="AG71" s="660">
        <v>5000</v>
      </c>
      <c r="AH71" s="1607">
        <v>10000</v>
      </c>
      <c r="AI71" s="660">
        <v>10000</v>
      </c>
      <c r="AJ71" s="660">
        <v>10000</v>
      </c>
      <c r="AK71" s="660">
        <v>10000</v>
      </c>
      <c r="AL71" s="660">
        <v>10000</v>
      </c>
      <c r="AM71" s="660">
        <v>10000</v>
      </c>
      <c r="AN71" s="660">
        <v>10000</v>
      </c>
      <c r="AO71" s="660">
        <v>10000</v>
      </c>
      <c r="AP71" s="660">
        <v>10000</v>
      </c>
      <c r="AQ71" s="660">
        <v>10000</v>
      </c>
      <c r="AR71" s="660">
        <v>10000</v>
      </c>
      <c r="AS71" s="660">
        <v>10000</v>
      </c>
      <c r="AT71" s="660">
        <v>10000</v>
      </c>
      <c r="AU71" s="660">
        <v>10000</v>
      </c>
      <c r="AV71" s="660">
        <v>0</v>
      </c>
      <c r="AW71" s="660">
        <v>0</v>
      </c>
      <c r="AX71" s="660">
        <v>0</v>
      </c>
      <c r="AY71" s="660">
        <v>0</v>
      </c>
      <c r="AZ71" s="660">
        <v>0</v>
      </c>
    </row>
    <row r="72" spans="1:54" s="628" customFormat="1" x14ac:dyDescent="0.25">
      <c r="B72" s="667" t="s">
        <v>890</v>
      </c>
      <c r="C72" s="661">
        <v>947000</v>
      </c>
      <c r="D72" s="660"/>
      <c r="E72" s="662">
        <v>18</v>
      </c>
      <c r="F72" s="663"/>
      <c r="G72" s="663"/>
      <c r="H72" s="663"/>
      <c r="I72" s="663"/>
      <c r="J72" s="663"/>
      <c r="K72" s="663"/>
      <c r="L72" s="663"/>
      <c r="M72" s="663"/>
      <c r="N72" s="663"/>
      <c r="O72" s="663"/>
      <c r="P72" s="663"/>
      <c r="Q72" s="663"/>
      <c r="R72" s="663"/>
      <c r="S72" s="663"/>
      <c r="T72" s="663"/>
      <c r="U72" s="653"/>
      <c r="V72" s="660"/>
      <c r="W72" s="660"/>
      <c r="X72" s="660"/>
      <c r="Y72" s="660"/>
      <c r="Z72" s="660"/>
      <c r="AA72" s="1470"/>
      <c r="AB72" s="660">
        <v>37000</v>
      </c>
      <c r="AC72" s="660">
        <v>40000</v>
      </c>
      <c r="AD72" s="660">
        <v>45000</v>
      </c>
      <c r="AE72" s="660">
        <v>45000</v>
      </c>
      <c r="AF72" s="660">
        <v>45000</v>
      </c>
      <c r="AG72" s="660">
        <v>50000</v>
      </c>
      <c r="AH72" s="1607">
        <v>50000</v>
      </c>
      <c r="AI72" s="660">
        <v>50000</v>
      </c>
      <c r="AJ72" s="660">
        <v>55000</v>
      </c>
      <c r="AK72" s="660">
        <v>55000</v>
      </c>
      <c r="AL72" s="660">
        <v>55000</v>
      </c>
      <c r="AM72" s="660">
        <v>60000</v>
      </c>
      <c r="AN72" s="660">
        <v>60000</v>
      </c>
      <c r="AO72" s="660">
        <v>60000</v>
      </c>
      <c r="AP72" s="660">
        <v>65000</v>
      </c>
      <c r="AQ72" s="660">
        <v>65000</v>
      </c>
      <c r="AR72" s="660">
        <v>70000</v>
      </c>
      <c r="AS72" s="660">
        <v>40000</v>
      </c>
      <c r="AT72" s="660">
        <v>0</v>
      </c>
      <c r="AU72" s="660">
        <v>0</v>
      </c>
      <c r="AV72" s="660">
        <v>0</v>
      </c>
      <c r="AW72" s="660">
        <v>0</v>
      </c>
      <c r="AX72" s="660">
        <v>0</v>
      </c>
      <c r="AY72" s="660">
        <v>0</v>
      </c>
      <c r="AZ72" s="660">
        <v>0</v>
      </c>
    </row>
    <row r="73" spans="1:54" s="628" customFormat="1" x14ac:dyDescent="0.25">
      <c r="B73" s="667" t="s">
        <v>891</v>
      </c>
      <c r="C73" s="661">
        <v>108000</v>
      </c>
      <c r="D73" s="660"/>
      <c r="E73" s="662">
        <v>7</v>
      </c>
      <c r="F73" s="663"/>
      <c r="G73" s="663"/>
      <c r="H73" s="663"/>
      <c r="I73" s="663"/>
      <c r="J73" s="663"/>
      <c r="K73" s="663"/>
      <c r="L73" s="663"/>
      <c r="M73" s="663"/>
      <c r="N73" s="663"/>
      <c r="O73" s="663"/>
      <c r="P73" s="663"/>
      <c r="Q73" s="663"/>
      <c r="R73" s="663"/>
      <c r="S73" s="663"/>
      <c r="T73" s="663"/>
      <c r="U73" s="653"/>
      <c r="V73" s="660"/>
      <c r="W73" s="660"/>
      <c r="X73" s="660"/>
      <c r="Y73" s="660"/>
      <c r="Z73" s="660"/>
      <c r="AA73" s="1470"/>
      <c r="AB73" s="660">
        <v>10000</v>
      </c>
      <c r="AC73" s="660">
        <v>15000</v>
      </c>
      <c r="AD73" s="660">
        <v>15000</v>
      </c>
      <c r="AE73" s="660">
        <v>20000</v>
      </c>
      <c r="AF73" s="660">
        <v>20000</v>
      </c>
      <c r="AG73" s="660">
        <v>20000</v>
      </c>
      <c r="AH73" s="1607">
        <v>8000</v>
      </c>
      <c r="AI73" s="660">
        <v>0</v>
      </c>
      <c r="AJ73" s="660">
        <v>0</v>
      </c>
      <c r="AK73" s="660">
        <v>0</v>
      </c>
      <c r="AL73" s="660">
        <v>0</v>
      </c>
      <c r="AM73" s="660">
        <v>0</v>
      </c>
      <c r="AN73" s="660">
        <v>0</v>
      </c>
      <c r="AO73" s="660">
        <v>0</v>
      </c>
      <c r="AP73" s="660">
        <v>0</v>
      </c>
      <c r="AQ73" s="660">
        <v>0</v>
      </c>
      <c r="AR73" s="660">
        <v>0</v>
      </c>
      <c r="AS73" s="660">
        <v>0</v>
      </c>
      <c r="AT73" s="660">
        <v>0</v>
      </c>
      <c r="AU73" s="660">
        <v>0</v>
      </c>
      <c r="AV73" s="660">
        <v>0</v>
      </c>
      <c r="AW73" s="660">
        <v>0</v>
      </c>
      <c r="AX73" s="660">
        <v>0</v>
      </c>
      <c r="AY73" s="660">
        <v>0</v>
      </c>
      <c r="AZ73" s="660">
        <v>0</v>
      </c>
    </row>
    <row r="74" spans="1:54" s="628" customFormat="1" x14ac:dyDescent="0.25">
      <c r="B74" s="667" t="s">
        <v>892</v>
      </c>
      <c r="C74" s="661">
        <v>103500</v>
      </c>
      <c r="D74" s="660"/>
      <c r="E74" s="662">
        <v>11</v>
      </c>
      <c r="F74" s="663"/>
      <c r="G74" s="663"/>
      <c r="H74" s="663"/>
      <c r="I74" s="663"/>
      <c r="J74" s="663"/>
      <c r="K74" s="663"/>
      <c r="L74" s="663"/>
      <c r="M74" s="663"/>
      <c r="N74" s="663"/>
      <c r="O74" s="663"/>
      <c r="P74" s="663"/>
      <c r="Q74" s="663"/>
      <c r="R74" s="663"/>
      <c r="S74" s="663"/>
      <c r="T74" s="663"/>
      <c r="U74" s="653"/>
      <c r="V74" s="660"/>
      <c r="W74" s="660"/>
      <c r="X74" s="660"/>
      <c r="Y74" s="660"/>
      <c r="Z74" s="660"/>
      <c r="AA74" s="1470"/>
      <c r="AB74" s="660">
        <v>9500</v>
      </c>
      <c r="AC74" s="660">
        <v>10000</v>
      </c>
      <c r="AD74" s="660">
        <v>10000</v>
      </c>
      <c r="AE74" s="660">
        <v>10000</v>
      </c>
      <c r="AF74" s="660">
        <v>10000</v>
      </c>
      <c r="AG74" s="660">
        <v>10000</v>
      </c>
      <c r="AH74" s="1607">
        <v>7000</v>
      </c>
      <c r="AI74" s="660">
        <v>10000</v>
      </c>
      <c r="AJ74" s="660">
        <v>10000</v>
      </c>
      <c r="AK74" s="660">
        <v>7000</v>
      </c>
      <c r="AL74" s="660">
        <v>10000</v>
      </c>
      <c r="AM74" s="660">
        <v>0</v>
      </c>
      <c r="AN74" s="660">
        <v>0</v>
      </c>
      <c r="AO74" s="660">
        <v>0</v>
      </c>
      <c r="AP74" s="660">
        <v>0</v>
      </c>
      <c r="AQ74" s="660">
        <v>0</v>
      </c>
      <c r="AR74" s="660">
        <v>0</v>
      </c>
      <c r="AS74" s="660">
        <v>0</v>
      </c>
      <c r="AT74" s="660">
        <v>0</v>
      </c>
      <c r="AU74" s="660">
        <v>0</v>
      </c>
      <c r="AV74" s="660">
        <v>0</v>
      </c>
      <c r="AW74" s="660">
        <v>0</v>
      </c>
      <c r="AX74" s="660">
        <v>0</v>
      </c>
      <c r="AY74" s="660">
        <v>0</v>
      </c>
      <c r="AZ74" s="660">
        <v>0</v>
      </c>
    </row>
    <row r="75" spans="1:54" s="628" customFormat="1" x14ac:dyDescent="0.25">
      <c r="B75" s="667" t="s">
        <v>893</v>
      </c>
      <c r="C75" s="661">
        <v>19700</v>
      </c>
      <c r="D75" s="660"/>
      <c r="E75" s="662">
        <v>4</v>
      </c>
      <c r="F75" s="663"/>
      <c r="G75" s="663"/>
      <c r="H75" s="663"/>
      <c r="I75" s="663"/>
      <c r="J75" s="663"/>
      <c r="K75" s="663"/>
      <c r="L75" s="663"/>
      <c r="M75" s="663"/>
      <c r="N75" s="663"/>
      <c r="O75" s="663"/>
      <c r="P75" s="663"/>
      <c r="Q75" s="663"/>
      <c r="R75" s="663"/>
      <c r="S75" s="663"/>
      <c r="T75" s="663"/>
      <c r="U75" s="653"/>
      <c r="V75" s="660"/>
      <c r="W75" s="660"/>
      <c r="X75" s="660"/>
      <c r="Y75" s="660"/>
      <c r="Z75" s="660"/>
      <c r="AA75" s="1470"/>
      <c r="AB75" s="660">
        <v>4700</v>
      </c>
      <c r="AC75" s="660">
        <v>5000</v>
      </c>
      <c r="AD75" s="660">
        <v>5000</v>
      </c>
      <c r="AE75" s="660">
        <v>5000</v>
      </c>
      <c r="AF75" s="660">
        <v>0</v>
      </c>
      <c r="AG75" s="660">
        <v>0</v>
      </c>
      <c r="AH75" s="1607">
        <v>0</v>
      </c>
      <c r="AI75" s="660">
        <v>0</v>
      </c>
      <c r="AJ75" s="660">
        <v>0</v>
      </c>
      <c r="AK75" s="660">
        <v>0</v>
      </c>
      <c r="AL75" s="660">
        <v>0</v>
      </c>
      <c r="AM75" s="660">
        <v>0</v>
      </c>
      <c r="AN75" s="660">
        <v>0</v>
      </c>
      <c r="AO75" s="660">
        <v>0</v>
      </c>
      <c r="AP75" s="660">
        <v>0</v>
      </c>
      <c r="AQ75" s="660">
        <v>0</v>
      </c>
      <c r="AR75" s="660">
        <v>0</v>
      </c>
      <c r="AS75" s="660">
        <v>0</v>
      </c>
      <c r="AT75" s="660">
        <v>0</v>
      </c>
      <c r="AU75" s="660">
        <v>0</v>
      </c>
      <c r="AV75" s="660">
        <v>0</v>
      </c>
      <c r="AW75" s="660">
        <v>0</v>
      </c>
      <c r="AX75" s="660">
        <v>0</v>
      </c>
      <c r="AY75" s="660">
        <v>0</v>
      </c>
      <c r="AZ75" s="660">
        <v>0</v>
      </c>
    </row>
    <row r="76" spans="1:54" s="628" customFormat="1" x14ac:dyDescent="0.25">
      <c r="B76" s="667" t="s">
        <v>894</v>
      </c>
      <c r="C76" s="661">
        <v>46000</v>
      </c>
      <c r="D76" s="660"/>
      <c r="E76" s="662">
        <v>10</v>
      </c>
      <c r="F76" s="663"/>
      <c r="G76" s="663"/>
      <c r="H76" s="663"/>
      <c r="I76" s="663"/>
      <c r="J76" s="663"/>
      <c r="K76" s="663"/>
      <c r="L76" s="663"/>
      <c r="M76" s="663"/>
      <c r="N76" s="663"/>
      <c r="O76" s="663"/>
      <c r="P76" s="663"/>
      <c r="Q76" s="663"/>
      <c r="R76" s="663"/>
      <c r="S76" s="663"/>
      <c r="T76" s="663"/>
      <c r="U76" s="653"/>
      <c r="V76" s="668"/>
      <c r="W76" s="668"/>
      <c r="X76" s="668"/>
      <c r="Y76" s="668"/>
      <c r="Z76" s="668"/>
      <c r="AA76" s="1471"/>
      <c r="AB76" s="660">
        <v>3000</v>
      </c>
      <c r="AC76" s="660">
        <v>5000</v>
      </c>
      <c r="AD76" s="660">
        <v>5000</v>
      </c>
      <c r="AE76" s="660">
        <v>5000</v>
      </c>
      <c r="AF76" s="660">
        <v>5000</v>
      </c>
      <c r="AG76" s="660">
        <v>5000</v>
      </c>
      <c r="AH76" s="1607">
        <v>5000</v>
      </c>
      <c r="AI76" s="660">
        <v>5000</v>
      </c>
      <c r="AJ76" s="660">
        <v>5000</v>
      </c>
      <c r="AK76" s="660">
        <v>3000</v>
      </c>
      <c r="AL76" s="660">
        <v>0</v>
      </c>
      <c r="AM76" s="660">
        <v>0</v>
      </c>
      <c r="AN76" s="660">
        <v>0</v>
      </c>
      <c r="AO76" s="660">
        <v>0</v>
      </c>
      <c r="AP76" s="660">
        <v>0</v>
      </c>
      <c r="AQ76" s="660">
        <v>0</v>
      </c>
      <c r="AR76" s="660">
        <v>0</v>
      </c>
      <c r="AS76" s="660">
        <v>0</v>
      </c>
      <c r="AT76" s="660">
        <v>0</v>
      </c>
      <c r="AU76" s="660">
        <v>0</v>
      </c>
      <c r="AV76" s="660">
        <v>0</v>
      </c>
      <c r="AW76" s="660">
        <v>0</v>
      </c>
      <c r="AX76" s="660">
        <v>0</v>
      </c>
      <c r="AY76" s="660">
        <v>0</v>
      </c>
      <c r="AZ76" s="660">
        <v>0</v>
      </c>
    </row>
    <row r="77" spans="1:54" s="628" customFormat="1" x14ac:dyDescent="0.25">
      <c r="B77" s="667" t="s">
        <v>895</v>
      </c>
      <c r="C77" s="661">
        <v>20000</v>
      </c>
      <c r="D77" s="660"/>
      <c r="E77" s="662">
        <v>3</v>
      </c>
      <c r="F77" s="663"/>
      <c r="G77" s="663"/>
      <c r="H77" s="663"/>
      <c r="I77" s="663"/>
      <c r="J77" s="663"/>
      <c r="K77" s="663"/>
      <c r="L77" s="663"/>
      <c r="M77" s="663"/>
      <c r="N77" s="663"/>
      <c r="O77" s="663"/>
      <c r="P77" s="663"/>
      <c r="Q77" s="663"/>
      <c r="R77" s="663"/>
      <c r="S77" s="663"/>
      <c r="T77" s="663"/>
      <c r="U77" s="653"/>
      <c r="V77" s="668"/>
      <c r="W77" s="668"/>
      <c r="X77" s="668"/>
      <c r="Y77" s="668"/>
      <c r="Z77" s="668"/>
      <c r="AA77" s="1471"/>
      <c r="AB77" s="660">
        <v>5000</v>
      </c>
      <c r="AC77" s="660">
        <v>5000</v>
      </c>
      <c r="AD77" s="660">
        <v>5000</v>
      </c>
      <c r="AE77" s="660">
        <v>5000</v>
      </c>
      <c r="AF77" s="660">
        <v>0</v>
      </c>
      <c r="AG77" s="660">
        <v>0</v>
      </c>
      <c r="AH77" s="1607">
        <v>0</v>
      </c>
      <c r="AI77" s="660">
        <v>0</v>
      </c>
      <c r="AJ77" s="660">
        <v>0</v>
      </c>
      <c r="AK77" s="660">
        <v>0</v>
      </c>
      <c r="AL77" s="660">
        <v>0</v>
      </c>
      <c r="AM77" s="660">
        <v>0</v>
      </c>
      <c r="AN77" s="660">
        <v>0</v>
      </c>
      <c r="AO77" s="660">
        <v>0</v>
      </c>
      <c r="AP77" s="660">
        <v>0</v>
      </c>
      <c r="AQ77" s="660">
        <v>0</v>
      </c>
      <c r="AR77" s="660">
        <v>0</v>
      </c>
      <c r="AS77" s="660">
        <v>0</v>
      </c>
      <c r="AT77" s="660">
        <v>0</v>
      </c>
      <c r="AU77" s="660">
        <v>0</v>
      </c>
      <c r="AV77" s="660">
        <v>0</v>
      </c>
      <c r="AW77" s="660">
        <v>0</v>
      </c>
      <c r="AX77" s="660">
        <v>0</v>
      </c>
      <c r="AY77" s="660">
        <v>0</v>
      </c>
      <c r="AZ77" s="660">
        <v>0</v>
      </c>
    </row>
    <row r="78" spans="1:54" s="628" customFormat="1" x14ac:dyDescent="0.25">
      <c r="A78" s="628" t="s">
        <v>547</v>
      </c>
      <c r="B78" s="667" t="s">
        <v>896</v>
      </c>
      <c r="C78" s="661">
        <v>1487000</v>
      </c>
      <c r="D78" s="660"/>
      <c r="E78" s="662">
        <v>25</v>
      </c>
      <c r="F78" s="663"/>
      <c r="G78" s="663"/>
      <c r="H78" s="663"/>
      <c r="I78" s="663"/>
      <c r="J78" s="663"/>
      <c r="K78" s="663"/>
      <c r="L78" s="663"/>
      <c r="M78" s="663"/>
      <c r="N78" s="663"/>
      <c r="O78" s="663"/>
      <c r="P78" s="663"/>
      <c r="Q78" s="663"/>
      <c r="R78" s="663"/>
      <c r="S78" s="663"/>
      <c r="T78" s="663"/>
      <c r="U78" s="653"/>
      <c r="V78" s="668"/>
      <c r="W78" s="668"/>
      <c r="X78" s="668"/>
      <c r="Y78" s="668"/>
      <c r="Z78" s="668"/>
      <c r="AA78" s="1471"/>
      <c r="AB78" s="660">
        <v>37000</v>
      </c>
      <c r="AC78" s="660">
        <v>40000</v>
      </c>
      <c r="AD78" s="660">
        <v>40000</v>
      </c>
      <c r="AE78" s="660">
        <v>45000</v>
      </c>
      <c r="AF78" s="660">
        <v>45000</v>
      </c>
      <c r="AG78" s="660">
        <v>45000</v>
      </c>
      <c r="AH78" s="1607">
        <v>50000</v>
      </c>
      <c r="AI78" s="660">
        <v>50000</v>
      </c>
      <c r="AJ78" s="660">
        <v>50000</v>
      </c>
      <c r="AK78" s="660">
        <v>55000</v>
      </c>
      <c r="AL78" s="660">
        <v>55000</v>
      </c>
      <c r="AM78" s="660">
        <v>55000</v>
      </c>
      <c r="AN78" s="660">
        <v>60000</v>
      </c>
      <c r="AO78" s="660">
        <v>60000</v>
      </c>
      <c r="AP78" s="660">
        <v>60000</v>
      </c>
      <c r="AQ78" s="660">
        <v>65000</v>
      </c>
      <c r="AR78" s="660">
        <v>65000</v>
      </c>
      <c r="AS78" s="660">
        <v>70000</v>
      </c>
      <c r="AT78" s="660">
        <v>70000</v>
      </c>
      <c r="AU78" s="660">
        <v>75000</v>
      </c>
      <c r="AV78" s="660">
        <v>75000</v>
      </c>
      <c r="AW78" s="660">
        <v>75000</v>
      </c>
      <c r="AX78" s="660">
        <v>80000</v>
      </c>
      <c r="AY78" s="660">
        <v>80000</v>
      </c>
      <c r="AZ78" s="660">
        <v>85000</v>
      </c>
      <c r="BA78" s="628">
        <v>0</v>
      </c>
    </row>
    <row r="79" spans="1:54" s="628" customFormat="1" x14ac:dyDescent="0.25">
      <c r="B79" s="667"/>
      <c r="C79" s="666"/>
      <c r="D79" s="660"/>
      <c r="E79" s="662"/>
      <c r="F79" s="663"/>
      <c r="G79" s="663"/>
      <c r="H79" s="663"/>
      <c r="I79" s="663"/>
      <c r="J79" s="663"/>
      <c r="K79" s="663"/>
      <c r="L79" s="663"/>
      <c r="M79" s="663"/>
      <c r="N79" s="663"/>
      <c r="O79" s="663"/>
      <c r="P79" s="663"/>
      <c r="Q79" s="663"/>
      <c r="R79" s="663"/>
      <c r="S79" s="663"/>
      <c r="T79" s="663"/>
      <c r="U79" s="653"/>
      <c r="V79" s="668"/>
      <c r="W79" s="668"/>
      <c r="X79" s="668"/>
      <c r="Y79" s="668"/>
      <c r="Z79" s="668"/>
      <c r="AA79" s="1471"/>
      <c r="AB79" s="660"/>
      <c r="AC79" s="660"/>
      <c r="AD79" s="660"/>
      <c r="AE79" s="660"/>
      <c r="AF79" s="660"/>
      <c r="AG79" s="660"/>
      <c r="AH79" s="1607"/>
      <c r="AI79" s="660"/>
      <c r="AJ79" s="660"/>
      <c r="AK79" s="660"/>
      <c r="AL79" s="660"/>
      <c r="AM79" s="660"/>
      <c r="AN79" s="660"/>
      <c r="AO79" s="660"/>
      <c r="AP79" s="660"/>
      <c r="AQ79" s="660"/>
      <c r="AR79" s="660"/>
      <c r="AS79" s="660"/>
      <c r="AT79" s="660"/>
      <c r="AU79" s="660"/>
      <c r="AV79" s="660"/>
      <c r="AW79" s="660"/>
      <c r="AX79" s="660"/>
      <c r="AY79" s="660"/>
      <c r="AZ79" s="660"/>
    </row>
    <row r="80" spans="1:54" s="628" customFormat="1" x14ac:dyDescent="0.25">
      <c r="A80" s="1487" t="s">
        <v>547</v>
      </c>
      <c r="B80" s="1503" t="s">
        <v>951</v>
      </c>
      <c r="C80" s="1496">
        <v>5800000</v>
      </c>
      <c r="D80" s="1492"/>
      <c r="E80" s="662">
        <v>25</v>
      </c>
      <c r="F80" s="663"/>
      <c r="G80" s="663"/>
      <c r="H80" s="663"/>
      <c r="I80" s="663"/>
      <c r="J80" s="663"/>
      <c r="K80" s="663"/>
      <c r="L80" s="663"/>
      <c r="M80" s="663"/>
      <c r="N80" s="663"/>
      <c r="O80" s="663"/>
      <c r="P80" s="663"/>
      <c r="Q80" s="663"/>
      <c r="R80" s="663"/>
      <c r="S80" s="663"/>
      <c r="T80" s="663"/>
      <c r="U80" s="653"/>
      <c r="V80" s="668"/>
      <c r="W80" s="668"/>
      <c r="X80" s="668"/>
      <c r="Y80" s="668"/>
      <c r="Z80" s="668"/>
      <c r="AA80" s="1471"/>
      <c r="AB80" s="660"/>
      <c r="AC80" s="660">
        <v>135000</v>
      </c>
      <c r="AD80" s="660">
        <v>140000</v>
      </c>
      <c r="AE80" s="660">
        <v>145000</v>
      </c>
      <c r="AF80" s="660">
        <v>155000</v>
      </c>
      <c r="AG80" s="660">
        <v>160000</v>
      </c>
      <c r="AH80" s="1607">
        <v>170000</v>
      </c>
      <c r="AI80" s="660">
        <v>180000</v>
      </c>
      <c r="AJ80" s="660">
        <v>190000</v>
      </c>
      <c r="AK80" s="660">
        <v>195000</v>
      </c>
      <c r="AL80" s="660">
        <v>205000</v>
      </c>
      <c r="AM80" s="660">
        <v>220000</v>
      </c>
      <c r="AN80" s="660">
        <v>225000</v>
      </c>
      <c r="AO80" s="660">
        <v>235000</v>
      </c>
      <c r="AP80" s="660">
        <v>240000</v>
      </c>
      <c r="AQ80" s="660">
        <v>245000</v>
      </c>
      <c r="AR80" s="660">
        <v>255000</v>
      </c>
      <c r="AS80" s="660">
        <v>265000</v>
      </c>
      <c r="AT80" s="660">
        <v>270000</v>
      </c>
      <c r="AU80" s="660">
        <v>280000</v>
      </c>
      <c r="AV80" s="660">
        <v>290000</v>
      </c>
      <c r="AW80" s="660">
        <v>300000</v>
      </c>
      <c r="AX80" s="660">
        <v>310000</v>
      </c>
      <c r="AY80" s="660">
        <v>320000</v>
      </c>
      <c r="AZ80" s="660">
        <v>330000</v>
      </c>
      <c r="BA80" s="660">
        <v>340000</v>
      </c>
      <c r="BB80" s="660"/>
    </row>
    <row r="81" spans="1:64" s="628" customFormat="1" x14ac:dyDescent="0.25">
      <c r="A81" s="1487" t="s">
        <v>547</v>
      </c>
      <c r="B81" s="1490" t="s">
        <v>898</v>
      </c>
      <c r="C81" s="1499">
        <v>3246000</v>
      </c>
      <c r="D81" s="1491"/>
      <c r="E81" s="662">
        <v>19</v>
      </c>
      <c r="F81" s="663"/>
      <c r="G81" s="663"/>
      <c r="H81" s="663"/>
      <c r="I81" s="663"/>
      <c r="J81" s="663"/>
      <c r="K81" s="663"/>
      <c r="L81" s="663"/>
      <c r="M81" s="663"/>
      <c r="N81" s="663"/>
      <c r="O81" s="663"/>
      <c r="P81" s="663"/>
      <c r="Q81" s="663"/>
      <c r="R81" s="663"/>
      <c r="S81" s="663"/>
      <c r="T81" s="663"/>
      <c r="U81" s="653"/>
      <c r="V81" s="668"/>
      <c r="W81" s="668"/>
      <c r="X81" s="668"/>
      <c r="Y81" s="668"/>
      <c r="Z81" s="668"/>
      <c r="AA81" s="1471"/>
      <c r="AB81" s="660"/>
      <c r="AC81" s="660">
        <v>56000</v>
      </c>
      <c r="AD81" s="660">
        <v>60000</v>
      </c>
      <c r="AE81" s="660">
        <v>140000</v>
      </c>
      <c r="AF81" s="660">
        <v>150000</v>
      </c>
      <c r="AG81" s="660">
        <v>160000</v>
      </c>
      <c r="AH81" s="1607">
        <v>165000</v>
      </c>
      <c r="AI81" s="660">
        <v>175000</v>
      </c>
      <c r="AJ81" s="660">
        <v>190000</v>
      </c>
      <c r="AK81" s="660">
        <v>210000</v>
      </c>
      <c r="AL81" s="660">
        <v>210000</v>
      </c>
      <c r="AM81" s="660">
        <v>200000</v>
      </c>
      <c r="AN81" s="660">
        <v>200000</v>
      </c>
      <c r="AO81" s="660">
        <v>200000</v>
      </c>
      <c r="AP81" s="660">
        <v>200000</v>
      </c>
      <c r="AQ81" s="660">
        <v>195000</v>
      </c>
      <c r="AR81" s="660">
        <v>185000</v>
      </c>
      <c r="AS81" s="660">
        <v>185000</v>
      </c>
      <c r="AT81" s="660">
        <v>185000</v>
      </c>
      <c r="AU81" s="660">
        <v>180000</v>
      </c>
      <c r="AV81" s="660"/>
      <c r="AW81" s="660"/>
      <c r="AX81" s="660"/>
      <c r="AY81" s="660"/>
      <c r="AZ81" s="660"/>
      <c r="BA81" s="660"/>
      <c r="BL81" s="660"/>
    </row>
    <row r="82" spans="1:64" s="628" customFormat="1" x14ac:dyDescent="0.25">
      <c r="A82" s="1487"/>
      <c r="B82" s="616"/>
      <c r="C82" s="1538"/>
      <c r="D82" s="1425"/>
      <c r="E82" s="662"/>
      <c r="F82" s="663"/>
      <c r="G82" s="663"/>
      <c r="H82" s="663"/>
      <c r="I82" s="663"/>
      <c r="J82" s="663"/>
      <c r="K82" s="663"/>
      <c r="L82" s="663"/>
      <c r="M82" s="663"/>
      <c r="N82" s="663"/>
      <c r="O82" s="663"/>
      <c r="P82" s="663"/>
      <c r="Q82" s="663"/>
      <c r="R82" s="663"/>
      <c r="S82" s="663"/>
      <c r="T82" s="663"/>
      <c r="U82" s="653"/>
      <c r="V82" s="668"/>
      <c r="W82" s="668"/>
      <c r="X82" s="668"/>
      <c r="Y82" s="668"/>
      <c r="Z82" s="668"/>
      <c r="AA82" s="1471"/>
      <c r="AB82" s="660"/>
      <c r="AC82" s="660"/>
      <c r="AD82" s="660"/>
      <c r="AE82" s="660"/>
      <c r="AF82" s="660"/>
      <c r="AG82" s="660"/>
      <c r="AH82" s="1607"/>
      <c r="AI82" s="660"/>
      <c r="AJ82" s="660"/>
      <c r="AK82" s="660"/>
      <c r="AL82" s="660"/>
      <c r="AM82" s="660"/>
      <c r="AN82" s="660"/>
      <c r="AO82" s="660"/>
      <c r="AP82" s="660"/>
      <c r="AQ82" s="660"/>
      <c r="AR82" s="660"/>
      <c r="AS82" s="660"/>
      <c r="AT82" s="660"/>
      <c r="AU82" s="660"/>
      <c r="AV82" s="660"/>
      <c r="AW82" s="660"/>
      <c r="AX82" s="660"/>
      <c r="AY82" s="660"/>
      <c r="AZ82" s="660"/>
      <c r="BA82" s="660"/>
      <c r="BL82" s="660"/>
    </row>
    <row r="83" spans="1:64" s="628" customFormat="1" x14ac:dyDescent="0.25">
      <c r="A83" s="1487"/>
      <c r="B83" s="1500" t="s">
        <v>999</v>
      </c>
      <c r="C83" s="1538"/>
      <c r="D83" s="1425"/>
      <c r="E83" s="662"/>
      <c r="F83" s="663"/>
      <c r="G83" s="663"/>
      <c r="H83" s="663"/>
      <c r="I83" s="663"/>
      <c r="J83" s="663"/>
      <c r="K83" s="663"/>
      <c r="L83" s="663"/>
      <c r="M83" s="663"/>
      <c r="N83" s="663"/>
      <c r="O83" s="663"/>
      <c r="P83" s="663"/>
      <c r="Q83" s="663"/>
      <c r="R83" s="663"/>
      <c r="S83" s="663"/>
      <c r="T83" s="663"/>
      <c r="U83" s="653"/>
      <c r="V83" s="668"/>
      <c r="W83" s="668"/>
      <c r="X83" s="668"/>
      <c r="Y83" s="668"/>
      <c r="Z83" s="668"/>
      <c r="AA83" s="1471"/>
      <c r="AB83" s="660"/>
      <c r="AC83" s="660"/>
      <c r="AD83" s="660"/>
      <c r="AE83" s="660"/>
      <c r="AF83" s="660"/>
      <c r="AG83" s="660"/>
      <c r="AH83" s="1607"/>
      <c r="AI83" s="660"/>
      <c r="AJ83" s="660"/>
      <c r="AK83" s="660"/>
      <c r="AL83" s="660"/>
      <c r="AM83" s="660"/>
      <c r="AN83" s="660"/>
      <c r="AO83" s="660"/>
      <c r="AP83" s="660"/>
      <c r="AQ83" s="660"/>
      <c r="AR83" s="660"/>
      <c r="AS83" s="660"/>
      <c r="AT83" s="660"/>
      <c r="AU83" s="660"/>
      <c r="AV83" s="660"/>
      <c r="AW83" s="660"/>
      <c r="AX83" s="660"/>
      <c r="AY83" s="660"/>
      <c r="AZ83" s="660"/>
      <c r="BA83" s="660"/>
      <c r="BL83" s="660"/>
    </row>
    <row r="84" spans="1:64" s="628" customFormat="1" x14ac:dyDescent="0.25">
      <c r="A84" s="1487" t="s">
        <v>547</v>
      </c>
      <c r="B84" s="616" t="s">
        <v>759</v>
      </c>
      <c r="C84" s="1538">
        <v>2182000</v>
      </c>
      <c r="D84" s="1425">
        <v>2.2200000000000001E-2</v>
      </c>
      <c r="E84" s="662">
        <v>25</v>
      </c>
      <c r="F84" s="663"/>
      <c r="G84" s="663"/>
      <c r="H84" s="663"/>
      <c r="I84" s="663"/>
      <c r="J84" s="663"/>
      <c r="K84" s="663"/>
      <c r="L84" s="663"/>
      <c r="M84" s="663"/>
      <c r="N84" s="663"/>
      <c r="O84" s="663"/>
      <c r="P84" s="663"/>
      <c r="Q84" s="663"/>
      <c r="R84" s="663"/>
      <c r="S84" s="663"/>
      <c r="T84" s="663"/>
      <c r="U84" s="653"/>
      <c r="V84" s="668"/>
      <c r="W84" s="668"/>
      <c r="X84" s="668"/>
      <c r="Y84" s="668"/>
      <c r="Z84" s="668"/>
      <c r="AA84" s="1471"/>
      <c r="AB84" s="660"/>
      <c r="AC84" s="660"/>
      <c r="AD84" s="660">
        <v>55000</v>
      </c>
      <c r="AE84" s="660">
        <v>55000</v>
      </c>
      <c r="AF84" s="660">
        <v>60000</v>
      </c>
      <c r="AG84" s="660">
        <v>65000</v>
      </c>
      <c r="AH84" s="1607">
        <v>65000</v>
      </c>
      <c r="AI84" s="660">
        <v>70000</v>
      </c>
      <c r="AJ84" s="660">
        <v>75000</v>
      </c>
      <c r="AK84" s="660">
        <v>75000</v>
      </c>
      <c r="AL84" s="660">
        <v>80000</v>
      </c>
      <c r="AM84" s="660">
        <v>85000</v>
      </c>
      <c r="AN84" s="660">
        <v>85000</v>
      </c>
      <c r="AO84" s="660">
        <v>85000</v>
      </c>
      <c r="AP84" s="660">
        <v>90000</v>
      </c>
      <c r="AQ84" s="660">
        <v>90000</v>
      </c>
      <c r="AR84" s="660">
        <v>90000</v>
      </c>
      <c r="AS84" s="660">
        <v>95000</v>
      </c>
      <c r="AT84" s="660">
        <v>95000</v>
      </c>
      <c r="AU84" s="660">
        <v>100000</v>
      </c>
      <c r="AV84" s="660">
        <v>100000</v>
      </c>
      <c r="AW84" s="660">
        <v>102000</v>
      </c>
      <c r="AX84" s="660">
        <v>105000</v>
      </c>
      <c r="AY84" s="660">
        <v>110000</v>
      </c>
      <c r="AZ84" s="660">
        <v>115000</v>
      </c>
      <c r="BA84" s="660">
        <v>115000</v>
      </c>
      <c r="BB84" s="628">
        <v>120000</v>
      </c>
      <c r="BL84" s="660"/>
    </row>
    <row r="85" spans="1:64" x14ac:dyDescent="0.25">
      <c r="A85" s="1504" t="s">
        <v>547</v>
      </c>
      <c r="B85" s="626" t="s">
        <v>998</v>
      </c>
      <c r="C85" s="626">
        <v>1665000</v>
      </c>
      <c r="D85" s="626">
        <v>2.2200000000000002</v>
      </c>
      <c r="E85" s="627">
        <v>20</v>
      </c>
      <c r="AD85" s="613">
        <v>65000</v>
      </c>
      <c r="AE85" s="613">
        <v>70000</v>
      </c>
      <c r="AF85" s="613">
        <v>70000</v>
      </c>
      <c r="AG85" s="613">
        <v>75000</v>
      </c>
      <c r="AH85" s="1608">
        <v>80000</v>
      </c>
      <c r="AI85" s="616">
        <v>80000</v>
      </c>
      <c r="AJ85" s="613">
        <v>85000</v>
      </c>
      <c r="AK85" s="613">
        <v>90000</v>
      </c>
      <c r="AL85" s="613">
        <v>95000</v>
      </c>
      <c r="AM85" s="613">
        <v>100000</v>
      </c>
      <c r="AN85" s="613">
        <v>100000</v>
      </c>
      <c r="AO85" s="613">
        <v>100000</v>
      </c>
      <c r="AP85" s="613">
        <v>105000</v>
      </c>
      <c r="AQ85" s="613">
        <v>105000</v>
      </c>
      <c r="AR85" s="613">
        <v>110000</v>
      </c>
      <c r="AS85" s="613">
        <v>110000</v>
      </c>
      <c r="AT85" s="613">
        <v>115000</v>
      </c>
      <c r="AU85" s="613">
        <v>110000</v>
      </c>
    </row>
    <row r="86" spans="1:64" ht="10.5" customHeight="1" x14ac:dyDescent="0.25">
      <c r="B86" s="626"/>
      <c r="C86" s="626"/>
      <c r="D86" s="626"/>
      <c r="E86" s="627"/>
    </row>
    <row r="87" spans="1:64" x14ac:dyDescent="0.25">
      <c r="B87" s="630" t="s">
        <v>630</v>
      </c>
      <c r="C87" s="630">
        <f>SUM(AB87:AZ87)</f>
        <v>16758500</v>
      </c>
      <c r="D87" s="630"/>
      <c r="E87" s="631"/>
      <c r="F87" s="632">
        <f t="shared" ref="F87:AZ87" si="24">SUM(F48:F85)</f>
        <v>107000</v>
      </c>
      <c r="G87" s="632">
        <f t="shared" si="24"/>
        <v>92000</v>
      </c>
      <c r="H87" s="632">
        <f t="shared" si="24"/>
        <v>154000</v>
      </c>
      <c r="I87" s="632">
        <f t="shared" si="24"/>
        <v>110000</v>
      </c>
      <c r="J87" s="632">
        <f t="shared" si="24"/>
        <v>110000</v>
      </c>
      <c r="K87" s="632">
        <f t="shared" si="24"/>
        <v>256200</v>
      </c>
      <c r="L87" s="632">
        <f t="shared" si="24"/>
        <v>559000</v>
      </c>
      <c r="M87" s="632">
        <f t="shared" si="24"/>
        <v>460000</v>
      </c>
      <c r="N87" s="632">
        <f t="shared" si="24"/>
        <v>489500</v>
      </c>
      <c r="O87" s="632">
        <f t="shared" si="24"/>
        <v>509500</v>
      </c>
      <c r="P87" s="632">
        <f t="shared" si="24"/>
        <v>539000</v>
      </c>
      <c r="Q87" s="632">
        <f t="shared" si="24"/>
        <v>559000</v>
      </c>
      <c r="R87" s="632">
        <f t="shared" si="24"/>
        <v>588500</v>
      </c>
      <c r="S87" s="632">
        <f t="shared" si="24"/>
        <v>618000</v>
      </c>
      <c r="T87" s="632">
        <f t="shared" si="24"/>
        <v>643000</v>
      </c>
      <c r="U87" s="632">
        <f t="shared" si="24"/>
        <v>796700</v>
      </c>
      <c r="V87" s="632">
        <f t="shared" si="24"/>
        <v>537500</v>
      </c>
      <c r="W87" s="632">
        <f t="shared" si="24"/>
        <v>551000</v>
      </c>
      <c r="X87" s="632">
        <f t="shared" si="24"/>
        <v>581500</v>
      </c>
      <c r="Y87" s="632">
        <f t="shared" si="24"/>
        <v>557000</v>
      </c>
      <c r="Z87" s="632">
        <f t="shared" si="24"/>
        <v>569500</v>
      </c>
      <c r="AA87" s="1460">
        <f t="shared" si="24"/>
        <v>505500</v>
      </c>
      <c r="AB87" s="632">
        <f t="shared" si="24"/>
        <v>555500</v>
      </c>
      <c r="AC87" s="632">
        <f t="shared" si="24"/>
        <v>766000</v>
      </c>
      <c r="AD87" s="632">
        <f t="shared" si="24"/>
        <v>795000</v>
      </c>
      <c r="AE87" s="632">
        <f t="shared" si="24"/>
        <v>775000</v>
      </c>
      <c r="AF87" s="632">
        <f t="shared" si="24"/>
        <v>590000</v>
      </c>
      <c r="AG87" s="632">
        <f t="shared" si="24"/>
        <v>620000</v>
      </c>
      <c r="AH87" s="1603">
        <f t="shared" si="24"/>
        <v>635000</v>
      </c>
      <c r="AI87" s="632">
        <f t="shared" si="24"/>
        <v>630000</v>
      </c>
      <c r="AJ87" s="632">
        <f t="shared" si="24"/>
        <v>670000</v>
      </c>
      <c r="AK87" s="632">
        <f t="shared" si="24"/>
        <v>700000</v>
      </c>
      <c r="AL87" s="632">
        <f t="shared" si="24"/>
        <v>720000</v>
      </c>
      <c r="AM87" s="632">
        <f t="shared" si="24"/>
        <v>730000</v>
      </c>
      <c r="AN87" s="632">
        <f t="shared" si="24"/>
        <v>740000</v>
      </c>
      <c r="AO87" s="632">
        <f t="shared" si="24"/>
        <v>750000</v>
      </c>
      <c r="AP87" s="632">
        <f t="shared" si="24"/>
        <v>770000</v>
      </c>
      <c r="AQ87" s="632">
        <f t="shared" si="24"/>
        <v>775000</v>
      </c>
      <c r="AR87" s="632">
        <f t="shared" si="24"/>
        <v>785000</v>
      </c>
      <c r="AS87" s="632">
        <f t="shared" si="24"/>
        <v>775000</v>
      </c>
      <c r="AT87" s="632">
        <f t="shared" si="24"/>
        <v>745000</v>
      </c>
      <c r="AU87" s="632">
        <f t="shared" si="24"/>
        <v>755000</v>
      </c>
      <c r="AV87" s="632">
        <f t="shared" si="24"/>
        <v>465000</v>
      </c>
      <c r="AW87" s="632">
        <f t="shared" si="24"/>
        <v>477000</v>
      </c>
      <c r="AX87" s="632">
        <f t="shared" si="24"/>
        <v>495000</v>
      </c>
      <c r="AY87" s="632">
        <f t="shared" si="24"/>
        <v>510000</v>
      </c>
      <c r="AZ87" s="632">
        <f t="shared" si="24"/>
        <v>530000</v>
      </c>
    </row>
    <row r="88" spans="1:64" ht="9.4" x14ac:dyDescent="0.3">
      <c r="B88" s="633"/>
      <c r="C88" s="634"/>
      <c r="D88" s="626"/>
      <c r="E88" s="627"/>
    </row>
    <row r="89" spans="1:64" x14ac:dyDescent="0.25">
      <c r="B89" s="626" t="s">
        <v>94</v>
      </c>
      <c r="C89" s="626"/>
      <c r="D89" s="626"/>
      <c r="E89" s="627"/>
    </row>
    <row r="90" spans="1:64" x14ac:dyDescent="0.25">
      <c r="B90" s="626" t="s">
        <v>368</v>
      </c>
      <c r="C90" s="626">
        <f>SUM(F90:AG90)</f>
        <v>5967.5</v>
      </c>
      <c r="D90" s="626">
        <v>6.95</v>
      </c>
      <c r="E90" s="627"/>
      <c r="F90" s="613">
        <v>5142.5</v>
      </c>
      <c r="G90" s="613">
        <v>825</v>
      </c>
      <c r="H90" s="613">
        <v>0</v>
      </c>
      <c r="I90" s="613">
        <v>0</v>
      </c>
      <c r="J90" s="613">
        <v>0</v>
      </c>
      <c r="K90" s="613">
        <v>0</v>
      </c>
      <c r="L90" s="613">
        <v>0</v>
      </c>
      <c r="M90" s="613">
        <v>0</v>
      </c>
      <c r="N90" s="613">
        <v>0</v>
      </c>
      <c r="O90" s="613">
        <v>0</v>
      </c>
    </row>
    <row r="91" spans="1:64" x14ac:dyDescent="0.25">
      <c r="B91" s="626" t="s">
        <v>502</v>
      </c>
      <c r="C91" s="626">
        <f>SUM(F91:AG91)</f>
        <v>64601.4</v>
      </c>
      <c r="D91" s="626">
        <v>4.0199999999999996</v>
      </c>
      <c r="E91" s="627"/>
      <c r="H91" s="613">
        <v>21788.400000000001</v>
      </c>
      <c r="I91" s="613">
        <v>17286</v>
      </c>
      <c r="J91" s="613">
        <v>12864</v>
      </c>
      <c r="K91" s="613">
        <v>8442</v>
      </c>
      <c r="L91" s="613">
        <v>4221</v>
      </c>
    </row>
    <row r="92" spans="1:64" x14ac:dyDescent="0.25">
      <c r="B92" s="626" t="s">
        <v>503</v>
      </c>
      <c r="C92" s="626">
        <f>SUM(F92:AG92)</f>
        <v>10702</v>
      </c>
      <c r="D92" s="626">
        <v>3.85</v>
      </c>
      <c r="E92" s="627"/>
      <c r="F92" s="613">
        <v>4851</v>
      </c>
      <c r="G92" s="613">
        <v>3234</v>
      </c>
      <c r="H92" s="613">
        <v>1617</v>
      </c>
      <c r="I92" s="613">
        <v>0</v>
      </c>
      <c r="J92" s="613">
        <v>0</v>
      </c>
      <c r="K92" s="613">
        <v>0</v>
      </c>
      <c r="L92" s="613">
        <v>0</v>
      </c>
      <c r="M92" s="613">
        <v>0</v>
      </c>
      <c r="N92" s="613">
        <v>0</v>
      </c>
      <c r="O92" s="613">
        <v>0</v>
      </c>
      <c r="X92" s="613">
        <v>1000</v>
      </c>
      <c r="Y92" s="653"/>
      <c r="Z92" s="653"/>
      <c r="AA92" s="1466"/>
      <c r="AB92" s="653"/>
    </row>
    <row r="93" spans="1:64" x14ac:dyDescent="0.25">
      <c r="B93" s="626" t="s">
        <v>367</v>
      </c>
      <c r="C93" s="626">
        <f>SUM(F93:AG93)</f>
        <v>1545636.9600000004</v>
      </c>
      <c r="D93" s="626">
        <v>4.66</v>
      </c>
      <c r="E93" s="627"/>
      <c r="J93" s="613">
        <v>0</v>
      </c>
      <c r="K93" s="613">
        <v>187966.37</v>
      </c>
      <c r="L93" s="613">
        <v>178894.37</v>
      </c>
      <c r="M93" s="613">
        <v>172306.88</v>
      </c>
      <c r="N93" s="613">
        <v>165719.37</v>
      </c>
      <c r="O93" s="613">
        <v>158939.37</v>
      </c>
      <c r="P93" s="613">
        <v>151959.37</v>
      </c>
      <c r="Q93" s="613">
        <v>144399.37</v>
      </c>
      <c r="R93" s="613">
        <v>136839.37</v>
      </c>
      <c r="S93" s="613">
        <v>128699.37</v>
      </c>
      <c r="T93" s="613">
        <v>119913.12</v>
      </c>
      <c r="U93" s="628"/>
      <c r="V93" s="628"/>
      <c r="W93" s="628"/>
      <c r="X93" s="628"/>
      <c r="Y93" s="628"/>
      <c r="Z93" s="628"/>
      <c r="AA93" s="1459"/>
      <c r="AB93" s="628"/>
      <c r="AC93" s="628"/>
      <c r="AD93" s="628"/>
    </row>
    <row r="94" spans="1:64" x14ac:dyDescent="0.25">
      <c r="B94" s="626" t="s">
        <v>501</v>
      </c>
      <c r="C94" s="626">
        <f>SUM(F94:AG94)</f>
        <v>3713947.5</v>
      </c>
      <c r="D94" s="626">
        <v>4.71</v>
      </c>
      <c r="E94" s="627"/>
      <c r="J94" s="613">
        <v>0</v>
      </c>
      <c r="K94" s="613">
        <v>0</v>
      </c>
      <c r="L94" s="613">
        <v>429862.5</v>
      </c>
      <c r="M94" s="613">
        <v>417902.5</v>
      </c>
      <c r="N94" s="613">
        <v>407227.5</v>
      </c>
      <c r="O94" s="613">
        <v>395227.5</v>
      </c>
      <c r="P94" s="613">
        <v>382665</v>
      </c>
      <c r="Q94" s="613">
        <v>369540</v>
      </c>
      <c r="R94" s="613">
        <v>354740</v>
      </c>
      <c r="S94" s="613">
        <v>338377.5</v>
      </c>
      <c r="T94" s="613">
        <v>318127.5</v>
      </c>
      <c r="U94" s="613">
        <v>300277.5</v>
      </c>
    </row>
    <row r="95" spans="1:64" x14ac:dyDescent="0.25">
      <c r="B95" s="654" t="s">
        <v>708</v>
      </c>
      <c r="C95" s="626"/>
      <c r="D95" s="626">
        <v>2.56</v>
      </c>
      <c r="E95" s="627"/>
    </row>
    <row r="96" spans="1:64" x14ac:dyDescent="0.25">
      <c r="A96" s="628" t="s">
        <v>548</v>
      </c>
      <c r="B96" s="658" t="s">
        <v>706</v>
      </c>
      <c r="C96" s="669">
        <f>121440-12144</f>
        <v>109296</v>
      </c>
      <c r="D96" s="626"/>
      <c r="E96" s="627">
        <v>9</v>
      </c>
      <c r="U96" s="628">
        <f>(12176.25*2)-2435.25</f>
        <v>21917.25</v>
      </c>
      <c r="V96" s="628">
        <f>10931.25*2-2186.25</f>
        <v>19676.25</v>
      </c>
      <c r="W96" s="628">
        <f>9656.25*2-1931.25</f>
        <v>17381.25</v>
      </c>
      <c r="X96" s="628">
        <f>7856.25*2-1571.25</f>
        <v>14141.25</v>
      </c>
      <c r="Y96" s="628">
        <f>6156.25*2-1231.25</f>
        <v>11081.25</v>
      </c>
      <c r="Z96" s="628">
        <f>5256.25*2-1051.25</f>
        <v>9461.25</v>
      </c>
      <c r="AA96" s="1459">
        <f>4187.5*2-837.5</f>
        <v>7537.5</v>
      </c>
      <c r="AB96" s="628">
        <f>3000*2-600</f>
        <v>5400</v>
      </c>
      <c r="AC96" s="628">
        <f>1500*2-300</f>
        <v>2700</v>
      </c>
      <c r="AD96" s="653">
        <v>0</v>
      </c>
    </row>
    <row r="97" spans="1:54" x14ac:dyDescent="0.25">
      <c r="A97" s="628" t="s">
        <v>548</v>
      </c>
      <c r="B97" s="658" t="s">
        <v>632</v>
      </c>
      <c r="C97" s="669">
        <v>73945</v>
      </c>
      <c r="D97" s="626"/>
      <c r="E97" s="627">
        <v>7</v>
      </c>
      <c r="U97" s="628">
        <f>9553.75*2</f>
        <v>19107.5</v>
      </c>
      <c r="V97" s="628">
        <f>8293.75*2</f>
        <v>16587.5</v>
      </c>
      <c r="W97" s="628">
        <f>7018.75*2</f>
        <v>14037.5</v>
      </c>
      <c r="X97" s="628">
        <f>5218.75*2</f>
        <v>10437.5</v>
      </c>
      <c r="Y97" s="628">
        <f>3318.75*2</f>
        <v>6637.5</v>
      </c>
      <c r="Z97" s="628">
        <f>2318.75*2</f>
        <v>4637.5</v>
      </c>
      <c r="AA97" s="1459">
        <f>1250*2</f>
        <v>2500</v>
      </c>
      <c r="AB97" s="653">
        <v>0</v>
      </c>
      <c r="AC97" s="653">
        <v>0</v>
      </c>
      <c r="AD97" s="653">
        <v>0</v>
      </c>
    </row>
    <row r="98" spans="1:54" x14ac:dyDescent="0.25">
      <c r="A98" s="628" t="s">
        <v>548</v>
      </c>
      <c r="B98" s="658" t="s">
        <v>361</v>
      </c>
      <c r="C98" s="669">
        <v>127200</v>
      </c>
      <c r="D98" s="626"/>
      <c r="E98" s="627">
        <v>10</v>
      </c>
      <c r="U98" s="628">
        <f>11430*2</f>
        <v>22860</v>
      </c>
      <c r="V98" s="628">
        <f>10455*2</f>
        <v>20910</v>
      </c>
      <c r="W98" s="628">
        <f>9405*2</f>
        <v>18810</v>
      </c>
      <c r="X98" s="628">
        <f>7905*2</f>
        <v>15810</v>
      </c>
      <c r="Y98" s="628">
        <f>6405*2</f>
        <v>12810</v>
      </c>
      <c r="Z98" s="628">
        <f>5655*2</f>
        <v>11310</v>
      </c>
      <c r="AA98" s="1459">
        <f>4755*2</f>
        <v>9510</v>
      </c>
      <c r="AB98" s="628">
        <f>3755*2</f>
        <v>7510</v>
      </c>
      <c r="AC98" s="628">
        <f>2555*2</f>
        <v>5110</v>
      </c>
      <c r="AD98" s="628">
        <f>1280*2</f>
        <v>2560</v>
      </c>
    </row>
    <row r="99" spans="1:54" x14ac:dyDescent="0.25">
      <c r="A99" s="628" t="s">
        <v>548</v>
      </c>
      <c r="B99" s="658" t="s">
        <v>362</v>
      </c>
      <c r="C99" s="669">
        <v>9190</v>
      </c>
      <c r="D99" s="626"/>
      <c r="E99" s="627">
        <v>4</v>
      </c>
      <c r="U99" s="628">
        <f>1720*2</f>
        <v>3440</v>
      </c>
      <c r="V99" s="628">
        <f>1375*2</f>
        <v>2750</v>
      </c>
      <c r="W99" s="628">
        <f>2000</f>
        <v>2000</v>
      </c>
      <c r="X99" s="628">
        <f>1000</f>
        <v>1000</v>
      </c>
      <c r="Y99" s="653">
        <v>0</v>
      </c>
      <c r="Z99" s="653">
        <v>0</v>
      </c>
      <c r="AA99" s="1466">
        <v>0</v>
      </c>
      <c r="AB99" s="653">
        <v>0</v>
      </c>
      <c r="AC99" s="653">
        <v>0</v>
      </c>
      <c r="AD99" s="653">
        <v>0</v>
      </c>
    </row>
    <row r="100" spans="1:54" x14ac:dyDescent="0.25">
      <c r="B100" s="654" t="s">
        <v>134</v>
      </c>
      <c r="C100" s="669">
        <f>SUM(U100:AI100)</f>
        <v>22650</v>
      </c>
      <c r="D100" s="626"/>
      <c r="E100" s="627">
        <v>4</v>
      </c>
      <c r="U100" s="628">
        <f>4350*2</f>
        <v>8700</v>
      </c>
      <c r="V100" s="628">
        <f>3375*2</f>
        <v>6750</v>
      </c>
      <c r="W100" s="628">
        <v>4800</v>
      </c>
      <c r="X100" s="628">
        <v>2400</v>
      </c>
      <c r="Y100" s="653">
        <v>0</v>
      </c>
      <c r="Z100" s="653">
        <v>0</v>
      </c>
      <c r="AA100" s="1466">
        <v>0</v>
      </c>
      <c r="AB100" s="653">
        <v>0</v>
      </c>
      <c r="AC100" s="653">
        <v>0</v>
      </c>
      <c r="AD100" s="653">
        <v>0</v>
      </c>
      <c r="AE100" s="628"/>
      <c r="AF100" s="628"/>
      <c r="AG100" s="628"/>
      <c r="AH100" s="2252"/>
      <c r="AI100" s="637"/>
      <c r="AJ100" s="628">
        <f>SUM(U100:AI100)</f>
        <v>22650</v>
      </c>
    </row>
    <row r="101" spans="1:54" x14ac:dyDescent="0.25">
      <c r="A101" s="1504" t="s">
        <v>547</v>
      </c>
      <c r="B101" s="654" t="s">
        <v>392</v>
      </c>
      <c r="C101" s="669">
        <f>SUM(U101:AI101)</f>
        <v>65160</v>
      </c>
      <c r="D101" s="626"/>
      <c r="E101" s="627">
        <v>10</v>
      </c>
      <c r="U101" s="628">
        <f>5990*2</f>
        <v>11980</v>
      </c>
      <c r="V101" s="628">
        <f>5390*2</f>
        <v>10780</v>
      </c>
      <c r="W101" s="628">
        <f>4790*2</f>
        <v>9580</v>
      </c>
      <c r="X101" s="628">
        <f>3990*2</f>
        <v>7980</v>
      </c>
      <c r="Y101" s="628">
        <f>3190*2</f>
        <v>6380</v>
      </c>
      <c r="Z101" s="628">
        <f>2790*2</f>
        <v>5580</v>
      </c>
      <c r="AA101" s="1459">
        <f>2340*2</f>
        <v>4680</v>
      </c>
      <c r="AB101" s="628">
        <f>1840*2</f>
        <v>3680</v>
      </c>
      <c r="AC101" s="628">
        <f>1240*2</f>
        <v>2480</v>
      </c>
      <c r="AD101" s="628">
        <f>640*2</f>
        <v>1280</v>
      </c>
      <c r="AE101" s="628"/>
      <c r="AF101" s="628"/>
      <c r="AG101" s="628"/>
      <c r="AH101" s="2252"/>
      <c r="AI101" s="637">
        <v>760</v>
      </c>
      <c r="AJ101" s="628">
        <f>SUM(U101:AI101)</f>
        <v>65160</v>
      </c>
    </row>
    <row r="102" spans="1:54" x14ac:dyDescent="0.25">
      <c r="A102" s="636"/>
      <c r="B102" s="6" t="s">
        <v>760</v>
      </c>
      <c r="C102" s="701"/>
      <c r="D102" s="702"/>
      <c r="E102" s="703"/>
      <c r="F102" s="704"/>
      <c r="G102" s="704"/>
      <c r="H102" s="704"/>
      <c r="I102" s="704"/>
      <c r="J102" s="704"/>
      <c r="K102" s="704"/>
      <c r="L102" s="704"/>
      <c r="M102" s="704"/>
      <c r="N102" s="704"/>
      <c r="O102" s="704"/>
      <c r="P102" s="704"/>
      <c r="Q102" s="704"/>
      <c r="R102" s="704"/>
      <c r="S102" s="704"/>
      <c r="T102" s="704"/>
      <c r="U102" s="704"/>
      <c r="V102" s="704"/>
      <c r="W102" s="704"/>
      <c r="X102" s="704"/>
      <c r="Y102" s="704"/>
      <c r="Z102" s="704"/>
      <c r="AA102" s="1468"/>
      <c r="AB102" s="704"/>
      <c r="AC102" s="704"/>
      <c r="AD102" s="704"/>
      <c r="AE102" s="704"/>
      <c r="AF102" s="704"/>
      <c r="AG102" s="704"/>
      <c r="AH102" s="2257"/>
      <c r="AI102" s="705"/>
      <c r="AJ102" s="704"/>
    </row>
    <row r="103" spans="1:54" s="628" customFormat="1" x14ac:dyDescent="0.25">
      <c r="A103" s="1505" t="s">
        <v>547</v>
      </c>
      <c r="B103" s="6" t="s">
        <v>664</v>
      </c>
      <c r="C103" s="379">
        <f>SUM(V103:AE103)</f>
        <v>40060.11</v>
      </c>
      <c r="D103" s="702"/>
      <c r="E103" s="706">
        <v>10</v>
      </c>
      <c r="F103" s="707"/>
      <c r="G103" s="707"/>
      <c r="H103" s="707"/>
      <c r="I103" s="707"/>
      <c r="J103" s="707"/>
      <c r="K103" s="707"/>
      <c r="L103" s="707"/>
      <c r="M103" s="707"/>
      <c r="N103" s="707"/>
      <c r="O103" s="707"/>
      <c r="P103" s="707"/>
      <c r="Q103" s="707"/>
      <c r="R103" s="707"/>
      <c r="S103" s="707"/>
      <c r="T103" s="707"/>
      <c r="U103" s="707"/>
      <c r="V103" s="6">
        <f>3640.11+3620</f>
        <v>7260.1100000000006</v>
      </c>
      <c r="W103" s="6">
        <v>6800</v>
      </c>
      <c r="X103" s="6">
        <v>6050</v>
      </c>
      <c r="Y103" s="6">
        <v>5300</v>
      </c>
      <c r="Z103" s="6">
        <v>4550</v>
      </c>
      <c r="AA103" s="1469">
        <v>3800</v>
      </c>
      <c r="AB103" s="6">
        <v>2900</v>
      </c>
      <c r="AC103" s="6">
        <v>1700</v>
      </c>
      <c r="AD103" s="6">
        <v>1100</v>
      </c>
      <c r="AE103" s="6">
        <v>600</v>
      </c>
      <c r="AF103" s="707"/>
      <c r="AG103" s="707"/>
      <c r="AH103" s="2258"/>
      <c r="AI103" s="708"/>
      <c r="AJ103" s="6">
        <f>SUM(F103:AI103)</f>
        <v>40060.11</v>
      </c>
      <c r="AK103" s="660"/>
    </row>
    <row r="104" spans="1:54" s="628" customFormat="1" x14ac:dyDescent="0.25">
      <c r="A104" s="661"/>
      <c r="B104" s="6" t="s">
        <v>781</v>
      </c>
      <c r="C104" s="379">
        <f>SUM(V104:AE104)</f>
        <v>10324.92</v>
      </c>
      <c r="D104" s="702"/>
      <c r="E104" s="706">
        <v>10</v>
      </c>
      <c r="F104" s="707"/>
      <c r="G104" s="707"/>
      <c r="H104" s="707"/>
      <c r="I104" s="707"/>
      <c r="J104" s="707"/>
      <c r="K104" s="707"/>
      <c r="L104" s="707"/>
      <c r="M104" s="707"/>
      <c r="N104" s="707"/>
      <c r="O104" s="707"/>
      <c r="P104" s="707"/>
      <c r="Q104" s="707"/>
      <c r="R104" s="707"/>
      <c r="S104" s="707"/>
      <c r="T104" s="707"/>
      <c r="U104" s="707"/>
      <c r="V104" s="6">
        <f>889.92+885</f>
        <v>1774.92</v>
      </c>
      <c r="W104" s="6">
        <f>825+825</f>
        <v>1650</v>
      </c>
      <c r="X104" s="6">
        <v>1500</v>
      </c>
      <c r="Y104" s="6">
        <v>1350</v>
      </c>
      <c r="Z104" s="6">
        <v>1200</v>
      </c>
      <c r="AA104" s="1469">
        <v>1050</v>
      </c>
      <c r="AB104" s="6">
        <v>900</v>
      </c>
      <c r="AC104" s="6">
        <v>500</v>
      </c>
      <c r="AD104" s="6">
        <v>300</v>
      </c>
      <c r="AE104" s="6">
        <v>100</v>
      </c>
      <c r="AF104" s="707"/>
      <c r="AG104" s="707"/>
      <c r="AH104" s="2258"/>
      <c r="AI104" s="708"/>
      <c r="AJ104" s="6">
        <f>SUM(F104:AI104)</f>
        <v>10324.92</v>
      </c>
      <c r="AK104" s="660"/>
    </row>
    <row r="105" spans="1:54" s="628" customFormat="1" x14ac:dyDescent="0.25">
      <c r="A105" s="1505" t="s">
        <v>547</v>
      </c>
      <c r="B105" s="6" t="s">
        <v>776</v>
      </c>
      <c r="C105" s="379">
        <f>SUM(V105:AE105)</f>
        <v>228175.31</v>
      </c>
      <c r="D105" s="702"/>
      <c r="E105" s="706">
        <v>10</v>
      </c>
      <c r="F105" s="707"/>
      <c r="G105" s="707"/>
      <c r="H105" s="707"/>
      <c r="I105" s="707"/>
      <c r="J105" s="707"/>
      <c r="K105" s="707"/>
      <c r="L105" s="707"/>
      <c r="M105" s="707"/>
      <c r="N105" s="707"/>
      <c r="O105" s="707"/>
      <c r="P105" s="707"/>
      <c r="Q105" s="707"/>
      <c r="R105" s="707"/>
      <c r="S105" s="707"/>
      <c r="T105" s="707"/>
      <c r="U105" s="707"/>
      <c r="V105" s="6">
        <f>20870.31+20755</f>
        <v>41625.31</v>
      </c>
      <c r="W105" s="6">
        <f>19375+19375</f>
        <v>38750</v>
      </c>
      <c r="X105" s="6">
        <f>17275+17275</f>
        <v>34550</v>
      </c>
      <c r="Y105" s="6">
        <f>15100+15100</f>
        <v>30200</v>
      </c>
      <c r="Z105" s="6">
        <f>12850+12850</f>
        <v>25700</v>
      </c>
      <c r="AA105" s="1469">
        <f>10525+10525</f>
        <v>21050</v>
      </c>
      <c r="AB105" s="6">
        <f>8200+8200</f>
        <v>16400</v>
      </c>
      <c r="AC105" s="6">
        <f>5000+5000</f>
        <v>10000</v>
      </c>
      <c r="AD105" s="6">
        <f>3300+3300</f>
        <v>6600</v>
      </c>
      <c r="AE105" s="6">
        <f>1650+1650</f>
        <v>3300</v>
      </c>
      <c r="AF105" s="707"/>
      <c r="AG105" s="707"/>
      <c r="AH105" s="2258"/>
      <c r="AI105" s="708"/>
      <c r="AJ105" s="6">
        <f>SUM(F105:AI105)</f>
        <v>228175.31</v>
      </c>
      <c r="AK105" s="660"/>
    </row>
    <row r="106" spans="1:54" s="628" customFormat="1" x14ac:dyDescent="0.25">
      <c r="A106" s="1505" t="s">
        <v>547</v>
      </c>
      <c r="B106" s="6" t="s">
        <v>783</v>
      </c>
      <c r="C106" s="379">
        <f>SUM(V106:AE106)</f>
        <v>9005.83</v>
      </c>
      <c r="D106" s="702"/>
      <c r="E106" s="706">
        <v>7</v>
      </c>
      <c r="F106" s="707"/>
      <c r="G106" s="707"/>
      <c r="H106" s="707"/>
      <c r="I106" s="707"/>
      <c r="J106" s="707"/>
      <c r="K106" s="707"/>
      <c r="L106" s="707"/>
      <c r="M106" s="707"/>
      <c r="N106" s="707"/>
      <c r="O106" s="707"/>
      <c r="P106" s="707"/>
      <c r="Q106" s="707"/>
      <c r="R106" s="707"/>
      <c r="S106" s="707"/>
      <c r="T106" s="707"/>
      <c r="U106" s="707"/>
      <c r="V106" s="6">
        <v>2105.83</v>
      </c>
      <c r="W106" s="6">
        <v>1900</v>
      </c>
      <c r="X106" s="6">
        <v>1600</v>
      </c>
      <c r="Y106" s="6">
        <v>1300</v>
      </c>
      <c r="Z106" s="6">
        <v>1000</v>
      </c>
      <c r="AA106" s="1469">
        <v>700</v>
      </c>
      <c r="AB106" s="6">
        <v>400</v>
      </c>
      <c r="AC106" s="6">
        <v>0</v>
      </c>
      <c r="AD106" s="6">
        <v>0</v>
      </c>
      <c r="AE106" s="6">
        <v>0</v>
      </c>
      <c r="AF106" s="707"/>
      <c r="AG106" s="707"/>
      <c r="AH106" s="2258"/>
      <c r="AI106" s="708"/>
      <c r="AJ106" s="6">
        <f>SUM(F106:AI106)</f>
        <v>9005.83</v>
      </c>
      <c r="AK106" s="660"/>
    </row>
    <row r="107" spans="1:54" s="628" customFormat="1" x14ac:dyDescent="0.25">
      <c r="A107" s="660"/>
      <c r="B107" s="660"/>
      <c r="C107" s="666"/>
      <c r="D107" s="666"/>
      <c r="E107" s="662"/>
      <c r="F107" s="663"/>
      <c r="G107" s="663"/>
      <c r="H107" s="663"/>
      <c r="I107" s="663"/>
      <c r="J107" s="663"/>
      <c r="K107" s="663"/>
      <c r="L107" s="663"/>
      <c r="M107" s="663"/>
      <c r="N107" s="663"/>
      <c r="O107" s="663"/>
      <c r="P107" s="663"/>
      <c r="Q107" s="663"/>
      <c r="R107" s="663"/>
      <c r="S107" s="663"/>
      <c r="T107" s="663"/>
      <c r="U107" s="663"/>
      <c r="V107" s="660"/>
      <c r="W107" s="660"/>
      <c r="X107" s="660"/>
      <c r="Y107" s="660"/>
      <c r="Z107" s="660"/>
      <c r="AA107" s="1470"/>
      <c r="AB107" s="660"/>
      <c r="AC107" s="660"/>
      <c r="AD107" s="660"/>
      <c r="AE107" s="660"/>
      <c r="AF107" s="663"/>
      <c r="AG107" s="663"/>
      <c r="AH107" s="2259"/>
      <c r="AI107" s="670"/>
      <c r="AJ107" s="660"/>
      <c r="AK107" s="660"/>
    </row>
    <row r="108" spans="1:54" s="628" customFormat="1" x14ac:dyDescent="0.25">
      <c r="A108" s="660"/>
      <c r="B108" s="709" t="s">
        <v>932</v>
      </c>
      <c r="C108" s="666"/>
      <c r="D108" s="666"/>
      <c r="E108" s="662"/>
      <c r="F108" s="663"/>
      <c r="G108" s="663"/>
      <c r="H108" s="663"/>
      <c r="I108" s="663"/>
      <c r="J108" s="663"/>
      <c r="K108" s="663"/>
      <c r="L108" s="663"/>
      <c r="M108" s="663"/>
      <c r="N108" s="663"/>
      <c r="O108" s="663"/>
      <c r="P108" s="663"/>
      <c r="Q108" s="663"/>
      <c r="R108" s="663"/>
      <c r="S108" s="663"/>
      <c r="T108" s="663"/>
      <c r="U108" s="663"/>
      <c r="V108" s="660"/>
      <c r="W108" s="660"/>
      <c r="X108" s="660"/>
      <c r="Y108" s="660"/>
      <c r="Z108" s="660"/>
      <c r="AA108" s="1470"/>
      <c r="AB108" s="660" t="s">
        <v>160</v>
      </c>
      <c r="AC108" s="660"/>
      <c r="AD108" s="660"/>
      <c r="AE108" s="660"/>
      <c r="AF108" s="663"/>
      <c r="AG108" s="663"/>
      <c r="AH108" s="2259"/>
      <c r="AI108" s="670"/>
      <c r="AJ108" s="660"/>
      <c r="AK108" s="660"/>
    </row>
    <row r="109" spans="1:54" s="628" customFormat="1" x14ac:dyDescent="0.25">
      <c r="A109" s="660"/>
      <c r="B109" s="667" t="s">
        <v>888</v>
      </c>
      <c r="C109" s="666">
        <v>62380.19</v>
      </c>
      <c r="D109" s="666"/>
      <c r="E109" s="662">
        <v>7</v>
      </c>
      <c r="F109" s="663"/>
      <c r="G109" s="663"/>
      <c r="H109" s="663"/>
      <c r="I109" s="663"/>
      <c r="J109" s="663"/>
      <c r="K109" s="663"/>
      <c r="L109" s="663"/>
      <c r="M109" s="663"/>
      <c r="N109" s="663"/>
      <c r="O109" s="663"/>
      <c r="P109" s="663"/>
      <c r="Q109" s="663"/>
      <c r="R109" s="663"/>
      <c r="S109" s="663"/>
      <c r="T109" s="663"/>
      <c r="U109" s="663"/>
      <c r="V109" s="660"/>
      <c r="W109" s="660"/>
      <c r="X109" s="660"/>
      <c r="Y109" s="660"/>
      <c r="Z109" s="660"/>
      <c r="AA109" s="1470">
        <v>2872.92</v>
      </c>
      <c r="AB109" s="660">
        <v>5580</v>
      </c>
      <c r="AC109" s="660">
        <v>4875</v>
      </c>
      <c r="AD109" s="660">
        <v>4125</v>
      </c>
      <c r="AE109" s="660">
        <v>3375</v>
      </c>
      <c r="AF109" s="660">
        <v>2500</v>
      </c>
      <c r="AG109" s="660">
        <v>1500</v>
      </c>
      <c r="AH109" s="1607">
        <v>500</v>
      </c>
      <c r="AI109" s="660">
        <v>0</v>
      </c>
      <c r="AJ109" s="660">
        <v>0</v>
      </c>
      <c r="AK109" s="660">
        <v>0</v>
      </c>
      <c r="AL109" s="660">
        <v>0</v>
      </c>
      <c r="AM109" s="660">
        <v>0</v>
      </c>
      <c r="AN109" s="660">
        <v>0</v>
      </c>
      <c r="AO109" s="660">
        <v>0</v>
      </c>
      <c r="AP109" s="660">
        <v>0</v>
      </c>
      <c r="AQ109" s="660">
        <v>0</v>
      </c>
      <c r="AR109" s="660">
        <v>0</v>
      </c>
      <c r="AS109" s="660">
        <v>0</v>
      </c>
      <c r="AT109" s="660">
        <v>0</v>
      </c>
      <c r="AU109" s="660">
        <v>0</v>
      </c>
      <c r="AV109" s="660">
        <v>0</v>
      </c>
      <c r="AW109" s="660">
        <v>0</v>
      </c>
      <c r="AX109" s="660">
        <v>0</v>
      </c>
      <c r="AY109" s="660">
        <v>0</v>
      </c>
      <c r="AZ109" s="660">
        <v>0</v>
      </c>
      <c r="BA109" s="660">
        <v>0</v>
      </c>
      <c r="BB109" s="660"/>
    </row>
    <row r="110" spans="1:54" s="628" customFormat="1" x14ac:dyDescent="0.25">
      <c r="A110" s="660"/>
      <c r="B110" s="667" t="s">
        <v>889</v>
      </c>
      <c r="C110" s="666">
        <v>300988.33</v>
      </c>
      <c r="D110" s="666"/>
      <c r="E110" s="662">
        <v>20</v>
      </c>
      <c r="F110" s="663"/>
      <c r="G110" s="663"/>
      <c r="H110" s="663"/>
      <c r="I110" s="663"/>
      <c r="J110" s="663"/>
      <c r="K110" s="663"/>
      <c r="L110" s="663"/>
      <c r="M110" s="663"/>
      <c r="N110" s="663"/>
      <c r="O110" s="663"/>
      <c r="P110" s="663"/>
      <c r="Q110" s="663"/>
      <c r="R110" s="663"/>
      <c r="S110" s="663"/>
      <c r="T110" s="663"/>
      <c r="U110" s="663"/>
      <c r="V110" s="660"/>
      <c r="W110" s="660"/>
      <c r="X110" s="660"/>
      <c r="Y110" s="660"/>
      <c r="Z110" s="660"/>
      <c r="AA110" s="1470">
        <v>2670.69</v>
      </c>
      <c r="AB110" s="660">
        <v>5384.5</v>
      </c>
      <c r="AC110" s="660">
        <v>5200</v>
      </c>
      <c r="AD110" s="660">
        <v>5050</v>
      </c>
      <c r="AE110" s="660">
        <v>4900</v>
      </c>
      <c r="AF110" s="660">
        <v>4725</v>
      </c>
      <c r="AG110" s="660">
        <v>4525</v>
      </c>
      <c r="AH110" s="1607">
        <v>4225</v>
      </c>
      <c r="AI110" s="660">
        <v>3825</v>
      </c>
      <c r="AJ110" s="660">
        <v>3475</v>
      </c>
      <c r="AK110" s="660">
        <v>3175</v>
      </c>
      <c r="AL110" s="660">
        <v>2875</v>
      </c>
      <c r="AM110" s="660">
        <v>2575</v>
      </c>
      <c r="AN110" s="660">
        <v>2275</v>
      </c>
      <c r="AO110" s="660">
        <v>1975</v>
      </c>
      <c r="AP110" s="660">
        <v>1675</v>
      </c>
      <c r="AQ110" s="660">
        <v>1375</v>
      </c>
      <c r="AR110" s="660">
        <v>1075</v>
      </c>
      <c r="AS110" s="660">
        <v>775</v>
      </c>
      <c r="AT110" s="660">
        <v>468.75</v>
      </c>
      <c r="AU110" s="660">
        <v>156.25</v>
      </c>
      <c r="AV110" s="660">
        <v>0</v>
      </c>
      <c r="AW110" s="660">
        <v>0</v>
      </c>
      <c r="AX110" s="660">
        <v>0</v>
      </c>
      <c r="AY110" s="660">
        <v>0</v>
      </c>
      <c r="AZ110" s="660">
        <v>0</v>
      </c>
      <c r="BA110" s="660">
        <v>0</v>
      </c>
      <c r="BB110" s="660"/>
    </row>
    <row r="111" spans="1:54" s="628" customFormat="1" x14ac:dyDescent="0.25">
      <c r="A111" s="660"/>
      <c r="B111" s="667" t="s">
        <v>890</v>
      </c>
      <c r="C111" s="666">
        <v>15938.33</v>
      </c>
      <c r="D111" s="666"/>
      <c r="E111" s="662">
        <v>18</v>
      </c>
      <c r="F111" s="663"/>
      <c r="G111" s="663"/>
      <c r="H111" s="663"/>
      <c r="I111" s="663"/>
      <c r="J111" s="663"/>
      <c r="K111" s="663"/>
      <c r="L111" s="663"/>
      <c r="M111" s="663"/>
      <c r="N111" s="663"/>
      <c r="O111" s="663"/>
      <c r="P111" s="663"/>
      <c r="Q111" s="663"/>
      <c r="R111" s="663"/>
      <c r="S111" s="663"/>
      <c r="T111" s="663"/>
      <c r="U111" s="663"/>
      <c r="V111" s="660"/>
      <c r="W111" s="660"/>
      <c r="X111" s="660"/>
      <c r="Y111" s="660"/>
      <c r="Z111" s="660"/>
      <c r="AA111" s="1470">
        <v>14758.33</v>
      </c>
      <c r="AB111" s="660">
        <v>29805</v>
      </c>
      <c r="AC111" s="660">
        <v>28650</v>
      </c>
      <c r="AD111" s="660">
        <v>27375</v>
      </c>
      <c r="AE111" s="660">
        <v>26025</v>
      </c>
      <c r="AF111" s="660">
        <v>24450</v>
      </c>
      <c r="AG111" s="660">
        <v>22550</v>
      </c>
      <c r="AH111" s="1607">
        <v>20550</v>
      </c>
      <c r="AI111" s="660">
        <v>18550</v>
      </c>
      <c r="AJ111" s="660">
        <v>16725</v>
      </c>
      <c r="AK111" s="660">
        <v>15075</v>
      </c>
      <c r="AL111" s="660">
        <v>13425</v>
      </c>
      <c r="AM111" s="660">
        <v>11700</v>
      </c>
      <c r="AN111" s="660">
        <v>9900</v>
      </c>
      <c r="AO111" s="660">
        <v>8100</v>
      </c>
      <c r="AP111" s="660">
        <v>6225</v>
      </c>
      <c r="AQ111" s="660">
        <v>4275</v>
      </c>
      <c r="AR111" s="660">
        <v>2250</v>
      </c>
      <c r="AS111" s="660">
        <v>600</v>
      </c>
      <c r="AT111" s="660">
        <v>0</v>
      </c>
      <c r="AU111" s="660">
        <v>0</v>
      </c>
      <c r="AV111" s="660">
        <v>0</v>
      </c>
      <c r="AW111" s="660">
        <v>0</v>
      </c>
      <c r="AX111" s="660">
        <v>0</v>
      </c>
      <c r="AY111" s="660">
        <v>0</v>
      </c>
      <c r="AZ111" s="660">
        <v>0</v>
      </c>
      <c r="BA111" s="660">
        <v>0</v>
      </c>
      <c r="BB111" s="660"/>
    </row>
    <row r="112" spans="1:54" s="628" customFormat="1" x14ac:dyDescent="0.25">
      <c r="A112" s="660"/>
      <c r="B112" s="667" t="s">
        <v>891</v>
      </c>
      <c r="C112" s="666">
        <v>20596.740000000002</v>
      </c>
      <c r="D112" s="666"/>
      <c r="E112" s="662">
        <v>7</v>
      </c>
      <c r="F112" s="663"/>
      <c r="G112" s="663"/>
      <c r="H112" s="663"/>
      <c r="I112" s="663"/>
      <c r="J112" s="663"/>
      <c r="K112" s="663"/>
      <c r="L112" s="663"/>
      <c r="M112" s="663"/>
      <c r="N112" s="663"/>
      <c r="O112" s="663"/>
      <c r="P112" s="663"/>
      <c r="Q112" s="663"/>
      <c r="R112" s="663"/>
      <c r="S112" s="663"/>
      <c r="T112" s="663"/>
      <c r="U112" s="663"/>
      <c r="V112" s="660"/>
      <c r="W112" s="660"/>
      <c r="X112" s="660"/>
      <c r="Y112" s="660"/>
      <c r="Z112" s="660"/>
      <c r="AA112" s="1470">
        <v>1808.33</v>
      </c>
      <c r="AB112" s="660">
        <v>3570</v>
      </c>
      <c r="AC112" s="660">
        <v>3195</v>
      </c>
      <c r="AD112" s="660">
        <v>2745</v>
      </c>
      <c r="AE112" s="660">
        <v>2220</v>
      </c>
      <c r="AF112" s="660">
        <v>1520</v>
      </c>
      <c r="AG112" s="660">
        <v>720</v>
      </c>
      <c r="AH112" s="1607">
        <v>160</v>
      </c>
      <c r="AI112" s="660">
        <v>0</v>
      </c>
      <c r="AJ112" s="660">
        <v>0</v>
      </c>
      <c r="AK112" s="660">
        <v>0</v>
      </c>
      <c r="AL112" s="660">
        <v>0</v>
      </c>
      <c r="AM112" s="660">
        <v>0</v>
      </c>
      <c r="AN112" s="660">
        <v>0</v>
      </c>
      <c r="AO112" s="660">
        <v>0</v>
      </c>
      <c r="AP112" s="660">
        <v>0</v>
      </c>
      <c r="AQ112" s="660">
        <v>0</v>
      </c>
      <c r="AR112" s="660">
        <v>0</v>
      </c>
      <c r="AS112" s="660">
        <v>0</v>
      </c>
      <c r="AT112" s="660">
        <v>0</v>
      </c>
      <c r="AU112" s="660">
        <v>0</v>
      </c>
      <c r="AV112" s="660">
        <v>0</v>
      </c>
      <c r="AW112" s="660">
        <v>0</v>
      </c>
      <c r="AX112" s="660">
        <v>0</v>
      </c>
      <c r="AY112" s="660">
        <v>0</v>
      </c>
      <c r="AZ112" s="660">
        <v>0</v>
      </c>
      <c r="BA112" s="660">
        <v>0</v>
      </c>
      <c r="BB112" s="660"/>
    </row>
    <row r="113" spans="1:56" s="628" customFormat="1" x14ac:dyDescent="0.25">
      <c r="A113" s="1439"/>
      <c r="B113" s="667" t="s">
        <v>892</v>
      </c>
      <c r="C113" s="666">
        <v>1482.79</v>
      </c>
      <c r="D113" s="666"/>
      <c r="E113" s="662">
        <v>11</v>
      </c>
      <c r="F113" s="663"/>
      <c r="G113" s="663"/>
      <c r="H113" s="663"/>
      <c r="I113" s="663"/>
      <c r="J113" s="663"/>
      <c r="K113" s="663"/>
      <c r="L113" s="663"/>
      <c r="M113" s="663"/>
      <c r="N113" s="663"/>
      <c r="O113" s="663"/>
      <c r="P113" s="663"/>
      <c r="Q113" s="663"/>
      <c r="R113" s="663"/>
      <c r="S113" s="663"/>
      <c r="T113" s="663"/>
      <c r="U113" s="663"/>
      <c r="V113" s="660"/>
      <c r="W113" s="660"/>
      <c r="X113" s="660"/>
      <c r="Y113" s="660"/>
      <c r="Z113" s="660"/>
      <c r="AA113" s="1470">
        <v>1689.24</v>
      </c>
      <c r="AB113" s="660">
        <v>3332.5</v>
      </c>
      <c r="AC113" s="660">
        <v>3040</v>
      </c>
      <c r="AD113" s="660">
        <v>2740</v>
      </c>
      <c r="AE113" s="660">
        <v>2440</v>
      </c>
      <c r="AF113" s="660">
        <v>2090</v>
      </c>
      <c r="AG113" s="660">
        <v>1690</v>
      </c>
      <c r="AH113" s="1607">
        <v>1350</v>
      </c>
      <c r="AI113" s="660">
        <v>1010</v>
      </c>
      <c r="AJ113" s="660">
        <v>660</v>
      </c>
      <c r="AK113" s="660">
        <v>405</v>
      </c>
      <c r="AL113" s="660">
        <v>150</v>
      </c>
      <c r="AM113" s="660">
        <v>0</v>
      </c>
      <c r="AN113" s="660">
        <v>0</v>
      </c>
      <c r="AO113" s="660">
        <v>0</v>
      </c>
      <c r="AP113" s="660">
        <v>0</v>
      </c>
      <c r="AQ113" s="660">
        <v>0</v>
      </c>
      <c r="AR113" s="660">
        <v>0</v>
      </c>
      <c r="AS113" s="660">
        <v>0</v>
      </c>
      <c r="AT113" s="660">
        <v>0</v>
      </c>
      <c r="AU113" s="660">
        <v>0</v>
      </c>
      <c r="AV113" s="660">
        <v>0</v>
      </c>
      <c r="AW113" s="660">
        <v>0</v>
      </c>
      <c r="AX113" s="660">
        <v>0</v>
      </c>
      <c r="AY113" s="660">
        <v>0</v>
      </c>
      <c r="AZ113" s="660">
        <v>0</v>
      </c>
      <c r="BA113" s="660">
        <v>0</v>
      </c>
      <c r="BB113" s="660"/>
    </row>
    <row r="114" spans="1:56" s="628" customFormat="1" x14ac:dyDescent="0.25">
      <c r="A114" s="1439"/>
      <c r="B114" s="667" t="s">
        <v>893</v>
      </c>
      <c r="C114" s="666">
        <v>8868.06</v>
      </c>
      <c r="D114" s="666"/>
      <c r="E114" s="662">
        <v>4</v>
      </c>
      <c r="F114" s="663"/>
      <c r="G114" s="663"/>
      <c r="H114" s="663"/>
      <c r="I114" s="663"/>
      <c r="J114" s="663"/>
      <c r="K114" s="663"/>
      <c r="L114" s="663"/>
      <c r="M114" s="663"/>
      <c r="N114" s="663"/>
      <c r="O114" s="663"/>
      <c r="P114" s="663"/>
      <c r="Q114" s="663"/>
      <c r="R114" s="663"/>
      <c r="S114" s="663"/>
      <c r="T114" s="663"/>
      <c r="U114" s="663"/>
      <c r="V114" s="660"/>
      <c r="W114" s="660"/>
      <c r="X114" s="660"/>
      <c r="Y114" s="660"/>
      <c r="Z114" s="660"/>
      <c r="AA114" s="1470">
        <v>287.29000000000002</v>
      </c>
      <c r="AB114" s="660">
        <v>520.5</v>
      </c>
      <c r="AC114" s="660">
        <v>375</v>
      </c>
      <c r="AD114" s="660">
        <v>225</v>
      </c>
      <c r="AE114" s="660">
        <v>75</v>
      </c>
      <c r="AF114" s="660">
        <v>0</v>
      </c>
      <c r="AG114" s="660">
        <v>0</v>
      </c>
      <c r="AH114" s="1607">
        <v>0</v>
      </c>
      <c r="AI114" s="660">
        <v>0</v>
      </c>
      <c r="AJ114" s="660">
        <v>0</v>
      </c>
      <c r="AK114" s="660">
        <v>0</v>
      </c>
      <c r="AL114" s="660">
        <v>0</v>
      </c>
      <c r="AM114" s="660">
        <v>0</v>
      </c>
      <c r="AN114" s="660">
        <v>0</v>
      </c>
      <c r="AO114" s="660">
        <v>0</v>
      </c>
      <c r="AP114" s="660">
        <v>0</v>
      </c>
      <c r="AQ114" s="660">
        <v>0</v>
      </c>
      <c r="AR114" s="660">
        <v>0</v>
      </c>
      <c r="AS114" s="660">
        <v>0</v>
      </c>
      <c r="AT114" s="660">
        <v>0</v>
      </c>
      <c r="AU114" s="660">
        <v>0</v>
      </c>
      <c r="AV114" s="660">
        <v>0</v>
      </c>
      <c r="AW114" s="660">
        <v>0</v>
      </c>
      <c r="AX114" s="660">
        <v>0</v>
      </c>
      <c r="AY114" s="660">
        <v>0</v>
      </c>
      <c r="AZ114" s="660">
        <v>0</v>
      </c>
      <c r="BA114" s="660">
        <v>0</v>
      </c>
      <c r="BB114" s="660"/>
    </row>
    <row r="115" spans="1:56" s="628" customFormat="1" x14ac:dyDescent="0.25">
      <c r="A115" s="1439"/>
      <c r="B115" s="667" t="s">
        <v>894</v>
      </c>
      <c r="C115" s="666">
        <v>1491.67</v>
      </c>
      <c r="D115" s="666"/>
      <c r="E115" s="662">
        <v>10</v>
      </c>
      <c r="F115" s="663"/>
      <c r="G115" s="663"/>
      <c r="H115" s="663"/>
      <c r="I115" s="663"/>
      <c r="J115" s="663"/>
      <c r="K115" s="663"/>
      <c r="L115" s="663"/>
      <c r="M115" s="663"/>
      <c r="N115" s="663"/>
      <c r="O115" s="663"/>
      <c r="P115" s="663"/>
      <c r="Q115" s="663"/>
      <c r="R115" s="663"/>
      <c r="S115" s="663"/>
      <c r="T115" s="663"/>
      <c r="U115" s="663"/>
      <c r="V115" s="660"/>
      <c r="W115" s="660"/>
      <c r="X115" s="660"/>
      <c r="Y115" s="660"/>
      <c r="Z115" s="660"/>
      <c r="AA115" s="1470">
        <v>768.06</v>
      </c>
      <c r="AB115" s="660">
        <v>1535</v>
      </c>
      <c r="AC115" s="660">
        <v>1415</v>
      </c>
      <c r="AD115" s="660">
        <v>1265</v>
      </c>
      <c r="AE115" s="660">
        <v>1115</v>
      </c>
      <c r="AF115" s="660">
        <v>940</v>
      </c>
      <c r="AG115" s="660">
        <v>740</v>
      </c>
      <c r="AH115" s="1607">
        <v>540</v>
      </c>
      <c r="AI115" s="660">
        <v>340</v>
      </c>
      <c r="AJ115" s="660">
        <v>165</v>
      </c>
      <c r="AK115" s="660">
        <v>45</v>
      </c>
      <c r="AL115" s="660">
        <v>0</v>
      </c>
      <c r="AM115" s="660">
        <v>0</v>
      </c>
      <c r="AN115" s="660">
        <v>0</v>
      </c>
      <c r="AO115" s="660">
        <v>0</v>
      </c>
      <c r="AP115" s="660">
        <v>0</v>
      </c>
      <c r="AQ115" s="660">
        <v>0</v>
      </c>
      <c r="AR115" s="660">
        <v>0</v>
      </c>
      <c r="AS115" s="660">
        <v>0</v>
      </c>
      <c r="AT115" s="660">
        <v>0</v>
      </c>
      <c r="AU115" s="660">
        <v>0</v>
      </c>
      <c r="AV115" s="660">
        <v>0</v>
      </c>
      <c r="AW115" s="660">
        <v>0</v>
      </c>
      <c r="AX115" s="660">
        <v>0</v>
      </c>
      <c r="AY115" s="660">
        <v>0</v>
      </c>
      <c r="AZ115" s="660">
        <v>0</v>
      </c>
      <c r="BA115" s="660">
        <v>0</v>
      </c>
      <c r="BB115" s="660"/>
    </row>
    <row r="116" spans="1:56" s="628" customFormat="1" x14ac:dyDescent="0.25">
      <c r="A116" s="660"/>
      <c r="B116" s="667" t="s">
        <v>895</v>
      </c>
      <c r="C116" s="666">
        <v>691860.3</v>
      </c>
      <c r="D116" s="666"/>
      <c r="E116" s="662">
        <v>3</v>
      </c>
      <c r="F116" s="663"/>
      <c r="G116" s="663"/>
      <c r="H116" s="663"/>
      <c r="I116" s="663"/>
      <c r="J116" s="663"/>
      <c r="K116" s="663"/>
      <c r="L116" s="663"/>
      <c r="M116" s="663"/>
      <c r="N116" s="663"/>
      <c r="O116" s="663"/>
      <c r="P116" s="663"/>
      <c r="Q116" s="663"/>
      <c r="R116" s="663"/>
      <c r="S116" s="663"/>
      <c r="T116" s="663"/>
      <c r="U116" s="663"/>
      <c r="V116" s="660"/>
      <c r="W116" s="660"/>
      <c r="X116" s="660"/>
      <c r="Y116" s="660"/>
      <c r="Z116" s="660"/>
      <c r="AA116" s="1470">
        <v>291.67</v>
      </c>
      <c r="AB116" s="660">
        <v>525</v>
      </c>
      <c r="AC116" s="660">
        <v>375</v>
      </c>
      <c r="AD116" s="660">
        <v>225</v>
      </c>
      <c r="AE116" s="660">
        <v>75</v>
      </c>
      <c r="AF116" s="660">
        <v>0</v>
      </c>
      <c r="AG116" s="660">
        <v>0</v>
      </c>
      <c r="AH116" s="1607">
        <v>0</v>
      </c>
      <c r="AI116" s="660">
        <v>0</v>
      </c>
      <c r="AJ116" s="660">
        <v>0</v>
      </c>
      <c r="AK116" s="660">
        <v>0</v>
      </c>
      <c r="AL116" s="660">
        <v>0</v>
      </c>
      <c r="AM116" s="660">
        <v>0</v>
      </c>
      <c r="AN116" s="660">
        <v>0</v>
      </c>
      <c r="AO116" s="660">
        <v>0</v>
      </c>
      <c r="AP116" s="660">
        <v>0</v>
      </c>
      <c r="AQ116" s="660">
        <v>0</v>
      </c>
      <c r="AR116" s="660">
        <v>0</v>
      </c>
      <c r="AS116" s="660">
        <v>0</v>
      </c>
      <c r="AT116" s="660">
        <v>0</v>
      </c>
      <c r="AU116" s="660">
        <v>0</v>
      </c>
      <c r="AV116" s="660">
        <v>0</v>
      </c>
      <c r="AW116" s="660">
        <v>0</v>
      </c>
      <c r="AX116" s="660">
        <v>0</v>
      </c>
      <c r="AY116" s="660">
        <v>0</v>
      </c>
      <c r="AZ116" s="660">
        <v>0</v>
      </c>
      <c r="BA116" s="660">
        <v>0</v>
      </c>
      <c r="BB116" s="660"/>
    </row>
    <row r="117" spans="1:56" s="628" customFormat="1" x14ac:dyDescent="0.25">
      <c r="A117" s="660" t="s">
        <v>547</v>
      </c>
      <c r="B117" s="667" t="s">
        <v>896</v>
      </c>
      <c r="C117" s="666">
        <v>300438.65999999997</v>
      </c>
      <c r="D117" s="666"/>
      <c r="E117" s="662">
        <v>25</v>
      </c>
      <c r="F117" s="663"/>
      <c r="G117" s="663"/>
      <c r="H117" s="663"/>
      <c r="I117" s="663"/>
      <c r="J117" s="663"/>
      <c r="K117" s="663"/>
      <c r="L117" s="663"/>
      <c r="M117" s="663"/>
      <c r="N117" s="663"/>
      <c r="O117" s="663"/>
      <c r="P117" s="663"/>
      <c r="Q117" s="663"/>
      <c r="R117" s="663"/>
      <c r="S117" s="663"/>
      <c r="T117" s="663"/>
      <c r="U117" s="663"/>
      <c r="V117" s="660"/>
      <c r="W117" s="660"/>
      <c r="X117" s="660"/>
      <c r="Y117" s="660"/>
      <c r="Z117" s="660"/>
      <c r="AA117" s="1470">
        <v>23177.17</v>
      </c>
      <c r="AB117" s="660">
        <v>47123.76</v>
      </c>
      <c r="AC117" s="660">
        <v>45968.76</v>
      </c>
      <c r="AD117" s="660">
        <v>44768.76</v>
      </c>
      <c r="AE117" s="660">
        <v>43493.760000000002</v>
      </c>
      <c r="AF117" s="660">
        <v>41918.76</v>
      </c>
      <c r="AG117" s="660">
        <v>40118.76</v>
      </c>
      <c r="AH117" s="1607">
        <v>38218.76</v>
      </c>
      <c r="AI117" s="660">
        <v>36218.76</v>
      </c>
      <c r="AJ117" s="660">
        <v>34468.76</v>
      </c>
      <c r="AK117" s="660">
        <v>32893.760000000002</v>
      </c>
      <c r="AL117" s="660">
        <v>31243.759999999998</v>
      </c>
      <c r="AM117" s="660">
        <v>29593.759999999998</v>
      </c>
      <c r="AN117" s="660">
        <v>27868.76</v>
      </c>
      <c r="AO117" s="660">
        <v>26068.76</v>
      </c>
      <c r="AP117" s="660">
        <v>24268.76</v>
      </c>
      <c r="AQ117" s="660">
        <v>22393.759999999998</v>
      </c>
      <c r="AR117" s="660">
        <v>20443.759999999998</v>
      </c>
      <c r="AS117" s="660">
        <v>18418.759999999998</v>
      </c>
      <c r="AT117" s="660">
        <v>16275.01</v>
      </c>
      <c r="AU117" s="660">
        <v>14009.38</v>
      </c>
      <c r="AV117" s="660">
        <v>11618.75</v>
      </c>
      <c r="AW117" s="660">
        <v>9181.25</v>
      </c>
      <c r="AX117" s="660">
        <v>6662.5</v>
      </c>
      <c r="AY117" s="660">
        <v>4062.5</v>
      </c>
      <c r="AZ117" s="660">
        <v>1381.25</v>
      </c>
      <c r="BA117" s="660">
        <v>0</v>
      </c>
      <c r="BB117" s="660"/>
    </row>
    <row r="118" spans="1:56" s="628" customFormat="1" x14ac:dyDescent="0.25">
      <c r="A118" s="660"/>
      <c r="B118" s="667"/>
      <c r="C118" s="666"/>
      <c r="D118" s="666"/>
      <c r="E118" s="662"/>
      <c r="F118" s="663"/>
      <c r="G118" s="663"/>
      <c r="H118" s="663"/>
      <c r="I118" s="663"/>
      <c r="J118" s="663"/>
      <c r="K118" s="663"/>
      <c r="L118" s="663"/>
      <c r="M118" s="663"/>
      <c r="N118" s="663"/>
      <c r="O118" s="663"/>
      <c r="P118" s="663"/>
      <c r="Q118" s="663"/>
      <c r="R118" s="663"/>
      <c r="S118" s="663"/>
      <c r="T118" s="663"/>
      <c r="U118" s="663"/>
      <c r="V118" s="660"/>
      <c r="W118" s="660"/>
      <c r="X118" s="660"/>
      <c r="Y118" s="660"/>
      <c r="Z118" s="660"/>
      <c r="AA118" s="1470"/>
      <c r="AB118" s="660"/>
      <c r="AC118" s="660"/>
      <c r="AD118" s="660"/>
      <c r="AE118" s="660"/>
      <c r="AF118" s="660"/>
      <c r="AG118" s="660"/>
      <c r="AH118" s="1607"/>
      <c r="AI118" s="660"/>
      <c r="AJ118" s="660"/>
      <c r="AK118" s="660"/>
      <c r="AL118" s="660"/>
      <c r="AM118" s="660"/>
      <c r="AN118" s="660"/>
      <c r="AO118" s="660"/>
      <c r="AP118" s="660"/>
      <c r="AQ118" s="660"/>
      <c r="AR118" s="660"/>
      <c r="AS118" s="660"/>
      <c r="AT118" s="660"/>
      <c r="AU118" s="660"/>
      <c r="AV118" s="660"/>
      <c r="AW118" s="660"/>
      <c r="AX118" s="660"/>
      <c r="AY118" s="660"/>
      <c r="AZ118" s="660"/>
      <c r="BA118" s="660"/>
      <c r="BB118" s="660"/>
    </row>
    <row r="119" spans="1:56" s="628" customFormat="1" x14ac:dyDescent="0.25">
      <c r="A119" s="660"/>
      <c r="B119" s="667"/>
      <c r="C119" s="666"/>
      <c r="D119" s="666"/>
      <c r="E119" s="662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63"/>
      <c r="T119" s="663"/>
      <c r="U119" s="663"/>
      <c r="V119" s="660"/>
      <c r="W119" s="660"/>
      <c r="X119" s="660"/>
      <c r="Y119" s="660"/>
      <c r="Z119" s="660"/>
      <c r="AA119" s="1470"/>
      <c r="AB119" s="660"/>
      <c r="AC119" s="660"/>
      <c r="AD119" s="660"/>
      <c r="AE119" s="660"/>
      <c r="AF119" s="660"/>
      <c r="AG119" s="660"/>
      <c r="AH119" s="1607"/>
      <c r="AI119" s="660"/>
      <c r="AJ119" s="660"/>
      <c r="AK119" s="660"/>
      <c r="AL119" s="660"/>
      <c r="AM119" s="660"/>
      <c r="AN119" s="660"/>
      <c r="AO119" s="660"/>
      <c r="AP119" s="660"/>
      <c r="AQ119" s="660"/>
      <c r="AR119" s="660"/>
      <c r="AS119" s="660"/>
      <c r="AT119" s="660"/>
      <c r="AU119" s="660"/>
      <c r="AV119" s="660"/>
      <c r="AW119" s="660"/>
      <c r="AX119" s="660"/>
      <c r="AY119" s="660"/>
      <c r="AZ119" s="660"/>
      <c r="BA119" s="660"/>
      <c r="BB119" s="660"/>
    </row>
    <row r="120" spans="1:56" s="628" customFormat="1" x14ac:dyDescent="0.25">
      <c r="A120" s="1439" t="s">
        <v>547</v>
      </c>
      <c r="B120" s="1489" t="s">
        <v>951</v>
      </c>
      <c r="C120" s="1497">
        <f>C80</f>
        <v>5800000</v>
      </c>
      <c r="D120" s="1498"/>
      <c r="E120" s="662">
        <v>25</v>
      </c>
      <c r="F120" s="663"/>
      <c r="G120" s="663"/>
      <c r="H120" s="663"/>
      <c r="I120" s="663"/>
      <c r="J120" s="663"/>
      <c r="K120" s="663"/>
      <c r="L120" s="663"/>
      <c r="M120" s="663"/>
      <c r="N120" s="663"/>
      <c r="O120" s="663"/>
      <c r="P120" s="663"/>
      <c r="Q120" s="663"/>
      <c r="R120" s="663"/>
      <c r="S120" s="663"/>
      <c r="T120" s="663"/>
      <c r="U120" s="663"/>
      <c r="V120" s="660"/>
      <c r="W120" s="660"/>
      <c r="X120" s="660"/>
      <c r="Y120" s="660"/>
      <c r="Z120" s="660"/>
      <c r="AA120" s="1470"/>
      <c r="AB120" s="660"/>
      <c r="AC120" s="660">
        <v>220437.5</v>
      </c>
      <c r="AD120" s="660">
        <v>213687.5</v>
      </c>
      <c r="AE120" s="660">
        <v>206687.5</v>
      </c>
      <c r="AF120" s="660">
        <v>199437.5</v>
      </c>
      <c r="AG120" s="660">
        <v>191687.5</v>
      </c>
      <c r="AH120" s="1607">
        <v>183687.5</v>
      </c>
      <c r="AI120" s="660">
        <v>175187.5</v>
      </c>
      <c r="AJ120" s="660">
        <v>166187.5</v>
      </c>
      <c r="AK120" s="660">
        <v>156687.5</v>
      </c>
      <c r="AL120" s="660">
        <v>146937.5</v>
      </c>
      <c r="AM120" s="660">
        <v>136687.5</v>
      </c>
      <c r="AN120" s="660">
        <v>127887.5</v>
      </c>
      <c r="AO120" s="660">
        <v>121137.5</v>
      </c>
      <c r="AP120" s="660">
        <v>114087.5</v>
      </c>
      <c r="AQ120" s="660">
        <v>106887.5</v>
      </c>
      <c r="AR120" s="660">
        <v>99537.5</v>
      </c>
      <c r="AS120" s="660">
        <v>91568.76</v>
      </c>
      <c r="AT120" s="660">
        <v>83287.5</v>
      </c>
      <c r="AU120" s="660">
        <v>74512.5</v>
      </c>
      <c r="AV120" s="660">
        <v>65412.5</v>
      </c>
      <c r="AW120" s="660">
        <v>55625</v>
      </c>
      <c r="AX120" s="660">
        <v>45500</v>
      </c>
      <c r="AY120" s="660">
        <v>34650</v>
      </c>
      <c r="AZ120" s="660">
        <v>23450</v>
      </c>
      <c r="BA120" s="660">
        <v>11900</v>
      </c>
      <c r="BB120" s="660"/>
      <c r="BD120" s="628">
        <f>SUM(AC120:BA120)</f>
        <v>3052756.26</v>
      </c>
    </row>
    <row r="121" spans="1:56" s="628" customFormat="1" x14ac:dyDescent="0.25">
      <c r="A121" s="1439" t="s">
        <v>547</v>
      </c>
      <c r="B121" s="1537" t="s">
        <v>898</v>
      </c>
      <c r="C121" s="1497">
        <f>C81</f>
        <v>3246000</v>
      </c>
      <c r="D121" s="1498"/>
      <c r="E121" s="662">
        <v>19</v>
      </c>
      <c r="F121" s="663"/>
      <c r="G121" s="663"/>
      <c r="H121" s="663"/>
      <c r="I121" s="663"/>
      <c r="J121" s="663"/>
      <c r="K121" s="663"/>
      <c r="L121" s="663"/>
      <c r="M121" s="663"/>
      <c r="N121" s="663"/>
      <c r="O121" s="663"/>
      <c r="P121" s="663"/>
      <c r="Q121" s="663"/>
      <c r="R121" s="663"/>
      <c r="S121" s="663"/>
      <c r="T121" s="663"/>
      <c r="U121" s="663"/>
      <c r="V121" s="660"/>
      <c r="W121" s="660"/>
      <c r="X121" s="660"/>
      <c r="Y121" s="660"/>
      <c r="Z121" s="660"/>
      <c r="AA121" s="1470"/>
      <c r="AB121" s="660"/>
      <c r="AC121" s="660">
        <f>131075</f>
        <v>131075</v>
      </c>
      <c r="AD121" s="660">
        <v>128275</v>
      </c>
      <c r="AE121" s="660">
        <v>125275</v>
      </c>
      <c r="AF121" s="660">
        <v>118275</v>
      </c>
      <c r="AG121" s="660">
        <v>110775</v>
      </c>
      <c r="AH121" s="1607">
        <v>102775</v>
      </c>
      <c r="AI121" s="660">
        <v>94525</v>
      </c>
      <c r="AJ121" s="660">
        <v>85775</v>
      </c>
      <c r="AK121" s="660">
        <v>76275</v>
      </c>
      <c r="AL121" s="660">
        <v>65775</v>
      </c>
      <c r="AM121" s="660">
        <v>55275</v>
      </c>
      <c r="AN121" s="660">
        <v>47275</v>
      </c>
      <c r="AO121" s="660">
        <v>41275</v>
      </c>
      <c r="AP121" s="660">
        <v>35275</v>
      </c>
      <c r="AQ121" s="660">
        <v>29275</v>
      </c>
      <c r="AR121" s="660">
        <v>23425</v>
      </c>
      <c r="AS121" s="660">
        <v>17643.760000000002</v>
      </c>
      <c r="AT121" s="660">
        <v>11862.5</v>
      </c>
      <c r="AU121" s="660">
        <v>5850</v>
      </c>
      <c r="AV121" s="660">
        <v>0</v>
      </c>
      <c r="AW121" s="660"/>
      <c r="AX121" s="660"/>
      <c r="AY121" s="660"/>
      <c r="AZ121" s="660"/>
      <c r="BA121" s="660"/>
      <c r="BB121" s="660"/>
    </row>
    <row r="122" spans="1:56" s="628" customFormat="1" x14ac:dyDescent="0.25">
      <c r="A122" s="1439"/>
      <c r="B122" s="616"/>
      <c r="C122" s="1536"/>
      <c r="D122" s="1425"/>
      <c r="E122" s="662"/>
      <c r="F122" s="663"/>
      <c r="G122" s="663"/>
      <c r="H122" s="663"/>
      <c r="I122" s="663"/>
      <c r="J122" s="663"/>
      <c r="K122" s="663"/>
      <c r="L122" s="663"/>
      <c r="M122" s="663"/>
      <c r="N122" s="663"/>
      <c r="O122" s="663"/>
      <c r="P122" s="663"/>
      <c r="Q122" s="663"/>
      <c r="R122" s="663"/>
      <c r="S122" s="663"/>
      <c r="T122" s="663"/>
      <c r="U122" s="663"/>
      <c r="V122" s="660"/>
      <c r="W122" s="660"/>
      <c r="X122" s="660"/>
      <c r="Y122" s="660"/>
      <c r="Z122" s="660"/>
      <c r="AA122" s="1470"/>
      <c r="AB122" s="660"/>
      <c r="AC122" s="660"/>
      <c r="AD122" s="660"/>
      <c r="AE122" s="660"/>
      <c r="AF122" s="660"/>
      <c r="AG122" s="660"/>
      <c r="AH122" s="1607"/>
      <c r="AI122" s="660"/>
      <c r="AJ122" s="660"/>
      <c r="AK122" s="660"/>
      <c r="AL122" s="660"/>
      <c r="AM122" s="660"/>
      <c r="AN122" s="660"/>
      <c r="AO122" s="660"/>
      <c r="AP122" s="660"/>
      <c r="AQ122" s="660"/>
      <c r="AR122" s="660"/>
      <c r="AS122" s="660"/>
      <c r="AT122" s="660"/>
      <c r="AU122" s="660"/>
      <c r="AV122" s="660"/>
      <c r="AW122" s="660"/>
      <c r="AX122" s="660"/>
      <c r="AY122" s="660"/>
      <c r="AZ122" s="660"/>
      <c r="BA122" s="660"/>
      <c r="BB122" s="660"/>
    </row>
    <row r="123" spans="1:56" s="628" customFormat="1" x14ac:dyDescent="0.25">
      <c r="A123" s="1439"/>
      <c r="B123" s="616" t="s">
        <v>997</v>
      </c>
      <c r="C123" s="1536"/>
      <c r="D123" s="1425"/>
      <c r="E123" s="662"/>
      <c r="F123" s="663"/>
      <c r="G123" s="663"/>
      <c r="H123" s="663"/>
      <c r="I123" s="663"/>
      <c r="J123" s="663"/>
      <c r="K123" s="663"/>
      <c r="L123" s="663"/>
      <c r="M123" s="663"/>
      <c r="N123" s="663"/>
      <c r="O123" s="663"/>
      <c r="P123" s="663"/>
      <c r="Q123" s="663"/>
      <c r="R123" s="663"/>
      <c r="S123" s="663"/>
      <c r="T123" s="663"/>
      <c r="U123" s="663"/>
      <c r="V123" s="660"/>
      <c r="W123" s="660"/>
      <c r="X123" s="660"/>
      <c r="Y123" s="660"/>
      <c r="Z123" s="660"/>
      <c r="AA123" s="1470"/>
      <c r="AB123" s="660"/>
      <c r="AC123" s="660"/>
      <c r="AD123" s="660"/>
      <c r="AE123" s="660"/>
      <c r="AF123" s="660"/>
      <c r="AG123" s="660"/>
      <c r="AH123" s="1607"/>
      <c r="AI123" s="660"/>
      <c r="AJ123" s="660"/>
      <c r="AK123" s="660"/>
      <c r="AL123" s="660"/>
      <c r="AM123" s="660"/>
      <c r="AN123" s="660"/>
      <c r="AO123" s="660"/>
      <c r="AP123" s="660"/>
      <c r="AQ123" s="660"/>
      <c r="AR123" s="660"/>
      <c r="AS123" s="660"/>
      <c r="AT123" s="660"/>
      <c r="AU123" s="660"/>
      <c r="AV123" s="660"/>
      <c r="AW123" s="660"/>
      <c r="AX123" s="660"/>
      <c r="AY123" s="660"/>
      <c r="AZ123" s="660"/>
      <c r="BA123" s="660"/>
      <c r="BB123" s="660"/>
    </row>
    <row r="124" spans="1:56" s="628" customFormat="1" x14ac:dyDescent="0.25">
      <c r="A124" s="1439" t="s">
        <v>547</v>
      </c>
      <c r="B124" s="616" t="s">
        <v>759</v>
      </c>
      <c r="C124" s="1536">
        <v>2182000</v>
      </c>
      <c r="D124" s="1541">
        <f>222.297%/100</f>
        <v>2.2229700000000002E-2</v>
      </c>
      <c r="E124" s="662">
        <v>25</v>
      </c>
      <c r="F124" s="663"/>
      <c r="G124" s="663"/>
      <c r="H124" s="663"/>
      <c r="I124" s="663"/>
      <c r="J124" s="663"/>
      <c r="K124" s="663"/>
      <c r="L124" s="663"/>
      <c r="M124" s="663"/>
      <c r="N124" s="663"/>
      <c r="O124" s="663"/>
      <c r="P124" s="663"/>
      <c r="Q124" s="663"/>
      <c r="R124" s="663"/>
      <c r="S124" s="663"/>
      <c r="T124" s="663"/>
      <c r="U124" s="663"/>
      <c r="V124" s="660"/>
      <c r="W124" s="660"/>
      <c r="X124" s="660"/>
      <c r="Y124" s="660"/>
      <c r="Z124" s="660"/>
      <c r="AA124" s="1470"/>
      <c r="AB124" s="660"/>
      <c r="AC124" s="660">
        <v>33238.35</v>
      </c>
      <c r="AD124" s="660">
        <v>67394</v>
      </c>
      <c r="AE124" s="660">
        <v>64644</v>
      </c>
      <c r="AF124" s="660">
        <v>61769</v>
      </c>
      <c r="AG124" s="660">
        <v>58644</v>
      </c>
      <c r="AH124" s="1607">
        <v>55394</v>
      </c>
      <c r="AI124" s="660">
        <v>52019</v>
      </c>
      <c r="AJ124" s="660">
        <v>48394</v>
      </c>
      <c r="AK124" s="660">
        <v>44644</v>
      </c>
      <c r="AL124" s="660">
        <v>41569</v>
      </c>
      <c r="AM124" s="660">
        <v>39094</v>
      </c>
      <c r="AN124" s="660">
        <v>36969</v>
      </c>
      <c r="AO124" s="660">
        <v>35247.75</v>
      </c>
      <c r="AP124" s="660">
        <v>33431.5</v>
      </c>
      <c r="AQ124" s="660">
        <v>31519</v>
      </c>
      <c r="AR124" s="660">
        <v>29561.5</v>
      </c>
      <c r="AS124" s="660">
        <v>27502.75</v>
      </c>
      <c r="AT124" s="660">
        <v>25341.5</v>
      </c>
      <c r="AU124" s="660">
        <v>23074</v>
      </c>
      <c r="AV124" s="660">
        <v>20674</v>
      </c>
      <c r="AW124" s="660">
        <v>18199.5</v>
      </c>
      <c r="AX124" s="660">
        <v>15375</v>
      </c>
      <c r="AY124" s="660">
        <v>12150</v>
      </c>
      <c r="AZ124" s="660">
        <v>8775</v>
      </c>
      <c r="BA124" s="660">
        <v>5325</v>
      </c>
      <c r="BB124" s="660">
        <v>5325</v>
      </c>
      <c r="BC124" s="628">
        <v>1800</v>
      </c>
    </row>
    <row r="125" spans="1:56" s="628" customFormat="1" x14ac:dyDescent="0.25">
      <c r="A125" s="1439" t="s">
        <v>547</v>
      </c>
      <c r="B125" s="616" t="s">
        <v>998</v>
      </c>
      <c r="C125" s="1536">
        <v>1665000</v>
      </c>
      <c r="D125" s="1425">
        <f>222.297%/100</f>
        <v>2.2229700000000002E-2</v>
      </c>
      <c r="E125" s="662">
        <v>20</v>
      </c>
      <c r="F125" s="663"/>
      <c r="G125" s="663"/>
      <c r="H125" s="663"/>
      <c r="I125" s="663"/>
      <c r="J125" s="663"/>
      <c r="K125" s="663"/>
      <c r="L125" s="663"/>
      <c r="M125" s="663"/>
      <c r="N125" s="663"/>
      <c r="O125" s="663"/>
      <c r="P125" s="663"/>
      <c r="Q125" s="663"/>
      <c r="R125" s="663"/>
      <c r="S125" s="663"/>
      <c r="T125" s="663"/>
      <c r="U125" s="663"/>
      <c r="V125" s="660"/>
      <c r="W125" s="660"/>
      <c r="X125" s="660"/>
      <c r="Y125" s="660"/>
      <c r="Z125" s="660"/>
      <c r="AA125" s="1470"/>
      <c r="AB125" s="660"/>
      <c r="AC125" s="660">
        <v>26698.13</v>
      </c>
      <c r="AD125" s="660">
        <v>53612.5</v>
      </c>
      <c r="AE125" s="660">
        <v>50237.5</v>
      </c>
      <c r="AF125" s="660">
        <v>46737.5</v>
      </c>
      <c r="AG125" s="660">
        <v>43112.5</v>
      </c>
      <c r="AH125" s="1607">
        <v>39237.5</v>
      </c>
      <c r="AI125" s="660">
        <v>35237.5</v>
      </c>
      <c r="AJ125" s="660">
        <v>31112.5</v>
      </c>
      <c r="AK125" s="660">
        <v>26737.5</v>
      </c>
      <c r="AL125" s="660">
        <v>23062.5</v>
      </c>
      <c r="AM125" s="660">
        <v>20137.5</v>
      </c>
      <c r="AN125" s="660">
        <v>17637.5</v>
      </c>
      <c r="AO125" s="660">
        <v>15612.5</v>
      </c>
      <c r="AP125" s="660">
        <v>13485</v>
      </c>
      <c r="AQ125" s="660">
        <v>11253.75</v>
      </c>
      <c r="AR125" s="660">
        <v>8915</v>
      </c>
      <c r="AS125" s="660">
        <v>6467.5</v>
      </c>
      <c r="AT125" s="660">
        <v>3907.5</v>
      </c>
      <c r="AU125" s="660">
        <v>1292.5</v>
      </c>
      <c r="AV125" s="660"/>
      <c r="AW125" s="660"/>
      <c r="AX125" s="660"/>
      <c r="AY125" s="660"/>
      <c r="AZ125" s="660"/>
      <c r="BA125" s="660"/>
      <c r="BB125" s="660"/>
    </row>
    <row r="126" spans="1:56" x14ac:dyDescent="0.25">
      <c r="B126" s="626"/>
      <c r="C126" s="640"/>
      <c r="D126" s="626"/>
      <c r="E126" s="627"/>
    </row>
    <row r="127" spans="1:56" x14ac:dyDescent="0.25">
      <c r="A127" s="1504" t="s">
        <v>308</v>
      </c>
      <c r="B127" s="630" t="s">
        <v>371</v>
      </c>
      <c r="C127" s="630">
        <f>SUM(AB127:AZ127)</f>
        <v>7238197.7399999974</v>
      </c>
      <c r="D127" s="671"/>
      <c r="E127" s="631"/>
      <c r="F127" s="632">
        <f t="shared" ref="F127:BA127" si="25">SUM(F89:F126)</f>
        <v>9993.5</v>
      </c>
      <c r="G127" s="632">
        <f t="shared" si="25"/>
        <v>4059</v>
      </c>
      <c r="H127" s="632">
        <f t="shared" si="25"/>
        <v>23405.4</v>
      </c>
      <c r="I127" s="632">
        <f t="shared" si="25"/>
        <v>17286</v>
      </c>
      <c r="J127" s="632">
        <f t="shared" si="25"/>
        <v>12864</v>
      </c>
      <c r="K127" s="632">
        <f t="shared" si="25"/>
        <v>196408.37</v>
      </c>
      <c r="L127" s="632">
        <f t="shared" si="25"/>
        <v>612977.87</v>
      </c>
      <c r="M127" s="632">
        <f t="shared" si="25"/>
        <v>590209.38</v>
      </c>
      <c r="N127" s="632">
        <f t="shared" si="25"/>
        <v>572946.87</v>
      </c>
      <c r="O127" s="632">
        <f t="shared" si="25"/>
        <v>554166.87</v>
      </c>
      <c r="P127" s="632">
        <f t="shared" si="25"/>
        <v>534624.37</v>
      </c>
      <c r="Q127" s="632">
        <f t="shared" si="25"/>
        <v>513939.37</v>
      </c>
      <c r="R127" s="632">
        <f t="shared" si="25"/>
        <v>491579.37</v>
      </c>
      <c r="S127" s="632">
        <f t="shared" si="25"/>
        <v>467076.87</v>
      </c>
      <c r="T127" s="632">
        <f t="shared" si="25"/>
        <v>438040.62</v>
      </c>
      <c r="U127" s="632">
        <f t="shared" si="25"/>
        <v>388282.25</v>
      </c>
      <c r="V127" s="632">
        <f t="shared" si="25"/>
        <v>130219.92</v>
      </c>
      <c r="W127" s="632">
        <f t="shared" si="25"/>
        <v>115708.75</v>
      </c>
      <c r="X127" s="632">
        <f t="shared" si="25"/>
        <v>96468.75</v>
      </c>
      <c r="Y127" s="632">
        <f t="shared" si="25"/>
        <v>75058.75</v>
      </c>
      <c r="Z127" s="632">
        <f t="shared" si="25"/>
        <v>63438.75</v>
      </c>
      <c r="AA127" s="1460">
        <f t="shared" si="25"/>
        <v>99151.2</v>
      </c>
      <c r="AB127" s="632">
        <f t="shared" si="25"/>
        <v>134566.26</v>
      </c>
      <c r="AC127" s="632">
        <f t="shared" si="25"/>
        <v>527032.74</v>
      </c>
      <c r="AD127" s="632">
        <f t="shared" si="25"/>
        <v>563327.76</v>
      </c>
      <c r="AE127" s="632">
        <f t="shared" si="25"/>
        <v>534562.76</v>
      </c>
      <c r="AF127" s="632">
        <f t="shared" si="25"/>
        <v>504362.76</v>
      </c>
      <c r="AG127" s="632">
        <f t="shared" si="25"/>
        <v>476062.76</v>
      </c>
      <c r="AH127" s="1603">
        <f t="shared" si="25"/>
        <v>446637.76</v>
      </c>
      <c r="AI127" s="632">
        <f t="shared" si="25"/>
        <v>417672.76</v>
      </c>
      <c r="AJ127" s="632">
        <f t="shared" si="25"/>
        <v>762338.92999999993</v>
      </c>
      <c r="AK127" s="632">
        <f t="shared" si="25"/>
        <v>355937.76</v>
      </c>
      <c r="AL127" s="632">
        <f t="shared" si="25"/>
        <v>325037.76</v>
      </c>
      <c r="AM127" s="632">
        <f t="shared" si="25"/>
        <v>295062.76</v>
      </c>
      <c r="AN127" s="632">
        <f t="shared" si="25"/>
        <v>269812.76</v>
      </c>
      <c r="AO127" s="632">
        <f t="shared" si="25"/>
        <v>249416.51</v>
      </c>
      <c r="AP127" s="632">
        <f t="shared" si="25"/>
        <v>228447.76</v>
      </c>
      <c r="AQ127" s="632">
        <f t="shared" si="25"/>
        <v>206979.01</v>
      </c>
      <c r="AR127" s="632">
        <f t="shared" si="25"/>
        <v>185207.76</v>
      </c>
      <c r="AS127" s="632">
        <f t="shared" si="25"/>
        <v>162976.53</v>
      </c>
      <c r="AT127" s="632">
        <f t="shared" si="25"/>
        <v>141142.76</v>
      </c>
      <c r="AU127" s="632">
        <f t="shared" si="25"/>
        <v>118894.63</v>
      </c>
      <c r="AV127" s="632">
        <f t="shared" si="25"/>
        <v>97705.25</v>
      </c>
      <c r="AW127" s="632">
        <f t="shared" si="25"/>
        <v>83005.75</v>
      </c>
      <c r="AX127" s="632">
        <f t="shared" si="25"/>
        <v>67537.5</v>
      </c>
      <c r="AY127" s="632">
        <f t="shared" si="25"/>
        <v>50862.5</v>
      </c>
      <c r="AZ127" s="632">
        <f t="shared" si="25"/>
        <v>33606.25</v>
      </c>
      <c r="BA127" s="632">
        <f t="shared" si="25"/>
        <v>17225</v>
      </c>
    </row>
    <row r="128" spans="1:56" ht="9.4" x14ac:dyDescent="0.3">
      <c r="A128" s="1504" t="s">
        <v>308</v>
      </c>
      <c r="B128" s="641" t="s">
        <v>8</v>
      </c>
      <c r="C128" s="642">
        <f>SUM(C90:C126)*0</f>
        <v>0</v>
      </c>
      <c r="D128" s="672"/>
      <c r="E128" s="643"/>
      <c r="F128" s="644"/>
      <c r="G128" s="644"/>
      <c r="H128" s="644"/>
      <c r="I128" s="644"/>
      <c r="J128" s="644"/>
      <c r="K128" s="644"/>
      <c r="L128" s="644"/>
      <c r="M128" s="644"/>
      <c r="N128" s="644"/>
      <c r="O128" s="644"/>
      <c r="P128" s="644"/>
      <c r="Q128" s="644"/>
      <c r="R128" s="644"/>
      <c r="S128" s="644"/>
      <c r="T128" s="644"/>
      <c r="U128" s="644"/>
      <c r="V128" s="644"/>
      <c r="W128" s="644"/>
      <c r="X128" s="644"/>
      <c r="Y128" s="644"/>
      <c r="Z128" s="644"/>
      <c r="AA128" s="1463"/>
      <c r="AH128" s="1598"/>
      <c r="AI128" s="613"/>
    </row>
    <row r="129" spans="1:54" ht="9.4" thickBot="1" x14ac:dyDescent="0.3">
      <c r="A129" s="1504" t="s">
        <v>308</v>
      </c>
      <c r="B129" s="645" t="s">
        <v>504</v>
      </c>
      <c r="C129" s="645">
        <f>SUM(C127+C87)</f>
        <v>23996697.739999998</v>
      </c>
      <c r="D129" s="645"/>
      <c r="E129" s="646"/>
      <c r="F129" s="647">
        <f t="shared" ref="F129:BA129" si="26">SUM(F87+F127)</f>
        <v>116993.5</v>
      </c>
      <c r="G129" s="647">
        <f t="shared" si="26"/>
        <v>96059</v>
      </c>
      <c r="H129" s="647">
        <f t="shared" si="26"/>
        <v>177405.4</v>
      </c>
      <c r="I129" s="647">
        <f t="shared" si="26"/>
        <v>127286</v>
      </c>
      <c r="J129" s="647">
        <f t="shared" si="26"/>
        <v>122864</v>
      </c>
      <c r="K129" s="647">
        <f t="shared" si="26"/>
        <v>452608.37</v>
      </c>
      <c r="L129" s="647">
        <f t="shared" si="26"/>
        <v>1171977.8700000001</v>
      </c>
      <c r="M129" s="647">
        <f t="shared" si="26"/>
        <v>1050209.3799999999</v>
      </c>
      <c r="N129" s="647">
        <f t="shared" si="26"/>
        <v>1062446.8700000001</v>
      </c>
      <c r="O129" s="647">
        <f t="shared" si="26"/>
        <v>1063666.8700000001</v>
      </c>
      <c r="P129" s="647">
        <f t="shared" si="26"/>
        <v>1073624.3700000001</v>
      </c>
      <c r="Q129" s="647">
        <f t="shared" si="26"/>
        <v>1072939.3700000001</v>
      </c>
      <c r="R129" s="647">
        <f t="shared" si="26"/>
        <v>1080079.3700000001</v>
      </c>
      <c r="S129" s="647">
        <f t="shared" si="26"/>
        <v>1085076.8700000001</v>
      </c>
      <c r="T129" s="647">
        <f t="shared" si="26"/>
        <v>1081040.6200000001</v>
      </c>
      <c r="U129" s="647">
        <f t="shared" si="26"/>
        <v>1184982.25</v>
      </c>
      <c r="V129" s="647">
        <f t="shared" si="26"/>
        <v>667719.92000000004</v>
      </c>
      <c r="W129" s="647">
        <f t="shared" si="26"/>
        <v>666708.75</v>
      </c>
      <c r="X129" s="647">
        <f t="shared" si="26"/>
        <v>677968.75</v>
      </c>
      <c r="Y129" s="647">
        <f t="shared" si="26"/>
        <v>632058.75</v>
      </c>
      <c r="Z129" s="647">
        <f t="shared" si="26"/>
        <v>632938.75</v>
      </c>
      <c r="AA129" s="1464">
        <f t="shared" si="26"/>
        <v>604651.19999999995</v>
      </c>
      <c r="AB129" s="647">
        <f t="shared" si="26"/>
        <v>690066.26</v>
      </c>
      <c r="AC129" s="647">
        <f t="shared" si="26"/>
        <v>1293032.74</v>
      </c>
      <c r="AD129" s="647">
        <f t="shared" si="26"/>
        <v>1358327.76</v>
      </c>
      <c r="AE129" s="647">
        <f t="shared" si="26"/>
        <v>1309562.76</v>
      </c>
      <c r="AF129" s="647">
        <f t="shared" si="26"/>
        <v>1094362.76</v>
      </c>
      <c r="AG129" s="647">
        <f t="shared" si="26"/>
        <v>1096062.76</v>
      </c>
      <c r="AH129" s="1604">
        <f t="shared" si="26"/>
        <v>1081637.76</v>
      </c>
      <c r="AI129" s="647">
        <f t="shared" si="26"/>
        <v>1047672.76</v>
      </c>
      <c r="AJ129" s="647">
        <f t="shared" si="26"/>
        <v>1432338.93</v>
      </c>
      <c r="AK129" s="647">
        <f t="shared" si="26"/>
        <v>1055937.76</v>
      </c>
      <c r="AL129" s="647">
        <f t="shared" si="26"/>
        <v>1045037.76</v>
      </c>
      <c r="AM129" s="647">
        <f t="shared" si="26"/>
        <v>1025062.76</v>
      </c>
      <c r="AN129" s="647">
        <f t="shared" si="26"/>
        <v>1009812.76</v>
      </c>
      <c r="AO129" s="647">
        <f t="shared" si="26"/>
        <v>999416.51</v>
      </c>
      <c r="AP129" s="647">
        <f t="shared" si="26"/>
        <v>998447.76</v>
      </c>
      <c r="AQ129" s="647">
        <f t="shared" si="26"/>
        <v>981979.01</v>
      </c>
      <c r="AR129" s="647">
        <f t="shared" si="26"/>
        <v>970207.76</v>
      </c>
      <c r="AS129" s="647">
        <f t="shared" si="26"/>
        <v>937976.53</v>
      </c>
      <c r="AT129" s="647">
        <f t="shared" si="26"/>
        <v>886142.76</v>
      </c>
      <c r="AU129" s="647">
        <f t="shared" si="26"/>
        <v>873894.63</v>
      </c>
      <c r="AV129" s="647">
        <f t="shared" si="26"/>
        <v>562705.25</v>
      </c>
      <c r="AW129" s="647">
        <f t="shared" si="26"/>
        <v>560005.75</v>
      </c>
      <c r="AX129" s="647">
        <f t="shared" si="26"/>
        <v>562537.5</v>
      </c>
      <c r="AY129" s="647">
        <f t="shared" si="26"/>
        <v>560862.5</v>
      </c>
      <c r="AZ129" s="647">
        <f t="shared" si="26"/>
        <v>563606.25</v>
      </c>
      <c r="BA129" s="647">
        <f t="shared" si="26"/>
        <v>17225</v>
      </c>
      <c r="BB129" s="1488"/>
    </row>
    <row r="130" spans="1:54" ht="9.75" thickTop="1" x14ac:dyDescent="0.3">
      <c r="B130" s="673" t="s">
        <v>8</v>
      </c>
      <c r="C130" s="674">
        <f>SUM(F129:AG129)</f>
        <v>22742721.270000007</v>
      </c>
      <c r="D130" s="616"/>
      <c r="E130" s="616"/>
      <c r="F130" s="616"/>
      <c r="G130" s="616"/>
      <c r="H130" s="616"/>
      <c r="I130" s="616"/>
      <c r="J130" s="616"/>
      <c r="K130" s="616"/>
      <c r="L130" s="616"/>
      <c r="M130" s="616"/>
      <c r="N130" s="616"/>
      <c r="O130" s="616"/>
      <c r="P130" s="616"/>
      <c r="Q130" s="616"/>
      <c r="R130" s="616"/>
      <c r="S130" s="616"/>
      <c r="T130" s="616"/>
      <c r="U130" s="616"/>
      <c r="V130" s="616"/>
      <c r="W130" s="616"/>
      <c r="X130" s="616"/>
      <c r="Y130" s="616"/>
      <c r="Z130" s="616"/>
      <c r="AA130" s="1472"/>
      <c r="AB130" s="616"/>
      <c r="AC130" s="616"/>
      <c r="AD130" s="616"/>
      <c r="AE130" s="616"/>
      <c r="AF130" s="616"/>
      <c r="AG130" s="616"/>
    </row>
    <row r="131" spans="1:54" x14ac:dyDescent="0.25">
      <c r="B131" s="616"/>
      <c r="C131" s="616"/>
      <c r="D131" s="616"/>
      <c r="E131" s="616"/>
      <c r="F131" s="616"/>
      <c r="G131" s="616"/>
      <c r="H131" s="616"/>
      <c r="I131" s="616"/>
      <c r="J131" s="616"/>
      <c r="K131" s="616"/>
      <c r="L131" s="616"/>
      <c r="M131" s="616"/>
      <c r="N131" s="616"/>
      <c r="O131" s="616"/>
      <c r="P131" s="616"/>
      <c r="Q131" s="616"/>
      <c r="R131" s="616"/>
      <c r="S131" s="616"/>
      <c r="T131" s="616"/>
      <c r="U131" s="616"/>
      <c r="V131" s="616"/>
      <c r="W131" s="616"/>
      <c r="X131" s="616"/>
      <c r="Y131" s="616"/>
      <c r="Z131" s="616"/>
      <c r="AA131" s="1472"/>
      <c r="AB131" s="616"/>
      <c r="AC131" s="616"/>
      <c r="AD131" s="616"/>
      <c r="AE131" s="616"/>
      <c r="AF131" s="616"/>
      <c r="AG131" s="616"/>
    </row>
    <row r="132" spans="1:54" ht="15" x14ac:dyDescent="0.4">
      <c r="B132" s="2078" t="s">
        <v>1088</v>
      </c>
      <c r="C132" s="2079"/>
      <c r="D132" s="2079"/>
      <c r="E132" s="2079"/>
      <c r="F132" s="2079"/>
      <c r="G132" s="2079"/>
      <c r="H132" s="2079"/>
      <c r="I132" s="2079"/>
      <c r="J132" s="2079"/>
      <c r="K132" s="2079"/>
      <c r="L132" s="2079"/>
      <c r="M132" s="2079"/>
      <c r="N132" s="2079"/>
      <c r="O132" s="2079"/>
      <c r="P132" s="2079"/>
      <c r="Q132" s="2079"/>
      <c r="R132" s="2079"/>
      <c r="S132" s="2079"/>
      <c r="T132" s="2079"/>
      <c r="U132" s="2079"/>
      <c r="V132" s="2079"/>
      <c r="W132" s="2079"/>
      <c r="X132" s="2079"/>
      <c r="Y132" s="2079"/>
      <c r="Z132" s="2079"/>
      <c r="AA132" s="2080"/>
      <c r="AB132" s="2079"/>
      <c r="AC132" s="2081"/>
      <c r="AD132" s="2081"/>
      <c r="AE132" s="2079"/>
      <c r="AF132" s="2079"/>
      <c r="AG132" s="2251">
        <f>SUBTOTAL(109,AG88:AG125)+ SUBTOTAL(109,AG47:AG85)</f>
        <v>1096062.76</v>
      </c>
    </row>
    <row r="133" spans="1:54" x14ac:dyDescent="0.25">
      <c r="B133" s="616"/>
      <c r="C133" s="616"/>
      <c r="D133" s="616"/>
      <c r="E133" s="616"/>
      <c r="F133" s="616"/>
      <c r="G133" s="616"/>
      <c r="H133" s="616"/>
      <c r="I133" s="616"/>
      <c r="J133" s="616"/>
      <c r="K133" s="616"/>
      <c r="L133" s="616"/>
      <c r="M133" s="616"/>
      <c r="N133" s="616"/>
      <c r="O133" s="616"/>
      <c r="P133" s="616"/>
      <c r="Q133" s="616"/>
      <c r="R133" s="616"/>
      <c r="S133" s="616"/>
      <c r="T133" s="616"/>
      <c r="U133" s="616"/>
      <c r="V133" s="616"/>
      <c r="W133" s="616"/>
      <c r="X133" s="616"/>
      <c r="Y133" s="616"/>
      <c r="Z133" s="616"/>
      <c r="AA133" s="1472"/>
      <c r="AB133" s="616"/>
      <c r="AC133" s="616"/>
      <c r="AE133" s="616"/>
      <c r="AF133" s="616"/>
      <c r="AG133" s="616"/>
    </row>
    <row r="134" spans="1:54" x14ac:dyDescent="0.25">
      <c r="B134" s="616"/>
      <c r="D134" s="613" t="s">
        <v>160</v>
      </c>
      <c r="E134" s="615" t="s">
        <v>275</v>
      </c>
      <c r="F134" s="613">
        <v>8073</v>
      </c>
    </row>
    <row r="135" spans="1:54" ht="9.4" thickBot="1" x14ac:dyDescent="0.3">
      <c r="B135" s="616"/>
      <c r="C135" s="616"/>
      <c r="D135" s="616"/>
      <c r="E135" s="616"/>
      <c r="F135" s="616"/>
      <c r="G135" s="616"/>
      <c r="H135" s="616"/>
      <c r="I135" s="616"/>
      <c r="J135" s="616"/>
      <c r="K135" s="616"/>
      <c r="L135" s="616"/>
      <c r="M135" s="616"/>
      <c r="N135" s="616"/>
      <c r="O135" s="616"/>
      <c r="P135" s="616"/>
      <c r="Q135" s="616"/>
      <c r="R135" s="616"/>
      <c r="S135" s="616"/>
      <c r="T135" s="616"/>
      <c r="U135" s="616"/>
      <c r="V135" s="616"/>
      <c r="W135" s="616"/>
      <c r="X135" s="616"/>
      <c r="Y135" s="616"/>
      <c r="Z135" s="616"/>
      <c r="AA135" s="1472"/>
      <c r="AB135" s="616"/>
      <c r="AC135" s="616"/>
      <c r="AE135" s="616"/>
      <c r="AF135" s="616"/>
      <c r="AG135" s="616"/>
    </row>
    <row r="136" spans="1:54" x14ac:dyDescent="0.25">
      <c r="B136" s="675" t="s">
        <v>1031</v>
      </c>
      <c r="C136" s="676"/>
      <c r="D136" s="676"/>
      <c r="E136" s="676"/>
      <c r="F136" s="676"/>
      <c r="G136" s="676"/>
      <c r="H136" s="676"/>
      <c r="I136" s="676"/>
      <c r="J136" s="676"/>
      <c r="K136" s="676"/>
      <c r="L136" s="676"/>
      <c r="M136" s="676"/>
      <c r="N136" s="676"/>
      <c r="O136" s="676"/>
      <c r="P136" s="676"/>
      <c r="Q136" s="676"/>
      <c r="R136" s="676"/>
      <c r="S136" s="676"/>
      <c r="T136" s="676"/>
      <c r="U136" s="676"/>
      <c r="V136" s="676"/>
      <c r="W136" s="676"/>
      <c r="X136" s="676"/>
      <c r="Y136" s="676"/>
      <c r="Z136" s="677"/>
      <c r="AA136" s="1473"/>
      <c r="AB136" s="1481"/>
      <c r="AC136" s="1481"/>
      <c r="AD136" s="616"/>
      <c r="AE136" s="616"/>
      <c r="AF136" s="616"/>
      <c r="AG136" s="616"/>
      <c r="AJ136" s="616"/>
    </row>
    <row r="137" spans="1:54" x14ac:dyDescent="0.25">
      <c r="B137" s="678"/>
      <c r="C137" s="679"/>
      <c r="D137" s="680"/>
      <c r="E137" s="680"/>
      <c r="F137" s="680"/>
      <c r="G137" s="680"/>
      <c r="H137" s="680"/>
      <c r="I137" s="680"/>
      <c r="J137" s="680"/>
      <c r="K137" s="680"/>
      <c r="L137" s="680"/>
      <c r="M137" s="680"/>
      <c r="N137" s="680"/>
      <c r="O137" s="680"/>
      <c r="P137" s="680"/>
      <c r="Q137" s="680"/>
      <c r="R137" s="680"/>
      <c r="S137" s="680"/>
      <c r="T137" s="680"/>
      <c r="U137" s="680"/>
      <c r="V137" s="680"/>
      <c r="W137" s="680"/>
      <c r="X137" s="680"/>
      <c r="Y137" s="680"/>
      <c r="Z137" s="681"/>
      <c r="AA137" s="1474"/>
      <c r="AB137" s="1513"/>
      <c r="AC137" s="1482"/>
      <c r="AD137" s="616"/>
      <c r="AE137" s="616"/>
      <c r="AF137" s="616"/>
      <c r="AG137" s="616"/>
      <c r="AJ137" s="616"/>
    </row>
    <row r="138" spans="1:54" x14ac:dyDescent="0.25">
      <c r="B138" s="678"/>
      <c r="C138" s="679"/>
      <c r="D138" s="680"/>
      <c r="E138" s="680"/>
      <c r="F138" s="680"/>
      <c r="G138" s="680"/>
      <c r="H138" s="680"/>
      <c r="I138" s="680"/>
      <c r="J138" s="680"/>
      <c r="K138" s="680"/>
      <c r="L138" s="680"/>
      <c r="M138" s="680"/>
      <c r="N138" s="680"/>
      <c r="O138" s="680"/>
      <c r="P138" s="680"/>
      <c r="Q138" s="680"/>
      <c r="R138" s="680"/>
      <c r="S138" s="680"/>
      <c r="T138" s="680"/>
      <c r="U138" s="680"/>
      <c r="V138" s="680"/>
      <c r="W138" s="680"/>
      <c r="X138" s="680"/>
      <c r="Y138" s="680"/>
      <c r="Z138" s="681"/>
      <c r="AA138" s="1474"/>
      <c r="AB138" s="1513"/>
      <c r="AC138" s="1482"/>
      <c r="AD138" s="616"/>
      <c r="AE138" s="616"/>
      <c r="AF138" s="616"/>
      <c r="AG138" s="616"/>
      <c r="AJ138" s="616"/>
    </row>
    <row r="139" spans="1:54" x14ac:dyDescent="0.25">
      <c r="B139" s="678"/>
      <c r="C139" s="679"/>
      <c r="D139" s="680"/>
      <c r="E139" s="680"/>
      <c r="F139" s="680"/>
      <c r="G139" s="680"/>
      <c r="H139" s="680"/>
      <c r="I139" s="680"/>
      <c r="J139" s="680"/>
      <c r="K139" s="680"/>
      <c r="L139" s="680"/>
      <c r="M139" s="680"/>
      <c r="N139" s="680"/>
      <c r="O139" s="680"/>
      <c r="P139" s="680"/>
      <c r="Q139" s="680"/>
      <c r="R139" s="680"/>
      <c r="S139" s="680"/>
      <c r="T139" s="680"/>
      <c r="U139" s="680"/>
      <c r="V139" s="680"/>
      <c r="W139" s="680"/>
      <c r="X139" s="680"/>
      <c r="Y139" s="680"/>
      <c r="Z139" s="681"/>
      <c r="AA139" s="1474"/>
      <c r="AB139" s="1513"/>
      <c r="AC139" s="1482"/>
      <c r="AD139" s="616"/>
      <c r="AE139" s="616"/>
      <c r="AF139" s="616"/>
      <c r="AG139" s="616"/>
      <c r="AJ139" s="616"/>
    </row>
    <row r="140" spans="1:54" x14ac:dyDescent="0.25">
      <c r="B140" s="678"/>
      <c r="C140" s="679"/>
      <c r="D140" s="680"/>
      <c r="E140" s="680"/>
      <c r="F140" s="680"/>
      <c r="G140" s="680"/>
      <c r="H140" s="680"/>
      <c r="I140" s="680"/>
      <c r="J140" s="680"/>
      <c r="K140" s="680"/>
      <c r="L140" s="680"/>
      <c r="M140" s="680"/>
      <c r="N140" s="680"/>
      <c r="O140" s="680"/>
      <c r="P140" s="680"/>
      <c r="Q140" s="680"/>
      <c r="R140" s="680"/>
      <c r="S140" s="680"/>
      <c r="T140" s="680"/>
      <c r="U140" s="680"/>
      <c r="V140" s="680"/>
      <c r="W140" s="680"/>
      <c r="X140" s="680"/>
      <c r="Y140" s="680"/>
      <c r="Z140" s="681"/>
      <c r="AA140" s="1474"/>
      <c r="AB140" s="1513"/>
      <c r="AC140" s="1482"/>
      <c r="AD140" s="616"/>
      <c r="AE140" s="616"/>
      <c r="AF140" s="616"/>
      <c r="AG140" s="616"/>
      <c r="AJ140" s="616"/>
    </row>
    <row r="141" spans="1:54" x14ac:dyDescent="0.25">
      <c r="B141" s="678"/>
      <c r="C141" s="679"/>
      <c r="D141" s="680"/>
      <c r="E141" s="680"/>
      <c r="F141" s="680"/>
      <c r="G141" s="680"/>
      <c r="H141" s="680"/>
      <c r="I141" s="680"/>
      <c r="J141" s="680"/>
      <c r="K141" s="680"/>
      <c r="L141" s="680"/>
      <c r="M141" s="680"/>
      <c r="N141" s="680"/>
      <c r="O141" s="680"/>
      <c r="P141" s="680"/>
      <c r="Q141" s="680"/>
      <c r="R141" s="680"/>
      <c r="S141" s="680"/>
      <c r="T141" s="680"/>
      <c r="U141" s="680"/>
      <c r="V141" s="680"/>
      <c r="W141" s="680"/>
      <c r="X141" s="680"/>
      <c r="Y141" s="680"/>
      <c r="Z141" s="681"/>
      <c r="AA141" s="1474"/>
      <c r="AB141" s="1513"/>
      <c r="AC141" s="1482"/>
      <c r="AD141" s="616"/>
      <c r="AE141" s="616"/>
      <c r="AF141" s="616"/>
      <c r="AG141" s="616"/>
      <c r="AJ141" s="616"/>
    </row>
    <row r="142" spans="1:54" x14ac:dyDescent="0.25">
      <c r="B142" s="678"/>
      <c r="C142" s="679"/>
      <c r="D142" s="680"/>
      <c r="E142" s="680"/>
      <c r="F142" s="680"/>
      <c r="G142" s="680"/>
      <c r="H142" s="680"/>
      <c r="I142" s="680"/>
      <c r="J142" s="680"/>
      <c r="K142" s="680"/>
      <c r="L142" s="680"/>
      <c r="M142" s="680"/>
      <c r="N142" s="680"/>
      <c r="O142" s="680"/>
      <c r="P142" s="680"/>
      <c r="Q142" s="680"/>
      <c r="R142" s="680"/>
      <c r="S142" s="680"/>
      <c r="T142" s="680"/>
      <c r="U142" s="680"/>
      <c r="V142" s="680"/>
      <c r="W142" s="680"/>
      <c r="X142" s="680"/>
      <c r="Y142" s="680"/>
      <c r="Z142" s="681"/>
      <c r="AA142" s="1474"/>
      <c r="AB142" s="1513"/>
      <c r="AC142" s="1482"/>
      <c r="AD142" s="616"/>
      <c r="AE142" s="616"/>
      <c r="AF142" s="616"/>
      <c r="AG142" s="616"/>
      <c r="AJ142" s="616"/>
    </row>
    <row r="143" spans="1:54" x14ac:dyDescent="0.25">
      <c r="B143" s="678"/>
      <c r="C143" s="679"/>
      <c r="D143" s="680"/>
      <c r="E143" s="680"/>
      <c r="F143" s="680"/>
      <c r="G143" s="680"/>
      <c r="H143" s="680"/>
      <c r="I143" s="680"/>
      <c r="J143" s="680"/>
      <c r="K143" s="680"/>
      <c r="L143" s="680"/>
      <c r="M143" s="680"/>
      <c r="N143" s="680"/>
      <c r="O143" s="680"/>
      <c r="P143" s="680"/>
      <c r="Q143" s="680"/>
      <c r="R143" s="680"/>
      <c r="S143" s="680"/>
      <c r="T143" s="680"/>
      <c r="U143" s="680"/>
      <c r="V143" s="680"/>
      <c r="W143" s="680"/>
      <c r="X143" s="680"/>
      <c r="Y143" s="680"/>
      <c r="Z143" s="681"/>
      <c r="AA143" s="1474"/>
      <c r="AB143" s="1513"/>
      <c r="AC143" s="1482"/>
      <c r="AD143" s="616"/>
      <c r="AE143" s="616"/>
      <c r="AF143" s="616"/>
      <c r="AG143" s="616"/>
      <c r="AJ143" s="616"/>
    </row>
    <row r="144" spans="1:54" x14ac:dyDescent="0.25">
      <c r="B144" s="678"/>
      <c r="C144" s="679"/>
      <c r="D144" s="680"/>
      <c r="E144" s="680"/>
      <c r="F144" s="680"/>
      <c r="G144" s="680"/>
      <c r="H144" s="680"/>
      <c r="I144" s="680"/>
      <c r="J144" s="680"/>
      <c r="K144" s="680"/>
      <c r="L144" s="680"/>
      <c r="M144" s="680"/>
      <c r="N144" s="680"/>
      <c r="O144" s="680"/>
      <c r="P144" s="680"/>
      <c r="Q144" s="680"/>
      <c r="R144" s="680"/>
      <c r="S144" s="680"/>
      <c r="T144" s="680"/>
      <c r="U144" s="680"/>
      <c r="V144" s="680"/>
      <c r="W144" s="680"/>
      <c r="X144" s="680"/>
      <c r="Y144" s="680"/>
      <c r="Z144" s="681"/>
      <c r="AA144" s="1474"/>
      <c r="AB144" s="1513"/>
      <c r="AC144" s="1482"/>
      <c r="AD144" s="616"/>
      <c r="AE144" s="616"/>
      <c r="AF144" s="616"/>
      <c r="AG144" s="616"/>
      <c r="AJ144" s="616"/>
    </row>
    <row r="145" spans="1:36" x14ac:dyDescent="0.25">
      <c r="B145" s="678"/>
      <c r="C145" s="679"/>
      <c r="D145" s="680"/>
      <c r="E145" s="680"/>
      <c r="F145" s="680"/>
      <c r="G145" s="680"/>
      <c r="H145" s="680"/>
      <c r="I145" s="680"/>
      <c r="J145" s="680"/>
      <c r="K145" s="680"/>
      <c r="L145" s="680"/>
      <c r="M145" s="680"/>
      <c r="N145" s="680"/>
      <c r="O145" s="680"/>
      <c r="P145" s="680"/>
      <c r="Q145" s="680"/>
      <c r="R145" s="680"/>
      <c r="S145" s="680"/>
      <c r="T145" s="680"/>
      <c r="U145" s="680"/>
      <c r="V145" s="680"/>
      <c r="W145" s="680"/>
      <c r="X145" s="680"/>
      <c r="Y145" s="680"/>
      <c r="Z145" s="681"/>
      <c r="AA145" s="1474"/>
      <c r="AB145" s="1513"/>
      <c r="AC145" s="1482"/>
      <c r="AD145" s="616"/>
      <c r="AE145" s="616"/>
      <c r="AF145" s="616"/>
      <c r="AG145" s="616"/>
      <c r="AJ145" s="616"/>
    </row>
    <row r="146" spans="1:36" x14ac:dyDescent="0.25">
      <c r="B146" s="678"/>
      <c r="C146" s="679"/>
      <c r="D146" s="680"/>
      <c r="E146" s="680"/>
      <c r="F146" s="680"/>
      <c r="G146" s="680"/>
      <c r="H146" s="680"/>
      <c r="I146" s="680"/>
      <c r="J146" s="680"/>
      <c r="K146" s="680"/>
      <c r="L146" s="680"/>
      <c r="M146" s="680"/>
      <c r="N146" s="680"/>
      <c r="O146" s="680"/>
      <c r="P146" s="680"/>
      <c r="Q146" s="680"/>
      <c r="R146" s="680"/>
      <c r="S146" s="680"/>
      <c r="T146" s="680"/>
      <c r="U146" s="680"/>
      <c r="V146" s="680"/>
      <c r="W146" s="680"/>
      <c r="X146" s="680"/>
      <c r="Y146" s="680"/>
      <c r="Z146" s="681"/>
      <c r="AA146" s="1474"/>
      <c r="AB146" s="1513"/>
      <c r="AC146" s="1482"/>
      <c r="AD146" s="616" t="s">
        <v>160</v>
      </c>
      <c r="AE146" s="616"/>
      <c r="AF146" s="616"/>
      <c r="AG146" s="616"/>
      <c r="AJ146" s="616"/>
    </row>
    <row r="147" spans="1:36" x14ac:dyDescent="0.25">
      <c r="B147" s="678"/>
      <c r="C147" s="679"/>
      <c r="D147" s="680"/>
      <c r="E147" s="680"/>
      <c r="F147" s="680"/>
      <c r="G147" s="680"/>
      <c r="H147" s="680"/>
      <c r="I147" s="680"/>
      <c r="J147" s="680"/>
      <c r="K147" s="680"/>
      <c r="L147" s="680"/>
      <c r="M147" s="680"/>
      <c r="N147" s="680"/>
      <c r="O147" s="680"/>
      <c r="P147" s="680"/>
      <c r="Q147" s="680"/>
      <c r="R147" s="680"/>
      <c r="S147" s="680"/>
      <c r="T147" s="680"/>
      <c r="U147" s="680"/>
      <c r="V147" s="680"/>
      <c r="W147" s="680"/>
      <c r="X147" s="680"/>
      <c r="Y147" s="680"/>
      <c r="Z147" s="681"/>
      <c r="AA147" s="1474"/>
      <c r="AB147" s="1513"/>
      <c r="AC147" s="1482"/>
      <c r="AD147" s="684"/>
      <c r="AE147" s="616"/>
      <c r="AF147" s="616"/>
      <c r="AG147" s="616"/>
      <c r="AJ147" s="616"/>
    </row>
    <row r="148" spans="1:36" x14ac:dyDescent="0.25">
      <c r="B148" s="678"/>
      <c r="C148" s="679"/>
      <c r="D148" s="680"/>
      <c r="E148" s="680"/>
      <c r="F148" s="680"/>
      <c r="G148" s="680"/>
      <c r="H148" s="680"/>
      <c r="I148" s="680"/>
      <c r="J148" s="680"/>
      <c r="K148" s="680"/>
      <c r="L148" s="680"/>
      <c r="M148" s="680"/>
      <c r="N148" s="680"/>
      <c r="O148" s="680"/>
      <c r="P148" s="680"/>
      <c r="Q148" s="680"/>
      <c r="R148" s="680"/>
      <c r="S148" s="680"/>
      <c r="T148" s="680"/>
      <c r="U148" s="680"/>
      <c r="V148" s="680"/>
      <c r="W148" s="680"/>
      <c r="X148" s="680"/>
      <c r="Y148" s="680"/>
      <c r="Z148" s="681"/>
      <c r="AA148" s="1475"/>
      <c r="AB148" s="1514"/>
      <c r="AC148" s="1482"/>
      <c r="AD148" s="616"/>
      <c r="AE148" s="616"/>
      <c r="AF148" s="616"/>
      <c r="AG148" s="616"/>
      <c r="AJ148" s="616"/>
    </row>
    <row r="149" spans="1:36" x14ac:dyDescent="0.25">
      <c r="B149" s="678"/>
      <c r="C149" s="679"/>
      <c r="D149" s="680"/>
      <c r="E149" s="680"/>
      <c r="F149" s="680"/>
      <c r="G149" s="680"/>
      <c r="H149" s="680"/>
      <c r="I149" s="680"/>
      <c r="J149" s="680"/>
      <c r="K149" s="680"/>
      <c r="L149" s="680"/>
      <c r="M149" s="680"/>
      <c r="N149" s="680"/>
      <c r="O149" s="680"/>
      <c r="P149" s="680"/>
      <c r="Q149" s="680"/>
      <c r="R149" s="680"/>
      <c r="S149" s="680"/>
      <c r="T149" s="680"/>
      <c r="U149" s="680"/>
      <c r="V149" s="680"/>
      <c r="W149" s="680"/>
      <c r="X149" s="680"/>
      <c r="Y149" s="680"/>
      <c r="Z149" s="681"/>
      <c r="AA149" s="1475"/>
      <c r="AB149" s="1514"/>
      <c r="AC149" s="1482"/>
      <c r="AD149" s="616"/>
      <c r="AE149" s="616"/>
      <c r="AF149" s="616"/>
      <c r="AG149" s="616"/>
      <c r="AJ149" s="616"/>
    </row>
    <row r="150" spans="1:36" x14ac:dyDescent="0.25">
      <c r="B150" s="678"/>
      <c r="C150" s="683"/>
      <c r="D150" s="680"/>
      <c r="E150" s="680"/>
      <c r="F150" s="680"/>
      <c r="G150" s="680"/>
      <c r="H150" s="680"/>
      <c r="I150" s="680"/>
      <c r="J150" s="680"/>
      <c r="K150" s="680"/>
      <c r="L150" s="680"/>
      <c r="M150" s="680"/>
      <c r="N150" s="680"/>
      <c r="O150" s="680"/>
      <c r="P150" s="680"/>
      <c r="Q150" s="680"/>
      <c r="R150" s="680"/>
      <c r="S150" s="680"/>
      <c r="T150" s="680"/>
      <c r="U150" s="680"/>
      <c r="V150" s="680"/>
      <c r="W150" s="680"/>
      <c r="X150" s="680"/>
      <c r="Y150" s="680"/>
      <c r="Z150" s="681"/>
      <c r="AA150" s="1475"/>
      <c r="AB150" s="1514"/>
      <c r="AC150" s="1482"/>
      <c r="AD150" s="616"/>
      <c r="AE150" s="616"/>
      <c r="AF150" s="616"/>
      <c r="AG150" s="616"/>
      <c r="AJ150" s="616"/>
    </row>
    <row r="151" spans="1:36" x14ac:dyDescent="0.25">
      <c r="A151" s="613" t="s">
        <v>547</v>
      </c>
      <c r="B151" s="682" t="s">
        <v>897</v>
      </c>
      <c r="C151" s="683"/>
      <c r="D151" s="1426"/>
      <c r="E151" s="680"/>
      <c r="F151" s="680"/>
      <c r="G151" s="680"/>
      <c r="H151" s="680"/>
      <c r="I151" s="680"/>
      <c r="J151" s="680"/>
      <c r="K151" s="680"/>
      <c r="L151" s="680"/>
      <c r="M151" s="680"/>
      <c r="N151" s="680"/>
      <c r="O151" s="680"/>
      <c r="P151" s="680"/>
      <c r="Q151" s="680"/>
      <c r="R151" s="680"/>
      <c r="S151" s="680"/>
      <c r="T151" s="680"/>
      <c r="U151" s="680"/>
      <c r="V151" s="680"/>
      <c r="W151" s="680"/>
      <c r="X151" s="680"/>
      <c r="Y151" s="680"/>
      <c r="Z151" s="681"/>
      <c r="AA151" s="1475"/>
      <c r="AB151" s="1514"/>
      <c r="AC151" s="1483">
        <f>C151*D151*360/360</f>
        <v>0</v>
      </c>
      <c r="AD151" s="616"/>
      <c r="AE151" s="616"/>
      <c r="AF151" s="616"/>
      <c r="AG151" s="616"/>
      <c r="AJ151" s="616"/>
    </row>
    <row r="152" spans="1:36" x14ac:dyDescent="0.25">
      <c r="A152" s="1504" t="s">
        <v>547</v>
      </c>
      <c r="B152" s="1413" t="s">
        <v>927</v>
      </c>
      <c r="C152" s="683">
        <v>2261680</v>
      </c>
      <c r="D152" s="1426">
        <v>3.5000000000000003E-2</v>
      </c>
      <c r="E152" s="680"/>
      <c r="F152" s="680"/>
      <c r="G152" s="680"/>
      <c r="H152" s="680"/>
      <c r="I152" s="680"/>
      <c r="J152" s="680"/>
      <c r="K152" s="680"/>
      <c r="L152" s="680"/>
      <c r="M152" s="680"/>
      <c r="N152" s="680"/>
      <c r="O152" s="680"/>
      <c r="P152" s="680"/>
      <c r="Q152" s="680"/>
      <c r="R152" s="680"/>
      <c r="S152" s="680"/>
      <c r="T152" s="680"/>
      <c r="U152" s="680"/>
      <c r="V152" s="680"/>
      <c r="W152" s="680"/>
      <c r="X152" s="680"/>
      <c r="Y152" s="680"/>
      <c r="Z152" s="681"/>
      <c r="AA152" s="1475"/>
      <c r="AB152" s="1514"/>
      <c r="AC152" s="1483">
        <f t="shared" ref="AC152:AC153" si="27">C152*D152*360/360</f>
        <v>79158.8</v>
      </c>
      <c r="AD152" s="684"/>
      <c r="AE152" s="616"/>
      <c r="AF152" s="616"/>
      <c r="AG152" s="616"/>
      <c r="AJ152" s="616"/>
    </row>
    <row r="153" spans="1:36" x14ac:dyDescent="0.25">
      <c r="A153" s="613" t="s">
        <v>547</v>
      </c>
      <c r="B153" s="685" t="s">
        <v>898</v>
      </c>
      <c r="C153" s="686">
        <v>1759063</v>
      </c>
      <c r="D153" s="1426">
        <v>3.5000000000000003E-2</v>
      </c>
      <c r="E153" s="687"/>
      <c r="F153" s="687"/>
      <c r="G153" s="687"/>
      <c r="H153" s="687"/>
      <c r="I153" s="687"/>
      <c r="J153" s="687"/>
      <c r="K153" s="687"/>
      <c r="L153" s="687"/>
      <c r="M153" s="687"/>
      <c r="N153" s="687"/>
      <c r="O153" s="687"/>
      <c r="P153" s="687"/>
      <c r="Q153" s="687"/>
      <c r="R153" s="687"/>
      <c r="S153" s="687"/>
      <c r="T153" s="687"/>
      <c r="U153" s="687"/>
      <c r="V153" s="687"/>
      <c r="W153" s="687"/>
      <c r="X153" s="687"/>
      <c r="Y153" s="687"/>
      <c r="Z153" s="688"/>
      <c r="AA153" s="1476"/>
      <c r="AB153" s="1515"/>
      <c r="AC153" s="1483">
        <f t="shared" si="27"/>
        <v>61567.205000000009</v>
      </c>
      <c r="AD153" s="684"/>
      <c r="AE153" s="616"/>
      <c r="AF153" s="684"/>
      <c r="AG153" s="616"/>
      <c r="AJ153" s="616"/>
    </row>
    <row r="154" spans="1:36" x14ac:dyDescent="0.25">
      <c r="B154" s="689"/>
      <c r="C154" s="690"/>
      <c r="D154" s="691"/>
      <c r="E154" s="691"/>
      <c r="F154" s="691"/>
      <c r="G154" s="691"/>
      <c r="H154" s="691"/>
      <c r="I154" s="691"/>
      <c r="J154" s="691"/>
      <c r="K154" s="691"/>
      <c r="L154" s="691"/>
      <c r="M154" s="691"/>
      <c r="N154" s="691"/>
      <c r="O154" s="691"/>
      <c r="P154" s="691"/>
      <c r="Q154" s="691"/>
      <c r="R154" s="691"/>
      <c r="S154" s="691"/>
      <c r="T154" s="691"/>
      <c r="U154" s="691"/>
      <c r="V154" s="691"/>
      <c r="W154" s="691"/>
      <c r="X154" s="691"/>
      <c r="Y154" s="691"/>
      <c r="Z154" s="692"/>
      <c r="AA154" s="1477"/>
      <c r="AB154" s="1485"/>
      <c r="AC154" s="1484"/>
      <c r="AD154" s="616"/>
      <c r="AE154" s="616"/>
      <c r="AF154" s="616"/>
      <c r="AG154" s="616"/>
      <c r="AJ154" s="616"/>
    </row>
    <row r="155" spans="1:36" ht="9.4" thickBot="1" x14ac:dyDescent="0.3">
      <c r="A155" s="1504" t="s">
        <v>547</v>
      </c>
      <c r="B155" s="1531" t="s">
        <v>994</v>
      </c>
      <c r="C155" s="691"/>
      <c r="D155" s="691"/>
      <c r="E155" s="691"/>
      <c r="F155" s="691"/>
      <c r="G155" s="691"/>
      <c r="H155" s="691"/>
      <c r="I155" s="691"/>
      <c r="J155" s="691"/>
      <c r="K155" s="691"/>
      <c r="L155" s="691"/>
      <c r="M155" s="691"/>
      <c r="N155" s="691"/>
      <c r="O155" s="691"/>
      <c r="P155" s="691"/>
      <c r="Q155" s="691"/>
      <c r="R155" s="691"/>
      <c r="S155" s="691"/>
      <c r="T155" s="691"/>
      <c r="U155" s="691"/>
      <c r="V155" s="691"/>
      <c r="W155" s="691"/>
      <c r="X155" s="691"/>
      <c r="Y155" s="691"/>
      <c r="Z155" s="692"/>
      <c r="AA155" s="1477">
        <f>SUM(AA137:AA153)</f>
        <v>0</v>
      </c>
      <c r="AB155" s="1485"/>
      <c r="AC155" s="1485">
        <f>(AC152+AC153)*0 + 53613</f>
        <v>53613</v>
      </c>
      <c r="AD155" s="684">
        <v>10000</v>
      </c>
      <c r="AE155" s="684"/>
      <c r="AF155" s="616"/>
      <c r="AG155" s="616"/>
      <c r="AJ155" s="616"/>
    </row>
    <row r="156" spans="1:36" x14ac:dyDescent="0.25">
      <c r="B156" s="693"/>
      <c r="C156" s="676"/>
      <c r="D156" s="676"/>
      <c r="E156" s="676"/>
      <c r="F156" s="676"/>
      <c r="G156" s="676"/>
      <c r="H156" s="676"/>
      <c r="I156" s="676"/>
      <c r="J156" s="676"/>
      <c r="K156" s="676"/>
      <c r="L156" s="676"/>
      <c r="M156" s="676"/>
      <c r="N156" s="676"/>
      <c r="O156" s="676"/>
      <c r="P156" s="676"/>
      <c r="Q156" s="676"/>
      <c r="R156" s="676"/>
      <c r="S156" s="676"/>
      <c r="T156" s="676"/>
      <c r="U156" s="676"/>
      <c r="V156" s="676"/>
      <c r="W156" s="676"/>
      <c r="X156" s="676"/>
      <c r="Y156" s="676"/>
      <c r="Z156" s="677"/>
      <c r="AA156" s="1478"/>
      <c r="AB156" s="1481"/>
      <c r="AC156" s="616"/>
      <c r="AD156" s="616"/>
      <c r="AE156" s="616"/>
      <c r="AF156" s="616"/>
      <c r="AG156" s="616"/>
    </row>
    <row r="157" spans="1:36" x14ac:dyDescent="0.25">
      <c r="B157" s="678"/>
      <c r="C157" s="679"/>
      <c r="D157" s="680"/>
      <c r="E157" s="680"/>
      <c r="F157" s="680"/>
      <c r="G157" s="680"/>
      <c r="H157" s="680"/>
      <c r="I157" s="680"/>
      <c r="J157" s="680"/>
      <c r="K157" s="680"/>
      <c r="L157" s="680"/>
      <c r="M157" s="680"/>
      <c r="N157" s="680"/>
      <c r="O157" s="680"/>
      <c r="P157" s="680"/>
      <c r="Q157" s="680"/>
      <c r="R157" s="680"/>
      <c r="S157" s="680"/>
      <c r="T157" s="680"/>
      <c r="U157" s="680"/>
      <c r="V157" s="680"/>
      <c r="W157" s="680"/>
      <c r="X157" s="680"/>
      <c r="Y157" s="680"/>
      <c r="Z157" s="681"/>
      <c r="AA157" s="1475">
        <v>19000</v>
      </c>
      <c r="AB157" s="1482"/>
      <c r="AC157" s="616"/>
      <c r="AD157" s="616"/>
      <c r="AE157" s="616"/>
      <c r="AF157" s="616"/>
      <c r="AG157" s="616"/>
    </row>
    <row r="158" spans="1:36" x14ac:dyDescent="0.25">
      <c r="B158" s="678"/>
      <c r="C158" s="680"/>
      <c r="D158" s="680"/>
      <c r="E158" s="680"/>
      <c r="F158" s="680"/>
      <c r="G158" s="680"/>
      <c r="H158" s="680"/>
      <c r="I158" s="680"/>
      <c r="J158" s="680"/>
      <c r="K158" s="680"/>
      <c r="L158" s="680"/>
      <c r="M158" s="680"/>
      <c r="N158" s="680"/>
      <c r="O158" s="680"/>
      <c r="P158" s="680"/>
      <c r="Q158" s="680"/>
      <c r="R158" s="680"/>
      <c r="S158" s="680"/>
      <c r="T158" s="680"/>
      <c r="U158" s="680"/>
      <c r="V158" s="680"/>
      <c r="W158" s="680"/>
      <c r="X158" s="680"/>
      <c r="Y158" s="680"/>
      <c r="Z158" s="681"/>
      <c r="AA158" s="1475">
        <v>27000</v>
      </c>
      <c r="AB158" s="1482"/>
      <c r="AC158" s="616"/>
      <c r="AD158" s="616"/>
      <c r="AE158" s="616"/>
      <c r="AF158" s="616"/>
      <c r="AG158" s="616"/>
    </row>
    <row r="159" spans="1:36" x14ac:dyDescent="0.25">
      <c r="B159" s="685"/>
      <c r="C159" s="680"/>
      <c r="D159" s="680"/>
      <c r="E159" s="680"/>
      <c r="F159" s="680"/>
      <c r="G159" s="680"/>
      <c r="H159" s="680"/>
      <c r="I159" s="680"/>
      <c r="J159" s="680"/>
      <c r="K159" s="680"/>
      <c r="L159" s="680"/>
      <c r="M159" s="680"/>
      <c r="N159" s="680"/>
      <c r="O159" s="680"/>
      <c r="P159" s="680"/>
      <c r="Q159" s="680"/>
      <c r="R159" s="680"/>
      <c r="S159" s="680"/>
      <c r="T159" s="680"/>
      <c r="U159" s="680"/>
      <c r="V159" s="680"/>
      <c r="W159" s="680"/>
      <c r="X159" s="680"/>
      <c r="Y159" s="680"/>
      <c r="Z159" s="681"/>
      <c r="AA159" s="1479">
        <v>50000</v>
      </c>
      <c r="AB159" s="1482"/>
      <c r="AC159" s="616"/>
      <c r="AD159" s="616"/>
      <c r="AE159" s="616"/>
      <c r="AF159" s="616"/>
      <c r="AG159" s="616"/>
    </row>
    <row r="160" spans="1:36" ht="9.4" thickBot="1" x14ac:dyDescent="0.3">
      <c r="B160" s="694"/>
      <c r="C160" s="695"/>
      <c r="D160" s="695"/>
      <c r="E160" s="695"/>
      <c r="F160" s="695"/>
      <c r="G160" s="695"/>
      <c r="H160" s="695"/>
      <c r="I160" s="695"/>
      <c r="J160" s="695"/>
      <c r="K160" s="695"/>
      <c r="L160" s="695"/>
      <c r="M160" s="695"/>
      <c r="N160" s="695"/>
      <c r="O160" s="695"/>
      <c r="P160" s="695"/>
      <c r="Q160" s="695"/>
      <c r="R160" s="695"/>
      <c r="S160" s="695"/>
      <c r="T160" s="695"/>
      <c r="U160" s="695"/>
      <c r="V160" s="695"/>
      <c r="W160" s="695"/>
      <c r="X160" s="695"/>
      <c r="Y160" s="695"/>
      <c r="Z160" s="696"/>
      <c r="AA160" s="1480">
        <f>SUM(AA157:AA159)</f>
        <v>96000</v>
      </c>
      <c r="AB160" s="1486"/>
      <c r="AC160" s="616"/>
      <c r="AD160" s="616"/>
      <c r="AE160" s="616"/>
      <c r="AF160" s="616"/>
      <c r="AG160" s="616"/>
    </row>
    <row r="162" spans="1:33" x14ac:dyDescent="0.25">
      <c r="B162" s="616"/>
      <c r="C162" s="710">
        <f>SUM(C151:C153)</f>
        <v>4020743</v>
      </c>
      <c r="D162" s="616"/>
      <c r="E162" s="616"/>
      <c r="F162" s="616"/>
      <c r="G162" s="616"/>
      <c r="H162" s="616"/>
      <c r="I162" s="616"/>
      <c r="J162" s="616"/>
      <c r="K162" s="616"/>
      <c r="L162" s="616"/>
      <c r="M162" s="616"/>
      <c r="N162" s="616"/>
      <c r="O162" s="616"/>
      <c r="P162" s="616"/>
      <c r="Q162" s="616"/>
      <c r="R162" s="616"/>
      <c r="S162" s="616"/>
      <c r="T162" s="616"/>
      <c r="U162" s="616"/>
      <c r="V162" s="616"/>
      <c r="W162" s="616"/>
      <c r="X162" s="616"/>
      <c r="Y162" s="616"/>
      <c r="Z162" s="616"/>
      <c r="AA162" s="1472"/>
      <c r="AB162" s="616"/>
      <c r="AC162" s="616"/>
      <c r="AD162" s="616"/>
      <c r="AE162" s="616"/>
      <c r="AF162" s="616"/>
      <c r="AG162" s="616"/>
    </row>
    <row r="163" spans="1:33" x14ac:dyDescent="0.25">
      <c r="B163" s="616"/>
      <c r="C163" s="1414">
        <f>C162*0.035</f>
        <v>140726.005</v>
      </c>
      <c r="D163" s="616"/>
      <c r="E163" s="616"/>
      <c r="F163" s="616"/>
      <c r="G163" s="616"/>
      <c r="H163" s="616"/>
      <c r="I163" s="616"/>
      <c r="J163" s="616"/>
      <c r="K163" s="616"/>
      <c r="L163" s="616"/>
      <c r="M163" s="616"/>
      <c r="N163" s="616"/>
      <c r="O163" s="616"/>
      <c r="P163" s="616"/>
      <c r="Q163" s="616"/>
      <c r="R163" s="616"/>
      <c r="S163" s="616"/>
      <c r="T163" s="616"/>
      <c r="U163" s="616"/>
      <c r="V163" s="616"/>
      <c r="W163" s="616"/>
      <c r="X163" s="616"/>
      <c r="Y163" s="616"/>
      <c r="Z163" s="616"/>
      <c r="AA163" s="1472"/>
      <c r="AB163" s="616"/>
      <c r="AC163" s="616"/>
      <c r="AD163" s="616"/>
      <c r="AE163" s="616"/>
      <c r="AF163" s="616"/>
      <c r="AG163" s="616"/>
    </row>
    <row r="164" spans="1:33" x14ac:dyDescent="0.25">
      <c r="B164" s="616"/>
      <c r="C164" s="616"/>
      <c r="D164" s="616"/>
      <c r="E164" s="616"/>
      <c r="F164" s="616"/>
      <c r="G164" s="616"/>
      <c r="H164" s="616"/>
      <c r="I164" s="616"/>
      <c r="J164" s="616"/>
      <c r="K164" s="616"/>
      <c r="L164" s="616"/>
      <c r="M164" s="616"/>
      <c r="N164" s="616"/>
      <c r="O164" s="616"/>
      <c r="P164" s="616"/>
      <c r="Q164" s="616"/>
      <c r="R164" s="616"/>
      <c r="S164" s="616"/>
      <c r="T164" s="616"/>
      <c r="U164" s="616"/>
      <c r="V164" s="616"/>
      <c r="W164" s="616"/>
      <c r="X164" s="616"/>
      <c r="Y164" s="616"/>
      <c r="Z164" s="616"/>
      <c r="AA164" s="1472"/>
      <c r="AB164" s="616"/>
      <c r="AC164" s="616"/>
      <c r="AD164" s="616"/>
      <c r="AE164" s="616"/>
      <c r="AF164" s="616"/>
      <c r="AG164" s="616"/>
    </row>
    <row r="165" spans="1:33" x14ac:dyDescent="0.25">
      <c r="B165" s="616"/>
      <c r="C165" s="616"/>
      <c r="D165" s="616"/>
      <c r="E165" s="616"/>
      <c r="F165" s="616"/>
      <c r="G165" s="616"/>
      <c r="H165" s="616"/>
      <c r="I165" s="616"/>
      <c r="J165" s="616"/>
      <c r="K165" s="616"/>
      <c r="L165" s="616"/>
      <c r="M165" s="616"/>
      <c r="N165" s="616"/>
      <c r="O165" s="616"/>
      <c r="P165" s="616"/>
      <c r="Q165" s="616"/>
      <c r="R165" s="616"/>
      <c r="S165" s="616"/>
      <c r="T165" s="616"/>
      <c r="U165" s="616"/>
      <c r="V165" s="616"/>
      <c r="W165" s="616"/>
      <c r="X165" s="616"/>
      <c r="Y165" s="616"/>
      <c r="Z165" s="616"/>
      <c r="AA165" s="1472"/>
      <c r="AB165" s="616"/>
      <c r="AC165" s="616"/>
      <c r="AD165" s="616"/>
      <c r="AE165" s="616"/>
      <c r="AF165" s="616"/>
      <c r="AG165" s="616"/>
    </row>
    <row r="166" spans="1:33" x14ac:dyDescent="0.25">
      <c r="B166" s="616"/>
      <c r="C166" s="616"/>
      <c r="D166" s="616"/>
      <c r="E166" s="616"/>
      <c r="F166" s="616"/>
      <c r="G166" s="616"/>
      <c r="H166" s="616"/>
      <c r="I166" s="616"/>
      <c r="J166" s="616"/>
      <c r="K166" s="616"/>
      <c r="L166" s="616"/>
      <c r="M166" s="616"/>
      <c r="N166" s="616"/>
      <c r="O166" s="616"/>
      <c r="P166" s="616"/>
      <c r="Q166" s="616"/>
      <c r="R166" s="616"/>
      <c r="S166" s="616"/>
      <c r="T166" s="616"/>
      <c r="U166" s="616"/>
      <c r="V166" s="616"/>
      <c r="W166" s="616"/>
      <c r="X166" s="616"/>
      <c r="Y166" s="616"/>
      <c r="Z166" s="616"/>
      <c r="AA166" s="1472"/>
      <c r="AB166" s="616"/>
      <c r="AC166" s="616"/>
      <c r="AD166" s="616"/>
      <c r="AE166" s="616"/>
      <c r="AF166" s="616"/>
      <c r="AG166" s="616"/>
    </row>
    <row r="167" spans="1:33" x14ac:dyDescent="0.25">
      <c r="B167" s="1502" t="s">
        <v>947</v>
      </c>
      <c r="C167" s="616"/>
      <c r="D167" s="616"/>
      <c r="E167" s="616"/>
      <c r="F167" s="616"/>
      <c r="G167" s="616"/>
      <c r="H167" s="616"/>
      <c r="I167" s="616"/>
      <c r="J167" s="616"/>
      <c r="K167" s="616"/>
      <c r="L167" s="616"/>
      <c r="M167" s="616"/>
      <c r="N167" s="616"/>
      <c r="O167" s="616"/>
      <c r="P167" s="616"/>
      <c r="Q167" s="616"/>
      <c r="R167" s="616"/>
      <c r="S167" s="616"/>
      <c r="T167" s="616"/>
      <c r="U167" s="616"/>
      <c r="V167" s="616"/>
      <c r="W167" s="616"/>
      <c r="X167" s="616"/>
      <c r="Y167" s="616"/>
      <c r="Z167" s="616"/>
      <c r="AA167" s="1472"/>
      <c r="AB167" s="616"/>
      <c r="AC167" s="616"/>
      <c r="AD167" s="616"/>
      <c r="AE167" s="616"/>
      <c r="AF167" s="616"/>
      <c r="AG167" s="616"/>
    </row>
    <row r="168" spans="1:33" x14ac:dyDescent="0.25">
      <c r="A168" s="1501"/>
      <c r="B168" s="1500" t="s">
        <v>948</v>
      </c>
      <c r="C168" s="616"/>
      <c r="D168" s="616"/>
      <c r="E168" s="616"/>
      <c r="F168" s="616"/>
      <c r="G168" s="616"/>
      <c r="H168" s="616"/>
      <c r="I168" s="616"/>
      <c r="J168" s="616"/>
      <c r="K168" s="616"/>
      <c r="L168" s="616"/>
      <c r="M168" s="616"/>
      <c r="N168" s="616"/>
      <c r="O168" s="616"/>
      <c r="P168" s="616"/>
      <c r="Q168" s="616"/>
      <c r="R168" s="616"/>
      <c r="S168" s="616"/>
      <c r="T168" s="616"/>
      <c r="U168" s="616"/>
      <c r="V168" s="616"/>
      <c r="W168" s="616"/>
      <c r="X168" s="616"/>
      <c r="Y168" s="616"/>
      <c r="Z168" s="616"/>
      <c r="AA168" s="1472"/>
      <c r="AB168" s="616"/>
      <c r="AC168" s="1578">
        <v>2085000</v>
      </c>
      <c r="AD168" s="1578">
        <v>1405000</v>
      </c>
      <c r="AE168" s="1578">
        <v>1470000</v>
      </c>
      <c r="AF168" s="1578">
        <v>755000</v>
      </c>
      <c r="AG168" s="616"/>
    </row>
    <row r="169" spans="1:33" x14ac:dyDescent="0.25">
      <c r="A169" s="1501"/>
      <c r="B169" s="1500" t="s">
        <v>949</v>
      </c>
      <c r="C169" s="616"/>
      <c r="D169" s="616"/>
      <c r="E169" s="616"/>
      <c r="F169" s="616"/>
      <c r="G169" s="616"/>
      <c r="H169" s="616"/>
      <c r="I169" s="616"/>
      <c r="J169" s="616"/>
      <c r="K169" s="616"/>
      <c r="L169" s="616"/>
      <c r="M169" s="616"/>
      <c r="N169" s="616"/>
      <c r="O169" s="616"/>
      <c r="P169" s="616"/>
      <c r="Q169" s="616"/>
      <c r="R169" s="616"/>
      <c r="S169" s="616"/>
      <c r="T169" s="616"/>
      <c r="U169" s="616"/>
      <c r="V169" s="616"/>
      <c r="W169" s="616"/>
      <c r="X169" s="616"/>
      <c r="Y169" s="616"/>
      <c r="Z169" s="616"/>
      <c r="AA169" s="1472"/>
      <c r="AB169" s="616"/>
      <c r="AC169" s="1578">
        <v>283200</v>
      </c>
      <c r="AD169" s="1578">
        <v>182250</v>
      </c>
      <c r="AE169" s="1578">
        <v>112000</v>
      </c>
      <c r="AF169" s="1578">
        <v>37750</v>
      </c>
      <c r="AG169" s="616"/>
    </row>
    <row r="170" spans="1:33" x14ac:dyDescent="0.25">
      <c r="B170" s="1500" t="s">
        <v>950</v>
      </c>
      <c r="C170" s="616"/>
      <c r="D170" s="616"/>
      <c r="E170" s="616"/>
      <c r="F170" s="616"/>
      <c r="G170" s="616"/>
      <c r="H170" s="616"/>
      <c r="I170" s="616"/>
      <c r="J170" s="616"/>
      <c r="K170" s="616"/>
      <c r="L170" s="616"/>
      <c r="M170" s="616"/>
      <c r="N170" s="616"/>
      <c r="O170" s="616"/>
      <c r="P170" s="616"/>
      <c r="Q170" s="616"/>
      <c r="R170" s="616"/>
      <c r="S170" s="616"/>
      <c r="T170" s="616"/>
      <c r="U170" s="616"/>
      <c r="V170" s="616"/>
      <c r="W170" s="616"/>
      <c r="X170" s="616"/>
      <c r="Y170" s="616"/>
      <c r="Z170" s="616"/>
      <c r="AA170" s="1472"/>
      <c r="AB170" s="616"/>
      <c r="AC170" s="1578">
        <v>1291498</v>
      </c>
      <c r="AD170" s="1578">
        <f>AC170</f>
        <v>1291498</v>
      </c>
      <c r="AE170" s="1578">
        <f>AD170</f>
        <v>1291498</v>
      </c>
      <c r="AF170" s="1578">
        <v>0</v>
      </c>
      <c r="AG170" s="616"/>
    </row>
    <row r="171" spans="1:33" x14ac:dyDescent="0.25">
      <c r="B171" s="1500" t="s">
        <v>308</v>
      </c>
      <c r="C171" s="616"/>
      <c r="D171" s="616"/>
      <c r="E171" s="616"/>
      <c r="F171" s="616"/>
      <c r="G171" s="616"/>
      <c r="H171" s="616"/>
      <c r="I171" s="616"/>
      <c r="J171" s="616"/>
      <c r="K171" s="616"/>
      <c r="L171" s="616"/>
      <c r="M171" s="616"/>
      <c r="N171" s="616"/>
      <c r="O171" s="616"/>
      <c r="P171" s="616"/>
      <c r="Q171" s="616"/>
      <c r="R171" s="616"/>
      <c r="S171" s="616"/>
      <c r="T171" s="616"/>
      <c r="U171" s="616"/>
      <c r="V171" s="616"/>
      <c r="W171" s="616"/>
      <c r="X171" s="616"/>
      <c r="Y171" s="616"/>
      <c r="Z171" s="616"/>
      <c r="AA171" s="1472"/>
      <c r="AB171" s="616"/>
      <c r="AC171" s="1578">
        <f>AC168+AC169-AC170</f>
        <v>1076702</v>
      </c>
      <c r="AD171" s="1578">
        <f>AD168+AD169-AD170</f>
        <v>295752</v>
      </c>
      <c r="AE171" s="1578">
        <f>AE168+AE169-AE170</f>
        <v>290502</v>
      </c>
      <c r="AF171" s="1578">
        <f>AF168+AF169-AF170</f>
        <v>792750</v>
      </c>
      <c r="AG171" s="616"/>
    </row>
    <row r="172" spans="1:33" x14ac:dyDescent="0.25">
      <c r="A172" s="1501" t="s">
        <v>547</v>
      </c>
      <c r="B172" s="1500" t="s">
        <v>960</v>
      </c>
      <c r="C172" s="1581">
        <v>0.28849999999999998</v>
      </c>
      <c r="D172" s="616"/>
      <c r="E172" s="616"/>
      <c r="F172" s="616"/>
      <c r="G172" s="616"/>
      <c r="H172" s="616"/>
      <c r="I172" s="616"/>
      <c r="J172" s="616"/>
      <c r="K172" s="616"/>
      <c r="L172" s="616"/>
      <c r="M172" s="616"/>
      <c r="N172" s="616"/>
      <c r="O172" s="616"/>
      <c r="P172" s="616"/>
      <c r="Q172" s="616"/>
      <c r="R172" s="616"/>
      <c r="S172" s="616"/>
      <c r="T172" s="616"/>
      <c r="U172" s="616"/>
      <c r="V172" s="616"/>
      <c r="W172" s="616"/>
      <c r="X172" s="616"/>
      <c r="Y172" s="616"/>
      <c r="Z172" s="616"/>
      <c r="AA172" s="1472"/>
      <c r="AB172" s="616"/>
      <c r="AC172" s="1578">
        <f>BUDGET!AJ437</f>
        <v>285306</v>
      </c>
      <c r="AD172" s="1578">
        <f>AD171*$C172</f>
        <v>85324.45199999999</v>
      </c>
      <c r="AE172" s="1578">
        <f>AE171*$C172</f>
        <v>83809.82699999999</v>
      </c>
      <c r="AF172" s="1578">
        <f>AF171*$C172</f>
        <v>228708.37499999997</v>
      </c>
      <c r="AG172" s="616"/>
    </row>
    <row r="173" spans="1:33" x14ac:dyDescent="0.25">
      <c r="B173" s="616"/>
      <c r="C173" s="616"/>
      <c r="D173" s="616"/>
      <c r="E173" s="616"/>
      <c r="F173" s="616"/>
      <c r="G173" s="616"/>
      <c r="H173" s="616"/>
      <c r="I173" s="616"/>
      <c r="J173" s="616"/>
      <c r="K173" s="616"/>
      <c r="L173" s="616"/>
      <c r="M173" s="616"/>
      <c r="N173" s="616"/>
      <c r="O173" s="616"/>
      <c r="P173" s="616"/>
      <c r="Q173" s="616"/>
      <c r="R173" s="616"/>
      <c r="S173" s="616"/>
      <c r="T173" s="616"/>
      <c r="U173" s="616"/>
      <c r="V173" s="616"/>
      <c r="W173" s="616"/>
      <c r="X173" s="616"/>
      <c r="Y173" s="616"/>
      <c r="Z173" s="616"/>
      <c r="AA173" s="1472"/>
      <c r="AB173" s="616"/>
      <c r="AC173" s="616"/>
      <c r="AD173" s="616"/>
      <c r="AE173" s="616"/>
      <c r="AF173" s="616"/>
      <c r="AG173" s="616"/>
    </row>
    <row r="174" spans="1:33" x14ac:dyDescent="0.25">
      <c r="B174" s="616"/>
      <c r="C174" s="616"/>
      <c r="D174" s="616"/>
      <c r="E174" s="616"/>
      <c r="F174" s="616"/>
      <c r="G174" s="616"/>
      <c r="H174" s="616"/>
      <c r="I174" s="616"/>
      <c r="J174" s="616"/>
      <c r="K174" s="616"/>
      <c r="L174" s="616"/>
      <c r="M174" s="616"/>
      <c r="N174" s="616"/>
      <c r="O174" s="616"/>
      <c r="P174" s="616"/>
      <c r="Q174" s="616"/>
      <c r="R174" s="616"/>
      <c r="S174" s="616"/>
      <c r="T174" s="616"/>
      <c r="U174" s="616"/>
      <c r="V174" s="616"/>
      <c r="W174" s="616"/>
      <c r="X174" s="616"/>
      <c r="Y174" s="616"/>
      <c r="Z174" s="616"/>
      <c r="AA174" s="1472"/>
      <c r="AB174" s="616"/>
      <c r="AC174" s="616"/>
      <c r="AD174" s="616"/>
      <c r="AE174" s="616"/>
      <c r="AF174" s="616"/>
      <c r="AG174" s="616"/>
    </row>
    <row r="175" spans="1:33" x14ac:dyDescent="0.25">
      <c r="B175" s="616"/>
      <c r="C175" s="616"/>
      <c r="D175" s="616"/>
      <c r="E175" s="616"/>
      <c r="F175" s="616"/>
      <c r="G175" s="616"/>
      <c r="H175" s="616"/>
      <c r="I175" s="616"/>
      <c r="J175" s="616"/>
      <c r="K175" s="616"/>
      <c r="L175" s="616"/>
      <c r="M175" s="616"/>
      <c r="N175" s="616"/>
      <c r="O175" s="616"/>
      <c r="P175" s="616"/>
      <c r="Q175" s="616"/>
      <c r="R175" s="616"/>
      <c r="S175" s="616"/>
      <c r="T175" s="616"/>
      <c r="U175" s="616"/>
      <c r="V175" s="616"/>
      <c r="W175" s="616"/>
      <c r="X175" s="616"/>
      <c r="Y175" s="616"/>
      <c r="Z175" s="616"/>
      <c r="AA175" s="1472"/>
      <c r="AB175" s="616"/>
      <c r="AC175" s="616"/>
      <c r="AD175" s="616"/>
      <c r="AE175" s="616"/>
      <c r="AF175" s="616"/>
      <c r="AG175" s="616"/>
    </row>
    <row r="176" spans="1:33" x14ac:dyDescent="0.25">
      <c r="AC176" s="660"/>
    </row>
    <row r="177" spans="1:36" x14ac:dyDescent="0.25">
      <c r="AC177" s="660"/>
    </row>
    <row r="178" spans="1:36" x14ac:dyDescent="0.25">
      <c r="AC178" s="660"/>
    </row>
    <row r="179" spans="1:36" x14ac:dyDescent="0.25">
      <c r="A179" s="628" t="s">
        <v>547</v>
      </c>
      <c r="B179" s="658" t="s">
        <v>579</v>
      </c>
      <c r="C179" s="613" t="s">
        <v>575</v>
      </c>
      <c r="D179" s="613" t="s">
        <v>580</v>
      </c>
      <c r="F179" s="613" t="s">
        <v>581</v>
      </c>
      <c r="G179" s="613" t="s">
        <v>581</v>
      </c>
      <c r="H179" s="613" t="s">
        <v>581</v>
      </c>
      <c r="I179" s="613" t="s">
        <v>581</v>
      </c>
      <c r="J179" s="613" t="s">
        <v>581</v>
      </c>
      <c r="K179" s="613" t="s">
        <v>581</v>
      </c>
      <c r="L179" s="613" t="s">
        <v>581</v>
      </c>
      <c r="M179" s="613" t="s">
        <v>581</v>
      </c>
      <c r="N179" s="613" t="s">
        <v>581</v>
      </c>
      <c r="AC179" s="628"/>
      <c r="AD179" s="628">
        <v>0</v>
      </c>
      <c r="AE179" s="613">
        <f t="shared" ref="AE179:AE180" si="28">AD179-AC179</f>
        <v>0</v>
      </c>
    </row>
    <row r="180" spans="1:36" x14ac:dyDescent="0.25">
      <c r="A180" s="628" t="s">
        <v>547</v>
      </c>
      <c r="B180" s="658" t="s">
        <v>460</v>
      </c>
      <c r="C180" s="613" t="s">
        <v>214</v>
      </c>
      <c r="D180" s="613" t="s">
        <v>354</v>
      </c>
      <c r="E180" s="615" t="s">
        <v>355</v>
      </c>
      <c r="F180" s="613">
        <v>2019</v>
      </c>
      <c r="G180" s="613">
        <v>2020</v>
      </c>
      <c r="H180" s="613">
        <v>2021</v>
      </c>
      <c r="I180" s="613">
        <v>2022</v>
      </c>
      <c r="J180" s="613">
        <v>2023</v>
      </c>
      <c r="K180" s="613">
        <v>2024</v>
      </c>
      <c r="L180" s="613">
        <v>2025</v>
      </c>
      <c r="M180" s="613">
        <v>2026</v>
      </c>
      <c r="N180" s="613">
        <v>2027</v>
      </c>
      <c r="AC180" s="628">
        <v>0</v>
      </c>
      <c r="AD180" s="628">
        <v>0</v>
      </c>
      <c r="AE180" s="613">
        <f t="shared" si="28"/>
        <v>0</v>
      </c>
    </row>
    <row r="181" spans="1:36" x14ac:dyDescent="0.25">
      <c r="A181" s="628" t="s">
        <v>547</v>
      </c>
      <c r="B181" s="658" t="s">
        <v>1047</v>
      </c>
      <c r="C181" s="613">
        <v>740700</v>
      </c>
      <c r="E181" s="615">
        <v>9</v>
      </c>
      <c r="F181" s="613">
        <v>90000</v>
      </c>
      <c r="G181" s="613">
        <v>90000</v>
      </c>
      <c r="H181" s="613">
        <v>0</v>
      </c>
      <c r="AB181" s="613">
        <v>90000</v>
      </c>
      <c r="AC181" s="628">
        <v>90000</v>
      </c>
      <c r="AD181" s="628">
        <v>0</v>
      </c>
    </row>
    <row r="182" spans="1:36" x14ac:dyDescent="0.25">
      <c r="A182" s="628" t="s">
        <v>547</v>
      </c>
      <c r="B182" s="658" t="s">
        <v>154</v>
      </c>
      <c r="C182" s="613">
        <v>649000</v>
      </c>
      <c r="E182" s="615">
        <v>7</v>
      </c>
      <c r="F182" s="613">
        <v>0</v>
      </c>
      <c r="G182" s="613">
        <v>0</v>
      </c>
      <c r="H182" s="613">
        <v>0</v>
      </c>
      <c r="AB182" s="613">
        <v>0</v>
      </c>
      <c r="AC182" s="653">
        <v>0</v>
      </c>
      <c r="AD182" s="653">
        <v>0</v>
      </c>
    </row>
    <row r="183" spans="1:36" x14ac:dyDescent="0.25">
      <c r="A183" s="628" t="s">
        <v>547</v>
      </c>
      <c r="B183" s="654" t="s">
        <v>937</v>
      </c>
      <c r="C183" s="613">
        <v>765000</v>
      </c>
      <c r="E183" s="615">
        <v>10</v>
      </c>
      <c r="F183" s="613">
        <v>80000</v>
      </c>
      <c r="G183" s="613">
        <v>85000</v>
      </c>
      <c r="H183" s="613">
        <v>80000</v>
      </c>
      <c r="AB183" s="613">
        <v>80000</v>
      </c>
      <c r="AC183" s="628">
        <v>85000</v>
      </c>
      <c r="AD183" s="628">
        <v>80000</v>
      </c>
    </row>
    <row r="184" spans="1:36" x14ac:dyDescent="0.25">
      <c r="A184" s="659" t="s">
        <v>547</v>
      </c>
      <c r="B184" s="6" t="s">
        <v>1048</v>
      </c>
      <c r="C184" s="613">
        <v>98000</v>
      </c>
      <c r="E184" s="615">
        <v>4</v>
      </c>
      <c r="AC184" s="6"/>
      <c r="AD184" s="6"/>
    </row>
    <row r="185" spans="1:36" x14ac:dyDescent="0.25">
      <c r="A185" s="659" t="s">
        <v>547</v>
      </c>
      <c r="B185" s="6" t="s">
        <v>392</v>
      </c>
      <c r="C185" s="613">
        <v>400000</v>
      </c>
      <c r="E185" s="615">
        <v>10</v>
      </c>
      <c r="F185" s="613">
        <v>40000</v>
      </c>
      <c r="G185" s="613">
        <v>40000</v>
      </c>
      <c r="H185" s="613">
        <v>40000</v>
      </c>
      <c r="AB185" s="613">
        <v>40000</v>
      </c>
      <c r="AC185" s="6">
        <v>40000</v>
      </c>
      <c r="AD185" s="6">
        <v>40000</v>
      </c>
    </row>
    <row r="186" spans="1:36" x14ac:dyDescent="0.25">
      <c r="A186" s="659" t="s">
        <v>547</v>
      </c>
      <c r="B186" s="6" t="s">
        <v>664</v>
      </c>
      <c r="C186" s="613">
        <v>267000</v>
      </c>
      <c r="E186" s="615">
        <v>10</v>
      </c>
      <c r="F186" s="613">
        <v>30000</v>
      </c>
      <c r="G186" s="613">
        <v>30000</v>
      </c>
      <c r="H186" s="613">
        <v>25000</v>
      </c>
      <c r="I186" s="613">
        <v>30000</v>
      </c>
      <c r="AB186" s="613">
        <v>30000</v>
      </c>
      <c r="AC186" s="6">
        <v>30000</v>
      </c>
      <c r="AD186" s="6">
        <v>25000</v>
      </c>
      <c r="AE186" s="613">
        <v>30000</v>
      </c>
      <c r="AF186" s="2075"/>
      <c r="AH186" s="1598"/>
      <c r="AI186" s="613"/>
    </row>
    <row r="187" spans="1:36" x14ac:dyDescent="0.25">
      <c r="A187" s="628" t="s">
        <v>547</v>
      </c>
      <c r="B187" s="667" t="s">
        <v>782</v>
      </c>
      <c r="C187" s="613">
        <v>1543000</v>
      </c>
      <c r="E187" s="615">
        <v>10</v>
      </c>
      <c r="F187" s="613">
        <v>160000</v>
      </c>
      <c r="G187" s="613">
        <v>170000</v>
      </c>
      <c r="H187" s="613">
        <v>165000</v>
      </c>
      <c r="I187" s="613">
        <v>165000</v>
      </c>
      <c r="AB187" s="613">
        <v>160000</v>
      </c>
      <c r="AC187" s="660">
        <v>170000</v>
      </c>
      <c r="AD187" s="660">
        <v>165000</v>
      </c>
      <c r="AE187" s="613">
        <v>165000</v>
      </c>
      <c r="AH187" s="1598"/>
      <c r="AI187" s="613"/>
    </row>
    <row r="188" spans="1:36" x14ac:dyDescent="0.25">
      <c r="A188" s="1487" t="s">
        <v>547</v>
      </c>
      <c r="B188" s="1503" t="s">
        <v>783</v>
      </c>
      <c r="C188" s="613">
        <v>70000</v>
      </c>
      <c r="E188" s="615">
        <v>7</v>
      </c>
      <c r="F188" s="613">
        <v>10000</v>
      </c>
      <c r="G188" s="613">
        <v>0</v>
      </c>
      <c r="H188" s="613">
        <v>0</v>
      </c>
      <c r="I188" s="613">
        <v>0</v>
      </c>
      <c r="AB188" s="613">
        <v>10000</v>
      </c>
      <c r="AC188" s="660">
        <v>0</v>
      </c>
      <c r="AD188" s="660">
        <v>0</v>
      </c>
      <c r="AE188" s="613">
        <v>0</v>
      </c>
    </row>
    <row r="189" spans="1:36" x14ac:dyDescent="0.25">
      <c r="A189" s="1487" t="s">
        <v>547</v>
      </c>
      <c r="B189" s="1489" t="s">
        <v>896</v>
      </c>
      <c r="C189" s="613">
        <v>1487000</v>
      </c>
      <c r="E189" s="615">
        <v>25</v>
      </c>
      <c r="F189" s="613">
        <v>37000</v>
      </c>
      <c r="G189" s="613">
        <v>40000</v>
      </c>
      <c r="H189" s="613">
        <v>40000</v>
      </c>
      <c r="I189" s="613">
        <v>45000</v>
      </c>
      <c r="J189" s="613">
        <v>45000</v>
      </c>
      <c r="K189" s="613">
        <v>45000</v>
      </c>
      <c r="L189" s="613">
        <v>50000</v>
      </c>
      <c r="M189" s="613">
        <v>50000</v>
      </c>
      <c r="N189" s="613">
        <v>50000</v>
      </c>
      <c r="AB189" s="613">
        <v>37000</v>
      </c>
      <c r="AC189" s="660">
        <v>40000</v>
      </c>
      <c r="AD189" s="660">
        <v>40000</v>
      </c>
      <c r="AE189" s="613">
        <v>45000</v>
      </c>
      <c r="AF189" s="613">
        <v>45000</v>
      </c>
      <c r="AG189" s="613">
        <v>45000</v>
      </c>
      <c r="AH189" s="1598">
        <v>50000</v>
      </c>
      <c r="AI189" s="613">
        <v>50000</v>
      </c>
      <c r="AJ189" s="613">
        <v>50000</v>
      </c>
    </row>
    <row r="190" spans="1:36" x14ac:dyDescent="0.25">
      <c r="A190" s="1487" t="s">
        <v>547</v>
      </c>
      <c r="B190" s="1490" t="s">
        <v>951</v>
      </c>
      <c r="C190" s="613">
        <v>5800000</v>
      </c>
      <c r="E190" s="615">
        <v>25</v>
      </c>
      <c r="G190" s="613">
        <v>135000</v>
      </c>
      <c r="H190" s="613">
        <v>140000</v>
      </c>
      <c r="I190" s="613">
        <v>145000</v>
      </c>
      <c r="J190" s="613">
        <v>155000</v>
      </c>
      <c r="K190" s="613">
        <v>160000</v>
      </c>
      <c r="L190" s="613">
        <v>170000</v>
      </c>
      <c r="M190" s="613">
        <v>180000</v>
      </c>
      <c r="N190" s="613">
        <v>190000</v>
      </c>
      <c r="AC190" s="660">
        <v>135000</v>
      </c>
      <c r="AD190" s="660">
        <v>140000</v>
      </c>
      <c r="AE190" s="613">
        <v>145000</v>
      </c>
      <c r="AF190" s="613">
        <v>155000</v>
      </c>
      <c r="AG190" s="613">
        <v>160000</v>
      </c>
      <c r="AH190" s="1598">
        <v>170000</v>
      </c>
      <c r="AI190" s="613">
        <v>180000</v>
      </c>
      <c r="AJ190" s="613">
        <v>190000</v>
      </c>
    </row>
    <row r="191" spans="1:36" x14ac:dyDescent="0.25">
      <c r="A191" s="628" t="s">
        <v>547</v>
      </c>
      <c r="B191" s="658" t="s">
        <v>898</v>
      </c>
      <c r="C191" s="613">
        <v>3246000</v>
      </c>
      <c r="E191" s="615">
        <v>19</v>
      </c>
      <c r="G191" s="613">
        <v>56000</v>
      </c>
      <c r="H191" s="613">
        <v>60000</v>
      </c>
      <c r="I191" s="613">
        <v>140000</v>
      </c>
      <c r="J191" s="613">
        <v>150000</v>
      </c>
      <c r="K191" s="613">
        <v>160000</v>
      </c>
      <c r="L191" s="613">
        <v>165000</v>
      </c>
      <c r="M191" s="613">
        <v>175000</v>
      </c>
      <c r="N191" s="613">
        <v>190000</v>
      </c>
      <c r="AC191" s="628">
        <v>56000</v>
      </c>
      <c r="AD191" s="653">
        <v>60000</v>
      </c>
      <c r="AE191" s="613">
        <v>140000</v>
      </c>
      <c r="AF191" s="613">
        <v>150000</v>
      </c>
      <c r="AG191" s="613">
        <v>160000</v>
      </c>
      <c r="AH191" s="1598">
        <v>165000</v>
      </c>
      <c r="AI191" s="613">
        <v>175000</v>
      </c>
      <c r="AJ191" s="613">
        <v>190000</v>
      </c>
    </row>
    <row r="192" spans="1:36" x14ac:dyDescent="0.25">
      <c r="A192" s="628" t="s">
        <v>547</v>
      </c>
      <c r="B192" s="658" t="s">
        <v>759</v>
      </c>
      <c r="C192" s="613">
        <v>2182000</v>
      </c>
      <c r="D192" s="613">
        <v>2.2200000000000001E-2</v>
      </c>
      <c r="E192" s="615">
        <v>25</v>
      </c>
      <c r="H192" s="613">
        <v>55000</v>
      </c>
      <c r="I192" s="613">
        <v>55000</v>
      </c>
      <c r="J192" s="613">
        <v>60000</v>
      </c>
      <c r="K192" s="613">
        <v>65000</v>
      </c>
      <c r="L192" s="613">
        <v>65000</v>
      </c>
      <c r="M192" s="613">
        <v>70000</v>
      </c>
      <c r="N192" s="613">
        <v>75000</v>
      </c>
      <c r="AC192" s="653"/>
      <c r="AD192" s="653">
        <v>55000</v>
      </c>
      <c r="AE192" s="613">
        <v>55000</v>
      </c>
      <c r="AF192" s="613">
        <v>60000</v>
      </c>
      <c r="AG192" s="613">
        <v>65000</v>
      </c>
      <c r="AH192" s="1598">
        <v>65000</v>
      </c>
      <c r="AI192" s="613">
        <v>70000</v>
      </c>
      <c r="AJ192" s="613">
        <v>75000</v>
      </c>
    </row>
    <row r="193" spans="1:36" x14ac:dyDescent="0.25">
      <c r="A193" s="628" t="s">
        <v>547</v>
      </c>
      <c r="B193" s="658" t="s">
        <v>998</v>
      </c>
      <c r="C193" s="613">
        <v>1665000</v>
      </c>
      <c r="D193" s="613">
        <v>2.2200000000000002</v>
      </c>
      <c r="E193" s="615">
        <v>20</v>
      </c>
      <c r="H193" s="613">
        <v>65000</v>
      </c>
      <c r="I193" s="613">
        <v>70000</v>
      </c>
      <c r="J193" s="613">
        <v>70000</v>
      </c>
      <c r="K193" s="613">
        <v>75000</v>
      </c>
      <c r="L193" s="613">
        <v>80000</v>
      </c>
      <c r="M193" s="613">
        <v>80000</v>
      </c>
      <c r="N193" s="613">
        <v>85000</v>
      </c>
      <c r="AC193" s="628"/>
      <c r="AD193" s="628">
        <v>65000</v>
      </c>
      <c r="AE193" s="613">
        <v>70000</v>
      </c>
      <c r="AF193" s="613">
        <v>70000</v>
      </c>
      <c r="AG193" s="613">
        <v>75000</v>
      </c>
      <c r="AH193" s="1608">
        <v>80000</v>
      </c>
      <c r="AI193" s="616">
        <v>80000</v>
      </c>
      <c r="AJ193" s="613">
        <v>85000</v>
      </c>
    </row>
    <row r="194" spans="1:36" x14ac:dyDescent="0.25">
      <c r="A194" s="628" t="s">
        <v>547</v>
      </c>
      <c r="B194" s="658" t="s">
        <v>1047</v>
      </c>
      <c r="C194" s="613">
        <v>109296</v>
      </c>
      <c r="E194" s="615">
        <v>9</v>
      </c>
      <c r="F194" s="613">
        <v>5400</v>
      </c>
      <c r="G194" s="613">
        <v>2700</v>
      </c>
      <c r="H194" s="613">
        <v>0</v>
      </c>
      <c r="AB194" s="613">
        <v>5400</v>
      </c>
      <c r="AC194" s="653">
        <v>2700</v>
      </c>
      <c r="AD194" s="653">
        <v>0</v>
      </c>
    </row>
    <row r="195" spans="1:36" x14ac:dyDescent="0.25">
      <c r="A195" s="1504" t="s">
        <v>547</v>
      </c>
      <c r="B195" s="654" t="s">
        <v>154</v>
      </c>
      <c r="C195" s="613">
        <v>73945</v>
      </c>
      <c r="E195" s="615">
        <v>7</v>
      </c>
      <c r="F195" s="613">
        <v>0</v>
      </c>
      <c r="G195" s="613">
        <v>0</v>
      </c>
      <c r="H195" s="613">
        <v>0</v>
      </c>
      <c r="AB195" s="613">
        <v>0</v>
      </c>
      <c r="AC195" s="628">
        <v>0</v>
      </c>
      <c r="AD195" s="628">
        <v>0</v>
      </c>
    </row>
    <row r="196" spans="1:36" x14ac:dyDescent="0.25">
      <c r="A196" s="1505" t="s">
        <v>547</v>
      </c>
      <c r="B196" s="6" t="s">
        <v>937</v>
      </c>
      <c r="C196" s="613">
        <v>127200</v>
      </c>
      <c r="E196" s="615">
        <v>10</v>
      </c>
      <c r="F196" s="613">
        <v>7510</v>
      </c>
      <c r="G196" s="613">
        <v>5110</v>
      </c>
      <c r="H196" s="613">
        <v>2560</v>
      </c>
      <c r="AB196" s="613">
        <v>7510</v>
      </c>
      <c r="AC196" s="6">
        <v>5110</v>
      </c>
      <c r="AD196" s="6">
        <v>2560</v>
      </c>
    </row>
    <row r="197" spans="1:36" x14ac:dyDescent="0.25">
      <c r="A197" s="1505" t="s">
        <v>547</v>
      </c>
      <c r="B197" s="6" t="s">
        <v>1048</v>
      </c>
      <c r="C197" s="613">
        <v>9190</v>
      </c>
      <c r="E197" s="615">
        <v>4</v>
      </c>
      <c r="F197" s="613">
        <v>0</v>
      </c>
      <c r="G197" s="613">
        <v>0</v>
      </c>
      <c r="H197" s="613">
        <v>0</v>
      </c>
      <c r="AB197" s="613">
        <v>0</v>
      </c>
      <c r="AC197" s="6">
        <v>0</v>
      </c>
      <c r="AD197" s="6">
        <v>0</v>
      </c>
    </row>
    <row r="198" spans="1:36" x14ac:dyDescent="0.25">
      <c r="A198" s="1505" t="s">
        <v>547</v>
      </c>
      <c r="B198" s="6" t="s">
        <v>392</v>
      </c>
      <c r="C198" s="613">
        <v>65160</v>
      </c>
      <c r="E198" s="615">
        <v>10</v>
      </c>
      <c r="F198" s="613">
        <v>3680</v>
      </c>
      <c r="G198" s="613">
        <v>2480</v>
      </c>
      <c r="H198" s="613">
        <v>1280</v>
      </c>
      <c r="M198" s="613">
        <v>760</v>
      </c>
      <c r="N198" s="613">
        <v>65160</v>
      </c>
      <c r="AB198" s="613">
        <v>3680</v>
      </c>
      <c r="AC198" s="6">
        <v>2480</v>
      </c>
      <c r="AD198" s="6">
        <v>1280</v>
      </c>
      <c r="AI198" s="616">
        <v>760</v>
      </c>
      <c r="AJ198" s="613">
        <v>65160</v>
      </c>
    </row>
    <row r="199" spans="1:36" x14ac:dyDescent="0.25">
      <c r="A199" s="660" t="s">
        <v>547</v>
      </c>
      <c r="B199" s="667" t="s">
        <v>664</v>
      </c>
      <c r="C199" s="613">
        <v>40060.11</v>
      </c>
      <c r="E199" s="615">
        <v>10</v>
      </c>
      <c r="F199" s="613">
        <v>2900</v>
      </c>
      <c r="G199" s="613">
        <v>1700</v>
      </c>
      <c r="H199" s="613">
        <v>1100</v>
      </c>
      <c r="I199" s="613">
        <v>600</v>
      </c>
      <c r="N199" s="613">
        <v>40060.11</v>
      </c>
      <c r="AB199" s="613">
        <v>2900</v>
      </c>
      <c r="AC199" s="660">
        <v>1700</v>
      </c>
      <c r="AD199" s="660">
        <v>1100</v>
      </c>
      <c r="AE199" s="613">
        <v>600</v>
      </c>
      <c r="AJ199" s="613">
        <v>40060.11</v>
      </c>
    </row>
    <row r="200" spans="1:36" x14ac:dyDescent="0.25">
      <c r="A200" s="1439" t="s">
        <v>547</v>
      </c>
      <c r="B200" s="1503" t="s">
        <v>776</v>
      </c>
      <c r="C200" s="613">
        <v>228175.31</v>
      </c>
      <c r="E200" s="615">
        <v>10</v>
      </c>
      <c r="F200" s="613">
        <v>16400</v>
      </c>
      <c r="G200" s="613">
        <v>10000</v>
      </c>
      <c r="H200" s="613">
        <v>6600</v>
      </c>
      <c r="I200" s="613">
        <v>3300</v>
      </c>
      <c r="N200" s="613">
        <v>228175.31</v>
      </c>
      <c r="AB200" s="613">
        <v>16400</v>
      </c>
      <c r="AC200" s="660">
        <v>10000</v>
      </c>
      <c r="AD200" s="660">
        <v>6600</v>
      </c>
      <c r="AE200" s="613">
        <v>3300</v>
      </c>
      <c r="AJ200" s="613">
        <v>228175.31</v>
      </c>
    </row>
    <row r="201" spans="1:36" x14ac:dyDescent="0.25">
      <c r="A201" s="1439" t="s">
        <v>547</v>
      </c>
      <c r="B201" s="1489" t="s">
        <v>783</v>
      </c>
      <c r="C201" s="613">
        <v>9005.83</v>
      </c>
      <c r="E201" s="615">
        <v>7</v>
      </c>
      <c r="F201" s="613">
        <v>400</v>
      </c>
      <c r="G201" s="613">
        <v>0</v>
      </c>
      <c r="H201" s="613">
        <v>0</v>
      </c>
      <c r="I201" s="613">
        <v>0</v>
      </c>
      <c r="N201" s="613">
        <v>9005.83</v>
      </c>
      <c r="AB201" s="613">
        <v>400</v>
      </c>
      <c r="AC201" s="660">
        <v>0</v>
      </c>
      <c r="AD201" s="660">
        <v>0</v>
      </c>
      <c r="AE201" s="613">
        <v>0</v>
      </c>
      <c r="AJ201" s="613">
        <v>9005.83</v>
      </c>
    </row>
    <row r="202" spans="1:36" x14ac:dyDescent="0.25">
      <c r="A202" s="1439" t="s">
        <v>547</v>
      </c>
      <c r="B202" s="1490" t="s">
        <v>896</v>
      </c>
      <c r="C202" s="613">
        <v>300438.65999999997</v>
      </c>
      <c r="E202" s="615">
        <v>25</v>
      </c>
      <c r="F202" s="613">
        <v>47123.76</v>
      </c>
      <c r="G202" s="613">
        <v>45968.76</v>
      </c>
      <c r="H202" s="613">
        <v>44768.76</v>
      </c>
      <c r="I202" s="613">
        <v>43493.760000000002</v>
      </c>
      <c r="J202" s="613">
        <v>41918.76</v>
      </c>
      <c r="K202" s="613">
        <v>40118.76</v>
      </c>
      <c r="L202" s="613">
        <v>38218.76</v>
      </c>
      <c r="M202" s="613">
        <v>36218.76</v>
      </c>
      <c r="N202" s="613">
        <v>34468.76</v>
      </c>
      <c r="AB202" s="613">
        <v>47123.76</v>
      </c>
      <c r="AC202" s="660">
        <v>45968.76</v>
      </c>
      <c r="AD202" s="660">
        <v>44768.76</v>
      </c>
      <c r="AE202" s="613">
        <v>43493.760000000002</v>
      </c>
      <c r="AF202" s="613">
        <v>41918.76</v>
      </c>
      <c r="AG202" s="613">
        <v>40118.76</v>
      </c>
      <c r="AH202" s="1598">
        <v>38218.76</v>
      </c>
      <c r="AI202" s="613">
        <v>36218.76</v>
      </c>
      <c r="AJ202" s="613">
        <v>34468.76</v>
      </c>
    </row>
    <row r="203" spans="1:36" x14ac:dyDescent="0.25">
      <c r="A203" s="613" t="s">
        <v>547</v>
      </c>
      <c r="B203" s="682" t="s">
        <v>951</v>
      </c>
      <c r="C203" s="613">
        <v>5800000</v>
      </c>
      <c r="E203" s="615">
        <v>25</v>
      </c>
      <c r="G203" s="613">
        <v>220437.5</v>
      </c>
      <c r="H203" s="613">
        <v>213687.5</v>
      </c>
      <c r="I203" s="613">
        <v>206687.5</v>
      </c>
      <c r="J203" s="613">
        <v>199437.5</v>
      </c>
      <c r="K203" s="613">
        <v>191687.5</v>
      </c>
      <c r="L203" s="613">
        <v>183687.5</v>
      </c>
      <c r="M203" s="613">
        <v>175187.5</v>
      </c>
      <c r="N203" s="613">
        <v>166187.5</v>
      </c>
      <c r="AC203" s="632">
        <v>220437.5</v>
      </c>
      <c r="AD203" s="613">
        <v>213687.5</v>
      </c>
      <c r="AE203" s="613">
        <v>206687.5</v>
      </c>
      <c r="AF203" s="613">
        <v>199437.5</v>
      </c>
      <c r="AG203" s="613">
        <v>191687.5</v>
      </c>
      <c r="AH203" s="1598">
        <v>183687.5</v>
      </c>
      <c r="AI203" s="613">
        <v>175187.5</v>
      </c>
      <c r="AJ203" s="613">
        <v>166187.5</v>
      </c>
    </row>
    <row r="204" spans="1:36" x14ac:dyDescent="0.25">
      <c r="A204" s="1504" t="s">
        <v>547</v>
      </c>
      <c r="B204" s="1413" t="s">
        <v>898</v>
      </c>
      <c r="C204" s="613">
        <v>3246000</v>
      </c>
      <c r="E204" s="615">
        <v>19</v>
      </c>
      <c r="G204" s="613">
        <v>131075</v>
      </c>
      <c r="H204" s="613">
        <v>128275</v>
      </c>
      <c r="I204" s="613">
        <v>125275</v>
      </c>
      <c r="J204" s="613">
        <v>118275</v>
      </c>
      <c r="K204" s="613">
        <v>110775</v>
      </c>
      <c r="L204" s="613">
        <v>102775</v>
      </c>
      <c r="M204" s="613">
        <v>94525</v>
      </c>
      <c r="N204" s="613">
        <v>85775</v>
      </c>
      <c r="AC204" s="632">
        <v>131075</v>
      </c>
      <c r="AD204" s="613">
        <v>128275</v>
      </c>
      <c r="AE204" s="613">
        <v>125275</v>
      </c>
      <c r="AF204" s="613">
        <v>118275</v>
      </c>
      <c r="AG204" s="613">
        <v>110775</v>
      </c>
      <c r="AH204" s="1598">
        <v>102775</v>
      </c>
      <c r="AI204" s="613">
        <v>94525</v>
      </c>
      <c r="AJ204" s="613">
        <v>85775</v>
      </c>
    </row>
    <row r="205" spans="1:36" x14ac:dyDescent="0.25">
      <c r="A205" s="613" t="s">
        <v>547</v>
      </c>
      <c r="B205" s="685" t="s">
        <v>759</v>
      </c>
      <c r="C205" s="613">
        <v>2182000</v>
      </c>
      <c r="D205" s="613">
        <v>2.2229700000000002E-2</v>
      </c>
      <c r="E205" s="615">
        <v>25</v>
      </c>
      <c r="G205" s="613">
        <v>33238.35</v>
      </c>
      <c r="H205" s="613">
        <v>67394</v>
      </c>
      <c r="I205" s="613">
        <v>64644</v>
      </c>
      <c r="J205" s="613">
        <v>61769</v>
      </c>
      <c r="K205" s="613">
        <v>58644</v>
      </c>
      <c r="L205" s="613">
        <v>55394</v>
      </c>
      <c r="M205" s="613">
        <v>52019</v>
      </c>
      <c r="N205" s="613">
        <v>48394</v>
      </c>
      <c r="AC205" s="632">
        <v>33238.35</v>
      </c>
      <c r="AD205" s="613">
        <v>67394</v>
      </c>
      <c r="AE205" s="613">
        <v>64644</v>
      </c>
      <c r="AF205" s="613">
        <v>61769</v>
      </c>
      <c r="AG205" s="613">
        <v>58644</v>
      </c>
      <c r="AH205" s="1598">
        <v>55394</v>
      </c>
      <c r="AI205" s="613">
        <v>52019</v>
      </c>
      <c r="AJ205" s="613">
        <v>48394</v>
      </c>
    </row>
    <row r="206" spans="1:36" x14ac:dyDescent="0.25">
      <c r="A206" s="1504" t="s">
        <v>547</v>
      </c>
      <c r="B206" s="1531" t="s">
        <v>998</v>
      </c>
      <c r="C206" s="613">
        <v>1665000</v>
      </c>
      <c r="D206" s="613">
        <v>2.2229700000000002E-2</v>
      </c>
      <c r="E206" s="615">
        <v>20</v>
      </c>
      <c r="G206" s="613">
        <v>26698.13</v>
      </c>
      <c r="H206" s="613">
        <v>53612.5</v>
      </c>
      <c r="I206" s="613">
        <v>50237.5</v>
      </c>
      <c r="J206" s="613">
        <v>46737.5</v>
      </c>
      <c r="K206" s="613">
        <v>43112.5</v>
      </c>
      <c r="L206" s="613">
        <v>39237.5</v>
      </c>
      <c r="M206" s="613">
        <v>35237.5</v>
      </c>
      <c r="N206" s="613">
        <v>31112.5</v>
      </c>
      <c r="AC206" s="1582">
        <v>26698.13</v>
      </c>
      <c r="AD206" s="613">
        <v>53612.5</v>
      </c>
      <c r="AE206" s="613">
        <v>50237.5</v>
      </c>
      <c r="AF206" s="613">
        <v>46737.5</v>
      </c>
      <c r="AG206" s="613">
        <v>43112.5</v>
      </c>
      <c r="AH206" s="1598">
        <v>39237.5</v>
      </c>
      <c r="AI206" s="613">
        <v>35237.5</v>
      </c>
      <c r="AJ206" s="613">
        <v>31112.5</v>
      </c>
    </row>
    <row r="207" spans="1:36" x14ac:dyDescent="0.25">
      <c r="A207" s="1501" t="s">
        <v>547</v>
      </c>
      <c r="B207" s="1500" t="s">
        <v>897</v>
      </c>
      <c r="G207" s="613">
        <v>0</v>
      </c>
      <c r="AB207" s="684"/>
      <c r="AC207" s="1583">
        <v>0</v>
      </c>
      <c r="AD207" s="1584"/>
      <c r="AE207" s="616"/>
      <c r="AF207" s="616"/>
      <c r="AG207" s="616"/>
      <c r="AJ207" s="616"/>
    </row>
    <row r="208" spans="1:36" x14ac:dyDescent="0.25">
      <c r="A208" s="613" t="s">
        <v>547</v>
      </c>
      <c r="B208" s="613" t="s">
        <v>927</v>
      </c>
      <c r="C208" s="613">
        <v>2261680</v>
      </c>
      <c r="D208" s="613">
        <v>3.5000000000000003E-2</v>
      </c>
      <c r="G208" s="613">
        <v>79158.8</v>
      </c>
      <c r="AB208" s="684"/>
      <c r="AC208" s="684">
        <v>79158.8</v>
      </c>
      <c r="AD208" s="684"/>
      <c r="AE208" s="616"/>
      <c r="AF208" s="616"/>
      <c r="AG208" s="616"/>
      <c r="AJ208" s="616"/>
    </row>
    <row r="209" spans="1:36" x14ac:dyDescent="0.25">
      <c r="A209" s="613" t="s">
        <v>547</v>
      </c>
      <c r="B209" s="613" t="s">
        <v>898</v>
      </c>
      <c r="C209" s="613">
        <v>1759063</v>
      </c>
      <c r="D209" s="613">
        <v>3.5000000000000003E-2</v>
      </c>
      <c r="G209" s="613">
        <v>61567.205000000009</v>
      </c>
      <c r="AB209" s="684"/>
      <c r="AC209" s="684">
        <v>61567.205000000009</v>
      </c>
      <c r="AD209" s="684"/>
      <c r="AE209" s="616"/>
      <c r="AF209" s="684"/>
      <c r="AG209" s="616"/>
      <c r="AJ209" s="616"/>
    </row>
    <row r="210" spans="1:36" x14ac:dyDescent="0.25">
      <c r="A210" s="613" t="s">
        <v>547</v>
      </c>
      <c r="B210" s="613" t="s">
        <v>994</v>
      </c>
      <c r="G210" s="613">
        <v>53613</v>
      </c>
      <c r="H210" s="613">
        <v>10000</v>
      </c>
      <c r="AB210" s="684"/>
      <c r="AC210" s="684">
        <v>53613</v>
      </c>
      <c r="AD210" s="684">
        <v>10000</v>
      </c>
      <c r="AE210" s="684"/>
      <c r="AF210" s="616"/>
      <c r="AG210" s="616"/>
      <c r="AJ210" s="616"/>
    </row>
    <row r="211" spans="1:36" x14ac:dyDescent="0.25">
      <c r="A211" s="613" t="s">
        <v>547</v>
      </c>
      <c r="B211" s="613" t="s">
        <v>960</v>
      </c>
      <c r="C211" s="613">
        <v>0.27229999999999999</v>
      </c>
      <c r="G211" s="613">
        <v>285306</v>
      </c>
      <c r="H211" s="613">
        <v>80533.2696</v>
      </c>
      <c r="I211" s="613">
        <v>48606.094599999997</v>
      </c>
      <c r="J211" s="613">
        <v>215865.82499999998</v>
      </c>
      <c r="AB211" s="616"/>
      <c r="AC211" s="710">
        <v>285306</v>
      </c>
      <c r="AD211" s="710">
        <v>80533.2696</v>
      </c>
      <c r="AE211" s="710">
        <v>79103.694600000003</v>
      </c>
      <c r="AF211" s="710">
        <f>AF172</f>
        <v>228708.37499999997</v>
      </c>
      <c r="AG211" s="616"/>
    </row>
    <row r="214" spans="1:36" x14ac:dyDescent="0.25">
      <c r="AE214" s="1611">
        <f>SUM(AE179:AE211)</f>
        <v>1223341.4546000001</v>
      </c>
      <c r="AF214" s="613">
        <f>SUM(AF178:AF211)</f>
        <v>1176846.135</v>
      </c>
      <c r="AG214" s="613">
        <f>SUBTOTAL(109,AG65:AG206)</f>
        <v>4237526.04</v>
      </c>
    </row>
  </sheetData>
  <autoFilter ref="A5:BD130" xr:uid="{00000000-0009-0000-0000-000008000000}"/>
  <phoneticPr fontId="39" type="noConversion"/>
  <printOptions gridLines="1"/>
  <pageMargins left="0.23622047244094491" right="0.23622047244094491" top="0.70866141732283472" bottom="0" header="0.19685039370078741" footer="0"/>
  <pageSetup scale="73" fitToWidth="3" fitToHeight="2" orientation="landscape" horizontalDpi="300" verticalDpi="300" r:id="rId1"/>
  <headerFooter alignWithMargins="0">
    <oddHeader xml:space="preserve">&amp;L29-Mar-2022
&amp;A
&amp;CTOWN OF TOPSFIELD FINANCE COMMITTEE
BUDGET WORKSHEETS
&amp;R&amp;"Arial,Bold"&amp;12VERSION 2.5
FY 2023
</oddHeader>
    <oddFooter xml:space="preserve">&amp;R
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B44"/>
  <sheetViews>
    <sheetView workbookViewId="0">
      <selection activeCell="AB37" sqref="AB37"/>
    </sheetView>
  </sheetViews>
  <sheetFormatPr defaultColWidth="8.86328125" defaultRowHeight="10.15" x14ac:dyDescent="0.3"/>
  <cols>
    <col min="1" max="1" width="36" style="81" customWidth="1"/>
    <col min="2" max="4" width="11.1328125" style="81" hidden="1" customWidth="1"/>
    <col min="5" max="5" width="11" style="364" hidden="1" customWidth="1"/>
    <col min="6" max="6" width="11.33203125" style="81" hidden="1" customWidth="1"/>
    <col min="7" max="7" width="10.86328125" style="81" hidden="1" customWidth="1"/>
    <col min="8" max="8" width="10.86328125" style="365" hidden="1" customWidth="1"/>
    <col min="9" max="9" width="11.6640625" style="81" hidden="1" customWidth="1"/>
    <col min="10" max="10" width="10.46484375" style="81" hidden="1" customWidth="1"/>
    <col min="11" max="11" width="11.33203125" style="364" hidden="1" customWidth="1"/>
    <col min="12" max="13" width="11.1328125" style="364" hidden="1" customWidth="1"/>
    <col min="14" max="14" width="10.86328125" style="81" hidden="1" customWidth="1"/>
    <col min="15" max="15" width="10" style="81" hidden="1" customWidth="1"/>
    <col min="16" max="16" width="10.86328125" style="81" hidden="1" customWidth="1"/>
    <col min="17" max="17" width="9.86328125" style="81" hidden="1" customWidth="1"/>
    <col min="18" max="32" width="8.86328125" style="81" hidden="1" customWidth="1"/>
    <col min="33" max="33" width="10" style="81" hidden="1" customWidth="1"/>
    <col min="34" max="38" width="8.86328125" style="81" hidden="1" customWidth="1"/>
    <col min="39" max="40" width="10" style="81" hidden="1" customWidth="1"/>
    <col min="41" max="44" width="8.86328125" style="81" hidden="1" customWidth="1"/>
    <col min="45" max="45" width="10.33203125" style="81" hidden="1" customWidth="1"/>
    <col min="46" max="46" width="8.86328125" style="81" customWidth="1"/>
    <col min="47" max="47" width="11.1328125" style="81" customWidth="1"/>
    <col min="48" max="49" width="8.86328125" style="81" customWidth="1"/>
    <col min="50" max="51" width="8.86328125" style="81"/>
    <col min="52" max="52" width="11.1328125" style="81" bestFit="1" customWidth="1"/>
    <col min="53" max="16384" width="8.86328125" style="81"/>
  </cols>
  <sheetData>
    <row r="1" spans="1:53" ht="11.65" x14ac:dyDescent="0.35">
      <c r="U1" s="487"/>
      <c r="V1" s="487"/>
      <c r="W1" s="487"/>
      <c r="X1" s="487"/>
      <c r="Y1" s="487"/>
      <c r="Z1" s="488"/>
      <c r="AA1" s="489"/>
      <c r="AB1" s="489"/>
      <c r="AC1" s="489"/>
      <c r="AD1" s="489"/>
      <c r="AE1" s="488"/>
      <c r="AF1" s="520"/>
      <c r="AG1" s="488"/>
      <c r="AI1" s="520"/>
      <c r="AJ1" s="486" t="s">
        <v>79</v>
      </c>
      <c r="AK1" s="520"/>
      <c r="AL1" s="520"/>
      <c r="AM1" s="488"/>
    </row>
    <row r="2" spans="1:53" ht="11.65" x14ac:dyDescent="0.35">
      <c r="U2" s="491"/>
      <c r="V2" s="492"/>
      <c r="W2" s="492"/>
      <c r="X2" s="492"/>
      <c r="Y2" s="492"/>
      <c r="Z2" s="493"/>
      <c r="AA2" s="494"/>
      <c r="AB2" s="494"/>
      <c r="AC2" s="494"/>
      <c r="AD2" s="494"/>
      <c r="AE2" s="493"/>
      <c r="AG2" s="493"/>
      <c r="AJ2" s="490" t="s">
        <v>395</v>
      </c>
      <c r="AM2" s="493"/>
    </row>
    <row r="3" spans="1:53" ht="12" thickBot="1" x14ac:dyDescent="0.4">
      <c r="U3" s="496"/>
      <c r="V3" s="497"/>
      <c r="W3" s="497"/>
      <c r="X3" s="497"/>
      <c r="Y3" s="497"/>
      <c r="Z3" s="498"/>
      <c r="AA3" s="499"/>
      <c r="AB3" s="499"/>
      <c r="AC3" s="499"/>
      <c r="AD3" s="499"/>
      <c r="AE3" s="498"/>
      <c r="AF3" s="521"/>
      <c r="AG3" s="498"/>
      <c r="AI3" s="521"/>
      <c r="AJ3" s="495" t="s">
        <v>99</v>
      </c>
      <c r="AK3" s="521"/>
      <c r="AL3" s="521"/>
      <c r="AM3" s="498"/>
    </row>
    <row r="4" spans="1:53" x14ac:dyDescent="0.3">
      <c r="A4" s="335" t="s">
        <v>100</v>
      </c>
      <c r="B4" s="339" t="s">
        <v>506</v>
      </c>
      <c r="C4" s="338" t="s">
        <v>505</v>
      </c>
      <c r="D4" s="337" t="s">
        <v>506</v>
      </c>
      <c r="E4" s="340" t="s">
        <v>505</v>
      </c>
      <c r="F4" s="341" t="s">
        <v>506</v>
      </c>
      <c r="G4" s="336" t="s">
        <v>505</v>
      </c>
      <c r="H4" s="342" t="s">
        <v>506</v>
      </c>
      <c r="I4" s="336" t="s">
        <v>505</v>
      </c>
      <c r="J4" s="336" t="s">
        <v>506</v>
      </c>
      <c r="K4" s="343" t="s">
        <v>505</v>
      </c>
      <c r="L4" s="340" t="s">
        <v>506</v>
      </c>
      <c r="M4" s="340" t="s">
        <v>505</v>
      </c>
      <c r="N4" s="340" t="s">
        <v>506</v>
      </c>
      <c r="O4" s="336" t="s">
        <v>505</v>
      </c>
      <c r="P4" s="337" t="s">
        <v>506</v>
      </c>
      <c r="Q4" s="463" t="s">
        <v>505</v>
      </c>
      <c r="R4" s="463" t="s">
        <v>506</v>
      </c>
      <c r="S4" s="465" t="s">
        <v>505</v>
      </c>
      <c r="T4" s="517" t="s">
        <v>506</v>
      </c>
      <c r="U4" s="518" t="s">
        <v>505</v>
      </c>
      <c r="V4" s="519" t="s">
        <v>493</v>
      </c>
      <c r="W4" s="522" t="s">
        <v>430</v>
      </c>
      <c r="X4" s="524" t="s">
        <v>400</v>
      </c>
      <c r="Y4" s="558" t="s">
        <v>505</v>
      </c>
      <c r="Z4" s="538" t="s">
        <v>400</v>
      </c>
      <c r="AA4" s="538" t="s">
        <v>505</v>
      </c>
      <c r="AB4" s="560" t="s">
        <v>61</v>
      </c>
      <c r="AC4" s="560" t="s">
        <v>66</v>
      </c>
      <c r="AD4" s="558" t="s">
        <v>400</v>
      </c>
      <c r="AE4" s="558" t="s">
        <v>66</v>
      </c>
      <c r="AF4" s="538" t="s">
        <v>400</v>
      </c>
      <c r="AG4" s="538" t="s">
        <v>140</v>
      </c>
      <c r="AH4" s="560" t="s">
        <v>400</v>
      </c>
      <c r="AI4" s="584" t="s">
        <v>802</v>
      </c>
      <c r="AJ4" s="558" t="s">
        <v>400</v>
      </c>
      <c r="AK4" s="558" t="s">
        <v>140</v>
      </c>
      <c r="AL4" s="538" t="s">
        <v>400</v>
      </c>
      <c r="AM4" s="538" t="s">
        <v>66</v>
      </c>
      <c r="AN4" s="560" t="s">
        <v>926</v>
      </c>
      <c r="AO4" s="584" t="s">
        <v>943</v>
      </c>
      <c r="AP4" s="558" t="s">
        <v>944</v>
      </c>
      <c r="AQ4" s="558" t="s">
        <v>943</v>
      </c>
      <c r="AR4" s="1533" t="s">
        <v>944</v>
      </c>
      <c r="AS4" s="1533" t="s">
        <v>943</v>
      </c>
      <c r="AT4" s="560" t="s">
        <v>944</v>
      </c>
      <c r="AU4" s="560" t="s">
        <v>943</v>
      </c>
      <c r="AV4" s="558" t="s">
        <v>944</v>
      </c>
      <c r="AW4" s="558" t="s">
        <v>943</v>
      </c>
      <c r="AX4" s="1533" t="s">
        <v>944</v>
      </c>
      <c r="AY4" s="1533" t="s">
        <v>943</v>
      </c>
      <c r="AZ4" s="560" t="s">
        <v>944</v>
      </c>
      <c r="BA4" s="560" t="s">
        <v>943</v>
      </c>
    </row>
    <row r="5" spans="1:53" ht="10.5" thickBot="1" x14ac:dyDescent="0.35">
      <c r="A5" s="344" t="s">
        <v>631</v>
      </c>
      <c r="B5" s="348">
        <v>2000</v>
      </c>
      <c r="C5" s="347">
        <v>2000</v>
      </c>
      <c r="D5" s="346">
        <v>2001</v>
      </c>
      <c r="E5" s="347">
        <v>2001</v>
      </c>
      <c r="F5" s="349">
        <v>2002</v>
      </c>
      <c r="G5" s="345">
        <v>2002</v>
      </c>
      <c r="H5" s="345">
        <v>2003</v>
      </c>
      <c r="I5" s="345">
        <v>2003</v>
      </c>
      <c r="J5" s="345">
        <v>2004</v>
      </c>
      <c r="K5" s="345">
        <v>2004</v>
      </c>
      <c r="L5" s="347">
        <v>2005</v>
      </c>
      <c r="M5" s="347">
        <v>2005</v>
      </c>
      <c r="N5" s="347">
        <v>2006</v>
      </c>
      <c r="O5" s="345">
        <v>2006</v>
      </c>
      <c r="P5" s="346">
        <v>2007</v>
      </c>
      <c r="Q5" s="464">
        <v>2007</v>
      </c>
      <c r="R5" s="464">
        <v>2008</v>
      </c>
      <c r="S5" s="466">
        <v>2008</v>
      </c>
      <c r="T5" s="481">
        <v>2009</v>
      </c>
      <c r="U5" s="482">
        <v>2009</v>
      </c>
      <c r="V5" s="483">
        <v>2010</v>
      </c>
      <c r="W5" s="523">
        <v>2010</v>
      </c>
      <c r="X5" s="525">
        <v>2011</v>
      </c>
      <c r="Y5" s="559">
        <v>2011</v>
      </c>
      <c r="Z5" s="539">
        <v>2012</v>
      </c>
      <c r="AA5" s="539">
        <v>2012</v>
      </c>
      <c r="AB5" s="569">
        <v>2013</v>
      </c>
      <c r="AC5" s="569">
        <v>2013</v>
      </c>
      <c r="AD5" s="559">
        <v>2014</v>
      </c>
      <c r="AE5" s="559">
        <v>2014</v>
      </c>
      <c r="AF5" s="539">
        <v>2015</v>
      </c>
      <c r="AG5" s="539">
        <v>2015</v>
      </c>
      <c r="AH5" s="569">
        <v>2016</v>
      </c>
      <c r="AI5" s="584">
        <v>2016</v>
      </c>
      <c r="AJ5" s="559">
        <v>2017</v>
      </c>
      <c r="AK5" s="559">
        <v>2017</v>
      </c>
      <c r="AL5" s="539">
        <v>2018</v>
      </c>
      <c r="AM5" s="539">
        <v>2018</v>
      </c>
      <c r="AN5" s="569">
        <v>2019</v>
      </c>
      <c r="AO5" s="584">
        <v>2019</v>
      </c>
      <c r="AP5" s="559">
        <v>2020</v>
      </c>
      <c r="AQ5" s="559">
        <v>2020</v>
      </c>
      <c r="AR5" s="1534">
        <v>2021</v>
      </c>
      <c r="AS5" s="1534">
        <v>2021</v>
      </c>
      <c r="AT5" s="569">
        <v>2022</v>
      </c>
      <c r="AU5" s="569">
        <v>2022</v>
      </c>
      <c r="AV5" s="559">
        <v>2023</v>
      </c>
      <c r="AW5" s="559">
        <v>2023</v>
      </c>
      <c r="AX5" s="1534">
        <v>2024</v>
      </c>
      <c r="AY5" s="1534">
        <v>2024</v>
      </c>
      <c r="AZ5" s="569">
        <v>2025</v>
      </c>
      <c r="BA5" s="569">
        <v>2025</v>
      </c>
    </row>
    <row r="6" spans="1:53" x14ac:dyDescent="0.3">
      <c r="A6" s="74" t="s">
        <v>160</v>
      </c>
      <c r="B6" s="350"/>
      <c r="C6" s="351"/>
      <c r="D6" s="350"/>
      <c r="E6" s="352"/>
      <c r="G6" s="353"/>
      <c r="H6" s="75"/>
      <c r="I6" s="353"/>
      <c r="J6" s="75"/>
      <c r="K6" s="353"/>
      <c r="L6" s="352"/>
      <c r="M6" s="352"/>
      <c r="N6" s="354"/>
      <c r="O6" s="77"/>
      <c r="P6" s="350"/>
      <c r="Q6" s="354"/>
      <c r="R6" s="354"/>
      <c r="S6" s="467"/>
      <c r="T6" s="354"/>
      <c r="U6" s="467"/>
      <c r="V6" s="354"/>
      <c r="W6" s="354"/>
      <c r="X6" s="354"/>
      <c r="Y6" s="536"/>
      <c r="Z6" s="537"/>
      <c r="AA6" s="536"/>
      <c r="AB6" s="536"/>
      <c r="AC6" s="536"/>
      <c r="AD6" s="537"/>
      <c r="AE6" s="537"/>
      <c r="AF6" s="354"/>
      <c r="AG6" s="537"/>
      <c r="AH6" s="354"/>
      <c r="AI6" s="354"/>
      <c r="AJ6" s="354"/>
      <c r="AL6" s="354"/>
      <c r="AM6" s="537"/>
      <c r="AN6" s="354"/>
      <c r="AO6" s="354"/>
      <c r="AP6" s="354"/>
      <c r="AT6" s="354"/>
      <c r="AU6" s="354"/>
      <c r="AV6" s="354"/>
      <c r="AW6" s="354"/>
      <c r="AX6" s="354"/>
      <c r="AY6" s="354"/>
      <c r="AZ6" s="354"/>
      <c r="BA6" s="354"/>
    </row>
    <row r="7" spans="1:53" x14ac:dyDescent="0.3">
      <c r="A7" s="77" t="s">
        <v>507</v>
      </c>
      <c r="B7" s="355">
        <v>700000</v>
      </c>
      <c r="C7" s="352">
        <v>797904.61</v>
      </c>
      <c r="D7" s="355">
        <v>700000</v>
      </c>
      <c r="E7" s="352">
        <v>851601.57</v>
      </c>
      <c r="F7" s="355">
        <v>782000</v>
      </c>
      <c r="G7" s="353">
        <v>919701.83</v>
      </c>
      <c r="H7" s="75">
        <v>800000</v>
      </c>
      <c r="I7" s="353">
        <v>901824.6</v>
      </c>
      <c r="J7" s="75">
        <v>825000</v>
      </c>
      <c r="K7" s="353">
        <v>929534.82</v>
      </c>
      <c r="L7" s="352">
        <v>825000</v>
      </c>
      <c r="M7" s="352">
        <v>850317.28</v>
      </c>
      <c r="N7" s="353">
        <v>825000</v>
      </c>
      <c r="O7" s="454">
        <v>1038285.24</v>
      </c>
      <c r="P7" s="421">
        <v>825000</v>
      </c>
      <c r="Q7" s="448"/>
      <c r="R7" s="76">
        <v>825000</v>
      </c>
      <c r="S7" s="355"/>
      <c r="T7" s="448">
        <v>800000</v>
      </c>
      <c r="U7" s="551">
        <v>860071.67</v>
      </c>
      <c r="V7" s="75">
        <v>736000</v>
      </c>
      <c r="W7" s="549">
        <v>839439.31</v>
      </c>
      <c r="X7" s="77">
        <v>736000</v>
      </c>
      <c r="Y7" s="568">
        <v>853009.39</v>
      </c>
      <c r="Z7" s="372">
        <v>736000</v>
      </c>
      <c r="AA7" s="372">
        <v>854015.84</v>
      </c>
      <c r="AB7" s="372">
        <v>756675</v>
      </c>
      <c r="AC7" s="372">
        <v>745000</v>
      </c>
      <c r="AD7" s="372">
        <v>745000</v>
      </c>
      <c r="AE7" s="372">
        <v>1023722.54</v>
      </c>
      <c r="AF7" s="574">
        <v>800975</v>
      </c>
      <c r="AG7" s="582">
        <v>1090919.81</v>
      </c>
      <c r="AH7" s="574">
        <v>905000</v>
      </c>
      <c r="AI7" s="574">
        <f>AH7</f>
        <v>905000</v>
      </c>
      <c r="AJ7" s="574">
        <v>905000</v>
      </c>
      <c r="AK7" s="585">
        <v>1277345.73</v>
      </c>
      <c r="AL7" s="574">
        <v>975000</v>
      </c>
      <c r="AM7" s="582">
        <v>1172609.78</v>
      </c>
      <c r="AN7" s="574">
        <v>1050000</v>
      </c>
      <c r="AO7" s="574">
        <f>21705+40343+25828+31697+4268+14847</f>
        <v>138688</v>
      </c>
      <c r="AP7" s="574">
        <f>AN7-1000</f>
        <v>1049000</v>
      </c>
      <c r="AQ7" s="585"/>
      <c r="AR7" s="574">
        <f>1025000</f>
        <v>1025000</v>
      </c>
      <c r="AT7" s="574">
        <f>1025000</f>
        <v>1025000</v>
      </c>
      <c r="AU7" s="77"/>
      <c r="AV7" s="574">
        <f>1025000</f>
        <v>1025000</v>
      </c>
      <c r="AW7" s="574"/>
      <c r="AX7" s="574">
        <f>AV7</f>
        <v>1025000</v>
      </c>
      <c r="AY7" s="77"/>
      <c r="AZ7" s="2363">
        <v>1100000</v>
      </c>
      <c r="BA7" s="77"/>
    </row>
    <row r="8" spans="1:53" x14ac:dyDescent="0.3">
      <c r="A8" s="77" t="s">
        <v>636</v>
      </c>
      <c r="B8" s="355">
        <v>0</v>
      </c>
      <c r="C8" s="352">
        <v>0</v>
      </c>
      <c r="D8" s="355">
        <v>0</v>
      </c>
      <c r="E8" s="352">
        <v>0</v>
      </c>
      <c r="F8" s="355">
        <v>0</v>
      </c>
      <c r="G8" s="353"/>
      <c r="H8" s="75"/>
      <c r="I8" s="353"/>
      <c r="J8" s="351"/>
      <c r="K8" s="353"/>
      <c r="L8" s="352"/>
      <c r="M8" s="352"/>
      <c r="N8" s="353"/>
      <c r="O8" s="454"/>
      <c r="P8" s="421"/>
      <c r="Q8" s="353"/>
      <c r="R8" s="469"/>
      <c r="S8" s="355"/>
      <c r="T8" s="353"/>
      <c r="U8" s="551"/>
      <c r="V8" s="75">
        <v>0</v>
      </c>
      <c r="W8" s="549">
        <v>1176</v>
      </c>
      <c r="X8" s="77"/>
      <c r="Y8" s="568">
        <v>556.44000000000005</v>
      </c>
      <c r="Z8" s="372">
        <v>1100</v>
      </c>
      <c r="AA8" s="372">
        <v>127</v>
      </c>
      <c r="AB8" s="372">
        <v>125</v>
      </c>
      <c r="AC8" s="372">
        <v>500</v>
      </c>
      <c r="AD8" s="372">
        <v>500</v>
      </c>
      <c r="AE8" s="372">
        <v>0</v>
      </c>
      <c r="AF8" s="574">
        <v>0</v>
      </c>
      <c r="AG8" s="372"/>
      <c r="AH8" s="574">
        <f t="shared" ref="AH8:AJ27" si="0">AF8</f>
        <v>0</v>
      </c>
      <c r="AI8" s="574">
        <f t="shared" ref="AI8:AI28" si="1">AH8</f>
        <v>0</v>
      </c>
      <c r="AJ8" s="574">
        <f t="shared" si="0"/>
        <v>0</v>
      </c>
      <c r="AK8" s="585"/>
      <c r="AL8" s="574">
        <v>0</v>
      </c>
      <c r="AM8" s="372"/>
      <c r="AN8" s="574"/>
      <c r="AO8" s="574"/>
      <c r="AP8" s="574">
        <f t="shared" ref="AP8:AR29" si="2">AN8</f>
        <v>0</v>
      </c>
      <c r="AQ8" s="585"/>
      <c r="AR8" s="574">
        <v>30000</v>
      </c>
      <c r="AT8" s="574">
        <v>30000</v>
      </c>
      <c r="AU8" s="77"/>
      <c r="AV8" s="574">
        <v>30000</v>
      </c>
      <c r="AW8" s="574"/>
      <c r="AX8" s="574">
        <f t="shared" ref="AX8:AX30" si="3">AV8</f>
        <v>30000</v>
      </c>
      <c r="AY8" s="77"/>
      <c r="AZ8" s="2363">
        <v>60000</v>
      </c>
      <c r="BA8" s="77"/>
    </row>
    <row r="9" spans="1:53" x14ac:dyDescent="0.3">
      <c r="A9" s="77" t="s">
        <v>385</v>
      </c>
      <c r="B9" s="355">
        <v>46000</v>
      </c>
      <c r="C9" s="352">
        <v>39491.660000000003</v>
      </c>
      <c r="D9" s="355">
        <v>39000</v>
      </c>
      <c r="E9" s="352">
        <v>33136.39</v>
      </c>
      <c r="F9" s="355">
        <v>33000</v>
      </c>
      <c r="G9" s="353">
        <v>63407.01</v>
      </c>
      <c r="H9" s="75">
        <v>33000</v>
      </c>
      <c r="I9" s="353">
        <v>38041.279999999999</v>
      </c>
      <c r="J9" s="75">
        <v>35000</v>
      </c>
      <c r="K9" s="353">
        <v>39289.19</v>
      </c>
      <c r="L9" s="352">
        <v>33500</v>
      </c>
      <c r="M9" s="352">
        <v>196015.9</v>
      </c>
      <c r="N9" s="353">
        <v>33500</v>
      </c>
      <c r="O9" s="454">
        <v>31957.14</v>
      </c>
      <c r="P9" s="421">
        <v>33500</v>
      </c>
      <c r="Q9" s="448"/>
      <c r="R9" s="76">
        <v>27500</v>
      </c>
      <c r="S9" s="355"/>
      <c r="T9" s="448">
        <v>27500</v>
      </c>
      <c r="U9" s="551">
        <v>29699.3</v>
      </c>
      <c r="V9" s="75">
        <v>25300</v>
      </c>
      <c r="W9" s="549">
        <v>39089.980000000003</v>
      </c>
      <c r="X9" s="77">
        <v>25300</v>
      </c>
      <c r="Y9" s="568">
        <v>27071.32</v>
      </c>
      <c r="Z9" s="372">
        <v>25300</v>
      </c>
      <c r="AA9" s="372">
        <v>69302</v>
      </c>
      <c r="AB9" s="372">
        <v>25300</v>
      </c>
      <c r="AC9" s="372">
        <v>25300</v>
      </c>
      <c r="AD9" s="372">
        <v>25300</v>
      </c>
      <c r="AE9" s="372">
        <v>40261.07</v>
      </c>
      <c r="AF9" s="574">
        <v>25300</v>
      </c>
      <c r="AG9" s="372">
        <v>37826.42</v>
      </c>
      <c r="AH9" s="574">
        <f t="shared" si="0"/>
        <v>25300</v>
      </c>
      <c r="AI9" s="574">
        <f t="shared" si="1"/>
        <v>25300</v>
      </c>
      <c r="AJ9" s="574">
        <f t="shared" si="0"/>
        <v>25300</v>
      </c>
      <c r="AK9" s="585">
        <v>41275.919999999998</v>
      </c>
      <c r="AL9" s="574">
        <v>26000</v>
      </c>
      <c r="AM9" s="372"/>
      <c r="AN9" s="574">
        <v>26000</v>
      </c>
      <c r="AO9" s="574"/>
      <c r="AP9" s="574">
        <f t="shared" si="2"/>
        <v>26000</v>
      </c>
      <c r="AQ9" s="585"/>
      <c r="AR9" s="574">
        <f t="shared" si="2"/>
        <v>26000</v>
      </c>
      <c r="AT9" s="574">
        <v>25000</v>
      </c>
      <c r="AU9" s="77"/>
      <c r="AV9" s="574">
        <v>25000</v>
      </c>
      <c r="AW9" s="574"/>
      <c r="AX9" s="574">
        <f t="shared" si="3"/>
        <v>25000</v>
      </c>
      <c r="AY9" s="77"/>
      <c r="AZ9" s="574">
        <v>36500</v>
      </c>
      <c r="BA9" s="77"/>
    </row>
    <row r="10" spans="1:53" x14ac:dyDescent="0.3">
      <c r="A10" s="77" t="s">
        <v>513</v>
      </c>
      <c r="B10" s="355">
        <v>39000</v>
      </c>
      <c r="C10" s="352">
        <v>39845.35</v>
      </c>
      <c r="D10" s="355">
        <v>37000</v>
      </c>
      <c r="E10" s="352">
        <v>37121.339999999997</v>
      </c>
      <c r="F10" s="355">
        <v>37000</v>
      </c>
      <c r="G10" s="353">
        <v>45320.97</v>
      </c>
      <c r="H10" s="75">
        <v>40000</v>
      </c>
      <c r="I10" s="353">
        <v>42146.47</v>
      </c>
      <c r="J10" s="75">
        <v>40000</v>
      </c>
      <c r="K10" s="353">
        <v>40360.04</v>
      </c>
      <c r="L10" s="352">
        <v>48000</v>
      </c>
      <c r="M10" s="352">
        <v>49230.12</v>
      </c>
      <c r="N10" s="353">
        <v>48000</v>
      </c>
      <c r="O10" s="454">
        <v>47605.440000000002</v>
      </c>
      <c r="P10" s="421">
        <v>48000</v>
      </c>
      <c r="Q10" s="448"/>
      <c r="R10" s="76">
        <v>47000</v>
      </c>
      <c r="S10" s="355"/>
      <c r="T10" s="448">
        <v>47000</v>
      </c>
      <c r="U10" s="551">
        <v>60457.440000000002</v>
      </c>
      <c r="V10" s="75">
        <v>60000</v>
      </c>
      <c r="W10" s="549">
        <v>65104.39</v>
      </c>
      <c r="X10" s="77">
        <v>60000</v>
      </c>
      <c r="Y10" s="568">
        <v>59874.64</v>
      </c>
      <c r="Z10" s="372">
        <v>59300</v>
      </c>
      <c r="AA10" s="372">
        <v>62377.81</v>
      </c>
      <c r="AB10" s="372">
        <v>62700</v>
      </c>
      <c r="AC10" s="372">
        <v>62700</v>
      </c>
      <c r="AD10" s="372">
        <v>62700</v>
      </c>
      <c r="AE10" s="372">
        <v>56467.89</v>
      </c>
      <c r="AF10" s="574">
        <v>56400</v>
      </c>
      <c r="AG10" s="372">
        <v>57481.23</v>
      </c>
      <c r="AH10" s="574">
        <f t="shared" si="0"/>
        <v>56400</v>
      </c>
      <c r="AI10" s="574">
        <f t="shared" si="1"/>
        <v>56400</v>
      </c>
      <c r="AJ10" s="574">
        <f t="shared" si="0"/>
        <v>56400</v>
      </c>
      <c r="AK10" s="1416">
        <v>76581.070000000007</v>
      </c>
      <c r="AL10" s="574">
        <v>56500</v>
      </c>
      <c r="AM10" s="372"/>
      <c r="AN10" s="574">
        <v>75000</v>
      </c>
      <c r="AO10" s="574"/>
      <c r="AP10" s="574">
        <f t="shared" si="2"/>
        <v>75000</v>
      </c>
      <c r="AQ10" s="1416"/>
      <c r="AR10" s="574">
        <f t="shared" si="2"/>
        <v>75000</v>
      </c>
      <c r="AT10" s="574">
        <v>85000</v>
      </c>
      <c r="AU10" s="77"/>
      <c r="AV10" s="574">
        <v>85000</v>
      </c>
      <c r="AW10" s="2364"/>
      <c r="AX10" s="574">
        <f t="shared" si="3"/>
        <v>85000</v>
      </c>
      <c r="AY10" s="77"/>
      <c r="AZ10" s="574">
        <v>72000</v>
      </c>
      <c r="BA10" s="77"/>
    </row>
    <row r="11" spans="1:53" x14ac:dyDescent="0.3">
      <c r="A11" s="77" t="s">
        <v>637</v>
      </c>
      <c r="B11" s="355">
        <v>0</v>
      </c>
      <c r="C11" s="352">
        <v>0</v>
      </c>
      <c r="D11" s="355">
        <v>0</v>
      </c>
      <c r="E11" s="352">
        <v>0</v>
      </c>
      <c r="F11" s="355">
        <v>0</v>
      </c>
      <c r="G11" s="353">
        <v>0</v>
      </c>
      <c r="H11" s="353">
        <v>0</v>
      </c>
      <c r="I11" s="353">
        <v>0</v>
      </c>
      <c r="J11" s="353">
        <v>0</v>
      </c>
      <c r="K11" s="353">
        <v>0</v>
      </c>
      <c r="L11" s="353">
        <v>0</v>
      </c>
      <c r="M11" s="353">
        <v>0</v>
      </c>
      <c r="N11" s="353">
        <v>0</v>
      </c>
      <c r="O11" s="454">
        <v>0</v>
      </c>
      <c r="P11" s="421">
        <v>0</v>
      </c>
      <c r="Q11" s="353"/>
      <c r="R11" s="469">
        <v>0</v>
      </c>
      <c r="S11" s="355">
        <v>0</v>
      </c>
      <c r="T11" s="353">
        <v>0</v>
      </c>
      <c r="U11" s="551">
        <v>0</v>
      </c>
      <c r="V11" s="75"/>
      <c r="W11" s="549">
        <v>0</v>
      </c>
      <c r="X11" s="77"/>
      <c r="Y11" s="568">
        <v>0</v>
      </c>
      <c r="Z11" s="372"/>
      <c r="AA11" s="372"/>
      <c r="AB11" s="372"/>
      <c r="AC11" s="372"/>
      <c r="AD11" s="372"/>
      <c r="AE11" s="372"/>
      <c r="AF11" s="574">
        <v>0</v>
      </c>
      <c r="AG11" s="372"/>
      <c r="AH11" s="574">
        <f t="shared" si="0"/>
        <v>0</v>
      </c>
      <c r="AI11" s="574">
        <f t="shared" si="1"/>
        <v>0</v>
      </c>
      <c r="AJ11" s="574">
        <f t="shared" si="0"/>
        <v>0</v>
      </c>
      <c r="AK11" s="585"/>
      <c r="AL11" s="574"/>
      <c r="AM11" s="372"/>
      <c r="AN11" s="574"/>
      <c r="AO11" s="574"/>
      <c r="AP11" s="574">
        <f t="shared" si="2"/>
        <v>0</v>
      </c>
      <c r="AQ11" s="585"/>
      <c r="AR11" s="574">
        <f t="shared" si="2"/>
        <v>0</v>
      </c>
      <c r="AT11" s="574">
        <f t="shared" ref="AT11:AV15" si="4">AR11</f>
        <v>0</v>
      </c>
      <c r="AU11" s="77"/>
      <c r="AV11" s="574">
        <f t="shared" si="4"/>
        <v>0</v>
      </c>
      <c r="AW11" s="574"/>
      <c r="AX11" s="574">
        <f t="shared" si="3"/>
        <v>0</v>
      </c>
      <c r="AY11" s="77"/>
      <c r="AZ11" s="77"/>
      <c r="BA11" s="77"/>
    </row>
    <row r="12" spans="1:53" x14ac:dyDescent="0.3">
      <c r="A12" s="77" t="s">
        <v>386</v>
      </c>
      <c r="B12" s="355">
        <v>0</v>
      </c>
      <c r="C12" s="352">
        <v>0</v>
      </c>
      <c r="D12" s="355">
        <v>0</v>
      </c>
      <c r="E12" s="352">
        <v>0</v>
      </c>
      <c r="F12" s="355">
        <v>0</v>
      </c>
      <c r="G12" s="353">
        <v>0</v>
      </c>
      <c r="H12" s="353">
        <v>0</v>
      </c>
      <c r="I12" s="353">
        <v>0</v>
      </c>
      <c r="J12" s="353">
        <v>0</v>
      </c>
      <c r="K12" s="353">
        <v>0</v>
      </c>
      <c r="L12" s="353">
        <v>0</v>
      </c>
      <c r="M12" s="353">
        <v>0</v>
      </c>
      <c r="N12" s="353">
        <v>0</v>
      </c>
      <c r="O12" s="454">
        <v>0</v>
      </c>
      <c r="P12" s="421">
        <v>0</v>
      </c>
      <c r="Q12" s="353"/>
      <c r="R12" s="469">
        <v>0</v>
      </c>
      <c r="S12" s="355">
        <v>0</v>
      </c>
      <c r="T12" s="353">
        <v>0</v>
      </c>
      <c r="U12" s="551">
        <v>0</v>
      </c>
      <c r="V12" s="75"/>
      <c r="W12" s="549">
        <v>0</v>
      </c>
      <c r="X12" s="77"/>
      <c r="Y12" s="568">
        <v>0</v>
      </c>
      <c r="Z12" s="372"/>
      <c r="AA12" s="372"/>
      <c r="AB12" s="372"/>
      <c r="AC12" s="372"/>
      <c r="AD12" s="372"/>
      <c r="AE12" s="372"/>
      <c r="AF12" s="574">
        <v>0</v>
      </c>
      <c r="AG12" s="372"/>
      <c r="AH12" s="574">
        <f t="shared" si="0"/>
        <v>0</v>
      </c>
      <c r="AI12" s="574">
        <f t="shared" si="1"/>
        <v>0</v>
      </c>
      <c r="AJ12" s="574">
        <f t="shared" si="0"/>
        <v>0</v>
      </c>
      <c r="AK12" s="585"/>
      <c r="AL12" s="574"/>
      <c r="AM12" s="372"/>
      <c r="AN12" s="574"/>
      <c r="AO12" s="574"/>
      <c r="AP12" s="574">
        <f t="shared" si="2"/>
        <v>0</v>
      </c>
      <c r="AQ12" s="585"/>
      <c r="AR12" s="574">
        <f t="shared" si="2"/>
        <v>0</v>
      </c>
      <c r="AT12" s="574">
        <f t="shared" si="4"/>
        <v>0</v>
      </c>
      <c r="AU12" s="77"/>
      <c r="AV12" s="574">
        <f t="shared" si="4"/>
        <v>0</v>
      </c>
      <c r="AW12" s="574"/>
      <c r="AX12" s="574">
        <f t="shared" si="3"/>
        <v>0</v>
      </c>
      <c r="AY12" s="77"/>
      <c r="AZ12" s="77"/>
      <c r="BA12" s="77"/>
    </row>
    <row r="13" spans="1:53" x14ac:dyDescent="0.3">
      <c r="A13" s="77" t="s">
        <v>384</v>
      </c>
      <c r="B13" s="355">
        <v>0</v>
      </c>
      <c r="C13" s="352">
        <v>0</v>
      </c>
      <c r="D13" s="355">
        <v>0</v>
      </c>
      <c r="E13" s="352">
        <v>0</v>
      </c>
      <c r="F13" s="355">
        <v>0</v>
      </c>
      <c r="G13" s="353">
        <v>0</v>
      </c>
      <c r="H13" s="353">
        <v>0</v>
      </c>
      <c r="I13" s="353">
        <v>0</v>
      </c>
      <c r="J13" s="353">
        <v>0</v>
      </c>
      <c r="K13" s="353">
        <v>0</v>
      </c>
      <c r="L13" s="353">
        <v>0</v>
      </c>
      <c r="M13" s="353">
        <v>0</v>
      </c>
      <c r="N13" s="353">
        <v>0</v>
      </c>
      <c r="O13" s="454">
        <v>0</v>
      </c>
      <c r="P13" s="421">
        <v>0</v>
      </c>
      <c r="Q13" s="353"/>
      <c r="R13" s="469">
        <v>0</v>
      </c>
      <c r="S13" s="355">
        <v>0</v>
      </c>
      <c r="T13" s="353">
        <v>0</v>
      </c>
      <c r="U13" s="551">
        <v>0</v>
      </c>
      <c r="V13" s="75"/>
      <c r="W13" s="549">
        <v>0</v>
      </c>
      <c r="X13" s="77"/>
      <c r="Y13" s="568">
        <v>0</v>
      </c>
      <c r="Z13" s="372"/>
      <c r="AA13" s="372"/>
      <c r="AB13" s="372"/>
      <c r="AC13" s="372"/>
      <c r="AD13" s="372"/>
      <c r="AE13" s="372"/>
      <c r="AF13" s="574">
        <v>0</v>
      </c>
      <c r="AG13" s="372"/>
      <c r="AH13" s="574">
        <f t="shared" si="0"/>
        <v>0</v>
      </c>
      <c r="AI13" s="574">
        <f t="shared" si="1"/>
        <v>0</v>
      </c>
      <c r="AJ13" s="574">
        <f t="shared" si="0"/>
        <v>0</v>
      </c>
      <c r="AK13" s="585"/>
      <c r="AL13" s="574"/>
      <c r="AM13" s="372"/>
      <c r="AN13" s="574"/>
      <c r="AO13" s="574"/>
      <c r="AP13" s="574">
        <f t="shared" si="2"/>
        <v>0</v>
      </c>
      <c r="AQ13" s="585"/>
      <c r="AR13" s="574">
        <f t="shared" si="2"/>
        <v>0</v>
      </c>
      <c r="AT13" s="574">
        <f t="shared" si="4"/>
        <v>0</v>
      </c>
      <c r="AU13" s="77"/>
      <c r="AV13" s="574">
        <f t="shared" si="4"/>
        <v>0</v>
      </c>
      <c r="AW13" s="574"/>
      <c r="AX13" s="574">
        <f t="shared" si="3"/>
        <v>0</v>
      </c>
      <c r="AY13" s="77"/>
      <c r="AZ13" s="77"/>
      <c r="BA13" s="77"/>
    </row>
    <row r="14" spans="1:53" x14ac:dyDescent="0.3">
      <c r="A14" s="77" t="s">
        <v>387</v>
      </c>
      <c r="B14" s="355">
        <v>0</v>
      </c>
      <c r="C14" s="352">
        <v>0</v>
      </c>
      <c r="D14" s="355">
        <v>0</v>
      </c>
      <c r="E14" s="352">
        <v>0</v>
      </c>
      <c r="F14" s="355">
        <v>0</v>
      </c>
      <c r="G14" s="353">
        <v>0</v>
      </c>
      <c r="H14" s="353">
        <v>0</v>
      </c>
      <c r="I14" s="353">
        <v>0</v>
      </c>
      <c r="J14" s="353">
        <v>0</v>
      </c>
      <c r="K14" s="353">
        <v>0</v>
      </c>
      <c r="L14" s="353">
        <v>0</v>
      </c>
      <c r="M14" s="353">
        <v>0</v>
      </c>
      <c r="N14" s="353">
        <v>0</v>
      </c>
      <c r="O14" s="454">
        <v>0</v>
      </c>
      <c r="P14" s="421">
        <v>0</v>
      </c>
      <c r="Q14" s="353"/>
      <c r="R14" s="469">
        <v>0</v>
      </c>
      <c r="S14" s="355">
        <v>0</v>
      </c>
      <c r="T14" s="353">
        <v>0</v>
      </c>
      <c r="U14" s="551">
        <v>0</v>
      </c>
      <c r="V14" s="75"/>
      <c r="W14" s="549">
        <v>0</v>
      </c>
      <c r="X14" s="77"/>
      <c r="Y14" s="568">
        <v>0</v>
      </c>
      <c r="Z14" s="372"/>
      <c r="AA14" s="372"/>
      <c r="AB14" s="372"/>
      <c r="AC14" s="372"/>
      <c r="AD14" s="372"/>
      <c r="AE14" s="372"/>
      <c r="AF14" s="574">
        <v>0</v>
      </c>
      <c r="AG14" s="372"/>
      <c r="AH14" s="574">
        <f t="shared" si="0"/>
        <v>0</v>
      </c>
      <c r="AI14" s="574">
        <f t="shared" si="1"/>
        <v>0</v>
      </c>
      <c r="AJ14" s="574">
        <f t="shared" si="0"/>
        <v>0</v>
      </c>
      <c r="AK14" s="585"/>
      <c r="AL14" s="574"/>
      <c r="AM14" s="372"/>
      <c r="AN14" s="574"/>
      <c r="AO14" s="574"/>
      <c r="AP14" s="574">
        <f t="shared" si="2"/>
        <v>0</v>
      </c>
      <c r="AQ14" s="585"/>
      <c r="AR14" s="574">
        <f t="shared" si="2"/>
        <v>0</v>
      </c>
      <c r="AT14" s="574">
        <f t="shared" si="4"/>
        <v>0</v>
      </c>
      <c r="AU14" s="77"/>
      <c r="AV14" s="574">
        <f t="shared" si="4"/>
        <v>0</v>
      </c>
      <c r="AW14" s="574"/>
      <c r="AX14" s="574">
        <f t="shared" si="3"/>
        <v>0</v>
      </c>
      <c r="AY14" s="77"/>
      <c r="AZ14" s="77"/>
      <c r="BA14" s="77"/>
    </row>
    <row r="15" spans="1:53" x14ac:dyDescent="0.3">
      <c r="A15" s="77" t="s">
        <v>642</v>
      </c>
      <c r="B15" s="355">
        <v>16000</v>
      </c>
      <c r="C15" s="352">
        <v>9721.57</v>
      </c>
      <c r="D15" s="355">
        <v>9000</v>
      </c>
      <c r="E15" s="352">
        <v>9155.5400000000009</v>
      </c>
      <c r="F15" s="355">
        <v>9000</v>
      </c>
      <c r="G15" s="353">
        <v>13902.65</v>
      </c>
      <c r="H15" s="75">
        <v>9000</v>
      </c>
      <c r="I15" s="353">
        <v>23823.94</v>
      </c>
      <c r="J15" s="75">
        <v>12000</v>
      </c>
      <c r="K15" s="353">
        <v>13852.35</v>
      </c>
      <c r="L15" s="352">
        <v>12000</v>
      </c>
      <c r="M15" s="352">
        <v>10458.59</v>
      </c>
      <c r="N15" s="353">
        <v>10000</v>
      </c>
      <c r="O15" s="454">
        <v>9150</v>
      </c>
      <c r="P15" s="421">
        <v>10000</v>
      </c>
      <c r="Q15" s="448"/>
      <c r="R15" s="76">
        <v>8500</v>
      </c>
      <c r="S15" s="355"/>
      <c r="T15" s="448">
        <v>8500</v>
      </c>
      <c r="U15" s="551">
        <v>9749.84</v>
      </c>
      <c r="V15" s="75">
        <v>7500</v>
      </c>
      <c r="W15" s="549">
        <v>8205.85</v>
      </c>
      <c r="X15" s="77">
        <v>7500</v>
      </c>
      <c r="Y15" s="568">
        <v>11581.27</v>
      </c>
      <c r="Z15" s="372">
        <v>7500</v>
      </c>
      <c r="AA15" s="372">
        <v>13102.25</v>
      </c>
      <c r="AB15" s="372">
        <v>8000</v>
      </c>
      <c r="AC15" s="372">
        <v>8000</v>
      </c>
      <c r="AD15" s="372">
        <v>8000</v>
      </c>
      <c r="AE15" s="372">
        <v>9343.35</v>
      </c>
      <c r="AF15" s="574">
        <v>8000</v>
      </c>
      <c r="AG15" s="582">
        <v>9353.5499999999993</v>
      </c>
      <c r="AH15" s="574">
        <f t="shared" si="0"/>
        <v>8000</v>
      </c>
      <c r="AI15" s="574">
        <f t="shared" si="1"/>
        <v>8000</v>
      </c>
      <c r="AJ15" s="574">
        <f t="shared" si="0"/>
        <v>8000</v>
      </c>
      <c r="AK15" s="585">
        <v>10401.700000000001</v>
      </c>
      <c r="AL15" s="574">
        <v>8000</v>
      </c>
      <c r="AM15" s="582"/>
      <c r="AN15" s="574">
        <v>8000</v>
      </c>
      <c r="AO15" s="574"/>
      <c r="AP15" s="574">
        <f t="shared" si="2"/>
        <v>8000</v>
      </c>
      <c r="AQ15" s="585"/>
      <c r="AR15" s="574">
        <f t="shared" si="2"/>
        <v>8000</v>
      </c>
      <c r="AT15" s="574">
        <f t="shared" si="4"/>
        <v>8000</v>
      </c>
      <c r="AU15" s="77"/>
      <c r="AV15" s="574">
        <f t="shared" si="4"/>
        <v>8000</v>
      </c>
      <c r="AW15" s="574"/>
      <c r="AX15" s="574">
        <f t="shared" si="3"/>
        <v>8000</v>
      </c>
      <c r="AY15" s="77"/>
      <c r="AZ15" s="77">
        <v>21000</v>
      </c>
      <c r="BA15" s="77"/>
    </row>
    <row r="16" spans="1:53" x14ac:dyDescent="0.3">
      <c r="A16" s="77" t="s">
        <v>646</v>
      </c>
      <c r="B16" s="355">
        <v>51000</v>
      </c>
      <c r="C16" s="352">
        <v>59787.78</v>
      </c>
      <c r="D16" s="355">
        <v>59000</v>
      </c>
      <c r="E16" s="352">
        <v>53158.26</v>
      </c>
      <c r="F16" s="355">
        <v>53000</v>
      </c>
      <c r="G16" s="353">
        <v>55538.45</v>
      </c>
      <c r="H16" s="75">
        <v>53000</v>
      </c>
      <c r="I16" s="353">
        <v>60084.79</v>
      </c>
      <c r="J16" s="75">
        <v>58000</v>
      </c>
      <c r="K16" s="353">
        <v>59359.99</v>
      </c>
      <c r="L16" s="352">
        <v>58000</v>
      </c>
      <c r="M16" s="352">
        <v>88795.69</v>
      </c>
      <c r="N16" s="353">
        <v>75000</v>
      </c>
      <c r="O16" s="454">
        <v>90905.22</v>
      </c>
      <c r="P16" s="421">
        <v>75000</v>
      </c>
      <c r="Q16" s="448"/>
      <c r="R16" s="76">
        <v>67000</v>
      </c>
      <c r="S16" s="355"/>
      <c r="T16" s="448">
        <v>67000</v>
      </c>
      <c r="U16" s="551">
        <v>92206.42</v>
      </c>
      <c r="V16" s="75">
        <v>80000</v>
      </c>
      <c r="W16" s="549">
        <v>104022.03</v>
      </c>
      <c r="X16" s="77">
        <v>80000</v>
      </c>
      <c r="Y16" s="568">
        <v>108914.16</v>
      </c>
      <c r="Z16" s="372">
        <v>80000</v>
      </c>
      <c r="AA16" s="372">
        <v>113853.02</v>
      </c>
      <c r="AB16" s="372">
        <v>82000</v>
      </c>
      <c r="AC16" s="372">
        <v>82000</v>
      </c>
      <c r="AD16" s="372">
        <v>82000</v>
      </c>
      <c r="AE16" s="372">
        <v>96392.9</v>
      </c>
      <c r="AF16" s="574">
        <v>82000</v>
      </c>
      <c r="AG16" s="582">
        <v>115054.46</v>
      </c>
      <c r="AH16" s="574">
        <f t="shared" si="0"/>
        <v>82000</v>
      </c>
      <c r="AI16" s="574">
        <f t="shared" si="1"/>
        <v>82000</v>
      </c>
      <c r="AJ16" s="574">
        <f t="shared" si="0"/>
        <v>82000</v>
      </c>
      <c r="AK16" s="585">
        <v>114813.41</v>
      </c>
      <c r="AL16" s="574">
        <v>88000</v>
      </c>
      <c r="AM16" s="582"/>
      <c r="AN16" s="574">
        <v>88000</v>
      </c>
      <c r="AO16" s="574"/>
      <c r="AP16" s="574">
        <f t="shared" si="2"/>
        <v>88000</v>
      </c>
      <c r="AQ16" s="585"/>
      <c r="AR16" s="574">
        <v>96000</v>
      </c>
      <c r="AT16" s="574">
        <v>96000</v>
      </c>
      <c r="AU16" s="77"/>
      <c r="AV16" s="574">
        <v>96000</v>
      </c>
      <c r="AW16" s="574"/>
      <c r="AX16" s="574">
        <f t="shared" si="3"/>
        <v>96000</v>
      </c>
      <c r="AY16" s="77"/>
      <c r="AZ16" s="77">
        <v>87000</v>
      </c>
      <c r="BA16" s="77"/>
    </row>
    <row r="17" spans="1:54" x14ac:dyDescent="0.3">
      <c r="A17" s="77" t="s">
        <v>647</v>
      </c>
      <c r="B17" s="355">
        <v>0</v>
      </c>
      <c r="C17" s="352">
        <v>0</v>
      </c>
      <c r="D17" s="355">
        <v>0</v>
      </c>
      <c r="E17" s="352">
        <v>0</v>
      </c>
      <c r="F17" s="355">
        <v>0</v>
      </c>
      <c r="G17" s="353">
        <v>0</v>
      </c>
      <c r="H17" s="353">
        <v>0</v>
      </c>
      <c r="I17" s="353">
        <v>0</v>
      </c>
      <c r="J17" s="353">
        <v>0</v>
      </c>
      <c r="K17" s="353">
        <v>0</v>
      </c>
      <c r="L17" s="353">
        <v>0</v>
      </c>
      <c r="M17" s="353">
        <v>0</v>
      </c>
      <c r="N17" s="353">
        <v>0</v>
      </c>
      <c r="O17" s="454">
        <v>0</v>
      </c>
      <c r="P17" s="421">
        <v>0</v>
      </c>
      <c r="Q17" s="448"/>
      <c r="R17" s="76">
        <f>Q17</f>
        <v>0</v>
      </c>
      <c r="S17" s="355">
        <v>0</v>
      </c>
      <c r="T17" s="448">
        <f>S17</f>
        <v>0</v>
      </c>
      <c r="U17" s="551">
        <v>0</v>
      </c>
      <c r="V17" s="75"/>
      <c r="W17" s="549">
        <v>0</v>
      </c>
      <c r="X17" s="77"/>
      <c r="Y17" s="568">
        <v>0</v>
      </c>
      <c r="Z17" s="372"/>
      <c r="AA17" s="372"/>
      <c r="AB17" s="372"/>
      <c r="AC17" s="372"/>
      <c r="AD17" s="372"/>
      <c r="AE17" s="372"/>
      <c r="AF17" s="574">
        <v>0</v>
      </c>
      <c r="AG17" s="372"/>
      <c r="AH17" s="574">
        <f t="shared" si="0"/>
        <v>0</v>
      </c>
      <c r="AI17" s="574">
        <f t="shared" si="1"/>
        <v>0</v>
      </c>
      <c r="AJ17" s="574">
        <f t="shared" si="0"/>
        <v>0</v>
      </c>
      <c r="AK17" s="585"/>
      <c r="AL17" s="574"/>
      <c r="AM17" s="372"/>
      <c r="AN17" s="574"/>
      <c r="AO17" s="574"/>
      <c r="AP17" s="574">
        <f t="shared" si="2"/>
        <v>0</v>
      </c>
      <c r="AQ17" s="585"/>
      <c r="AR17" s="574">
        <f t="shared" si="2"/>
        <v>0</v>
      </c>
      <c r="AT17" s="574">
        <f t="shared" ref="AT17:AV21" si="5">AR17</f>
        <v>0</v>
      </c>
      <c r="AU17" s="77"/>
      <c r="AV17" s="574">
        <f t="shared" si="5"/>
        <v>0</v>
      </c>
      <c r="AW17" s="574"/>
      <c r="AX17" s="574">
        <f t="shared" si="3"/>
        <v>0</v>
      </c>
      <c r="AY17" s="77"/>
      <c r="AZ17" s="77"/>
      <c r="BA17" s="77"/>
    </row>
    <row r="18" spans="1:54" x14ac:dyDescent="0.3">
      <c r="A18" s="77" t="s">
        <v>648</v>
      </c>
      <c r="B18" s="355">
        <v>0</v>
      </c>
      <c r="C18" s="352">
        <v>0</v>
      </c>
      <c r="D18" s="355">
        <v>0</v>
      </c>
      <c r="E18" s="352">
        <v>0</v>
      </c>
      <c r="F18" s="355">
        <v>0</v>
      </c>
      <c r="G18" s="353">
        <v>0</v>
      </c>
      <c r="H18" s="353">
        <v>0</v>
      </c>
      <c r="I18" s="353">
        <v>0</v>
      </c>
      <c r="J18" s="353">
        <v>0</v>
      </c>
      <c r="K18" s="353">
        <v>0</v>
      </c>
      <c r="L18" s="353">
        <v>0</v>
      </c>
      <c r="M18" s="353">
        <v>0</v>
      </c>
      <c r="N18" s="353">
        <v>0</v>
      </c>
      <c r="O18" s="454">
        <v>0</v>
      </c>
      <c r="P18" s="421">
        <v>0</v>
      </c>
      <c r="Q18" s="353"/>
      <c r="R18" s="469">
        <v>0</v>
      </c>
      <c r="S18" s="355">
        <v>0</v>
      </c>
      <c r="T18" s="353">
        <v>0</v>
      </c>
      <c r="U18" s="551">
        <v>0</v>
      </c>
      <c r="V18" s="75"/>
      <c r="W18" s="549">
        <v>0</v>
      </c>
      <c r="X18" s="77"/>
      <c r="Y18" s="568">
        <v>0</v>
      </c>
      <c r="Z18" s="372"/>
      <c r="AA18" s="372"/>
      <c r="AB18" s="372"/>
      <c r="AC18" s="372"/>
      <c r="AD18" s="372"/>
      <c r="AE18" s="372"/>
      <c r="AF18" s="574">
        <v>0</v>
      </c>
      <c r="AG18" s="372"/>
      <c r="AH18" s="574">
        <f t="shared" si="0"/>
        <v>0</v>
      </c>
      <c r="AI18" s="574">
        <f t="shared" si="1"/>
        <v>0</v>
      </c>
      <c r="AJ18" s="574">
        <f t="shared" si="0"/>
        <v>0</v>
      </c>
      <c r="AK18" s="585"/>
      <c r="AL18" s="574"/>
      <c r="AM18" s="372"/>
      <c r="AN18" s="574"/>
      <c r="AO18" s="574"/>
      <c r="AP18" s="574">
        <f t="shared" si="2"/>
        <v>0</v>
      </c>
      <c r="AQ18" s="585"/>
      <c r="AR18" s="574">
        <f t="shared" si="2"/>
        <v>0</v>
      </c>
      <c r="AT18" s="574">
        <f t="shared" si="5"/>
        <v>0</v>
      </c>
      <c r="AU18" s="77"/>
      <c r="AV18" s="574">
        <f t="shared" si="5"/>
        <v>0</v>
      </c>
      <c r="AW18" s="574"/>
      <c r="AX18" s="574">
        <f t="shared" si="3"/>
        <v>0</v>
      </c>
      <c r="AY18" s="77"/>
      <c r="AZ18" s="77"/>
      <c r="BA18" s="77"/>
    </row>
    <row r="19" spans="1:54" x14ac:dyDescent="0.3">
      <c r="A19" s="77" t="s">
        <v>514</v>
      </c>
      <c r="B19" s="355">
        <v>0</v>
      </c>
      <c r="C19" s="352">
        <v>0</v>
      </c>
      <c r="D19" s="355">
        <v>0</v>
      </c>
      <c r="E19" s="352">
        <v>0</v>
      </c>
      <c r="F19" s="355">
        <v>0</v>
      </c>
      <c r="G19" s="353">
        <v>0</v>
      </c>
      <c r="H19" s="353">
        <v>0</v>
      </c>
      <c r="I19" s="353">
        <v>0</v>
      </c>
      <c r="J19" s="353">
        <v>0</v>
      </c>
      <c r="K19" s="353">
        <v>0</v>
      </c>
      <c r="L19" s="353">
        <v>0</v>
      </c>
      <c r="M19" s="353">
        <v>0</v>
      </c>
      <c r="N19" s="353">
        <v>0</v>
      </c>
      <c r="O19" s="454">
        <v>0</v>
      </c>
      <c r="P19" s="421">
        <v>0</v>
      </c>
      <c r="Q19" s="353"/>
      <c r="R19" s="469">
        <v>0</v>
      </c>
      <c r="S19" s="355">
        <v>0</v>
      </c>
      <c r="T19" s="353">
        <v>0</v>
      </c>
      <c r="U19" s="551">
        <v>0</v>
      </c>
      <c r="V19" s="75"/>
      <c r="W19" s="549">
        <v>0</v>
      </c>
      <c r="X19" s="77"/>
      <c r="Y19" s="568">
        <v>0</v>
      </c>
      <c r="Z19" s="372"/>
      <c r="AA19" s="372"/>
      <c r="AB19" s="372"/>
      <c r="AC19" s="372"/>
      <c r="AD19" s="372"/>
      <c r="AE19" s="372"/>
      <c r="AF19" s="574">
        <v>0</v>
      </c>
      <c r="AG19" s="372"/>
      <c r="AH19" s="574">
        <f t="shared" si="0"/>
        <v>0</v>
      </c>
      <c r="AI19" s="574">
        <f t="shared" si="1"/>
        <v>0</v>
      </c>
      <c r="AJ19" s="574">
        <f t="shared" si="0"/>
        <v>0</v>
      </c>
      <c r="AK19" s="585"/>
      <c r="AL19" s="574"/>
      <c r="AM19" s="372"/>
      <c r="AN19" s="574"/>
      <c r="AO19" s="574"/>
      <c r="AP19" s="574">
        <f t="shared" si="2"/>
        <v>0</v>
      </c>
      <c r="AQ19" s="585"/>
      <c r="AR19" s="574">
        <f t="shared" si="2"/>
        <v>0</v>
      </c>
      <c r="AT19" s="574">
        <f t="shared" si="5"/>
        <v>0</v>
      </c>
      <c r="AU19" s="77"/>
      <c r="AV19" s="574">
        <f t="shared" si="5"/>
        <v>0</v>
      </c>
      <c r="AW19" s="574"/>
      <c r="AX19" s="574">
        <f t="shared" si="3"/>
        <v>0</v>
      </c>
      <c r="AY19" s="77"/>
      <c r="AZ19" s="77"/>
      <c r="BA19" s="77"/>
    </row>
    <row r="20" spans="1:54" x14ac:dyDescent="0.3">
      <c r="A20" s="77" t="s">
        <v>253</v>
      </c>
      <c r="B20" s="355">
        <v>0</v>
      </c>
      <c r="C20" s="352">
        <v>0</v>
      </c>
      <c r="D20" s="355">
        <v>0</v>
      </c>
      <c r="E20" s="352">
        <v>0</v>
      </c>
      <c r="F20" s="355">
        <v>0</v>
      </c>
      <c r="G20" s="353">
        <v>0</v>
      </c>
      <c r="H20" s="353">
        <v>0</v>
      </c>
      <c r="I20" s="353">
        <v>0</v>
      </c>
      <c r="J20" s="353">
        <v>0</v>
      </c>
      <c r="K20" s="353">
        <v>0</v>
      </c>
      <c r="L20" s="353">
        <v>0</v>
      </c>
      <c r="M20" s="353">
        <v>0</v>
      </c>
      <c r="N20" s="353">
        <v>0</v>
      </c>
      <c r="O20" s="454">
        <v>0</v>
      </c>
      <c r="P20" s="421">
        <v>0</v>
      </c>
      <c r="Q20" s="353"/>
      <c r="R20" s="469">
        <v>0</v>
      </c>
      <c r="S20" s="355">
        <v>0</v>
      </c>
      <c r="T20" s="353">
        <v>0</v>
      </c>
      <c r="U20" s="551">
        <v>0</v>
      </c>
      <c r="V20" s="75"/>
      <c r="W20" s="549">
        <v>0</v>
      </c>
      <c r="X20" s="77"/>
      <c r="Y20" s="568">
        <v>0</v>
      </c>
      <c r="Z20" s="372"/>
      <c r="AA20" s="372"/>
      <c r="AB20" s="372"/>
      <c r="AC20" s="372"/>
      <c r="AD20" s="372"/>
      <c r="AE20" s="372"/>
      <c r="AF20" s="574">
        <v>0</v>
      </c>
      <c r="AG20" s="372"/>
      <c r="AH20" s="574">
        <f t="shared" si="0"/>
        <v>0</v>
      </c>
      <c r="AI20" s="574">
        <f t="shared" si="1"/>
        <v>0</v>
      </c>
      <c r="AJ20" s="574">
        <f t="shared" si="0"/>
        <v>0</v>
      </c>
      <c r="AK20" s="585"/>
      <c r="AL20" s="574"/>
      <c r="AM20" s="372"/>
      <c r="AN20" s="574"/>
      <c r="AO20" s="574"/>
      <c r="AP20" s="574">
        <f t="shared" si="2"/>
        <v>0</v>
      </c>
      <c r="AQ20" s="585"/>
      <c r="AR20" s="574">
        <f t="shared" si="2"/>
        <v>0</v>
      </c>
      <c r="AT20" s="574">
        <f t="shared" si="5"/>
        <v>0</v>
      </c>
      <c r="AU20" s="77"/>
      <c r="AV20" s="574">
        <f t="shared" si="5"/>
        <v>0</v>
      </c>
      <c r="AW20" s="574"/>
      <c r="AX20" s="574">
        <f t="shared" si="3"/>
        <v>0</v>
      </c>
      <c r="AY20" s="77"/>
      <c r="AZ20" s="77"/>
      <c r="BA20" s="77"/>
    </row>
    <row r="21" spans="1:54" x14ac:dyDescent="0.3">
      <c r="A21" s="77" t="s">
        <v>650</v>
      </c>
      <c r="B21" s="355">
        <v>0</v>
      </c>
      <c r="C21" s="352">
        <v>0</v>
      </c>
      <c r="D21" s="355">
        <v>0</v>
      </c>
      <c r="E21" s="352">
        <v>0</v>
      </c>
      <c r="F21" s="355">
        <v>0</v>
      </c>
      <c r="G21" s="353">
        <v>0</v>
      </c>
      <c r="H21" s="353">
        <v>0</v>
      </c>
      <c r="I21" s="353">
        <v>0</v>
      </c>
      <c r="J21" s="353">
        <v>0</v>
      </c>
      <c r="K21" s="353">
        <v>0</v>
      </c>
      <c r="L21" s="353">
        <v>0</v>
      </c>
      <c r="M21" s="353">
        <v>0</v>
      </c>
      <c r="N21" s="353">
        <v>0</v>
      </c>
      <c r="O21" s="454">
        <v>0</v>
      </c>
      <c r="P21" s="421">
        <v>0</v>
      </c>
      <c r="Q21" s="353"/>
      <c r="R21" s="469">
        <v>0</v>
      </c>
      <c r="S21" s="355">
        <v>0</v>
      </c>
      <c r="T21" s="353">
        <v>0</v>
      </c>
      <c r="U21" s="551">
        <v>0</v>
      </c>
      <c r="V21" s="75"/>
      <c r="W21" s="549">
        <v>0</v>
      </c>
      <c r="X21" s="77"/>
      <c r="Y21" s="568">
        <v>0</v>
      </c>
      <c r="Z21" s="372"/>
      <c r="AA21" s="372"/>
      <c r="AB21" s="372"/>
      <c r="AC21" s="372"/>
      <c r="AD21" s="372"/>
      <c r="AE21" s="372"/>
      <c r="AF21" s="574">
        <v>0</v>
      </c>
      <c r="AG21" s="372"/>
      <c r="AH21" s="574">
        <f t="shared" si="0"/>
        <v>0</v>
      </c>
      <c r="AI21" s="574">
        <f t="shared" si="1"/>
        <v>0</v>
      </c>
      <c r="AJ21" s="574">
        <f t="shared" si="0"/>
        <v>0</v>
      </c>
      <c r="AK21" s="585"/>
      <c r="AL21" s="574"/>
      <c r="AM21" s="372"/>
      <c r="AN21" s="574"/>
      <c r="AO21" s="574"/>
      <c r="AP21" s="574">
        <f t="shared" si="2"/>
        <v>0</v>
      </c>
      <c r="AQ21" s="585"/>
      <c r="AR21" s="574">
        <f t="shared" si="2"/>
        <v>0</v>
      </c>
      <c r="AT21" s="574">
        <f t="shared" si="5"/>
        <v>0</v>
      </c>
      <c r="AU21" s="77"/>
      <c r="AV21" s="574">
        <f t="shared" si="5"/>
        <v>0</v>
      </c>
      <c r="AW21" s="574"/>
      <c r="AX21" s="574">
        <f t="shared" si="3"/>
        <v>0</v>
      </c>
      <c r="AY21" s="77"/>
      <c r="AZ21" s="77"/>
      <c r="BA21" s="77"/>
    </row>
    <row r="22" spans="1:54" x14ac:dyDescent="0.3">
      <c r="A22" s="77" t="s">
        <v>524</v>
      </c>
      <c r="B22" s="355">
        <v>38600</v>
      </c>
      <c r="C22" s="352">
        <v>56125.88</v>
      </c>
      <c r="D22" s="355">
        <v>56000</v>
      </c>
      <c r="E22" s="352">
        <v>55579.82</v>
      </c>
      <c r="F22" s="355">
        <v>55000</v>
      </c>
      <c r="G22" s="353">
        <v>67751.539999999994</v>
      </c>
      <c r="H22" s="75">
        <v>55000</v>
      </c>
      <c r="I22" s="353">
        <v>68513.2</v>
      </c>
      <c r="J22" s="75">
        <v>64000</v>
      </c>
      <c r="K22" s="353">
        <v>81462.75</v>
      </c>
      <c r="L22" s="352">
        <v>76000</v>
      </c>
      <c r="M22" s="352">
        <v>65401.1</v>
      </c>
      <c r="N22" s="353">
        <v>65000</v>
      </c>
      <c r="O22" s="454">
        <v>60073.5</v>
      </c>
      <c r="P22" s="421">
        <v>65000</v>
      </c>
      <c r="Q22" s="448"/>
      <c r="R22" s="76">
        <v>52000</v>
      </c>
      <c r="S22" s="355"/>
      <c r="T22" s="448">
        <v>52900</v>
      </c>
      <c r="U22" s="551">
        <v>56856.57</v>
      </c>
      <c r="V22" s="75">
        <v>54000</v>
      </c>
      <c r="W22" s="549">
        <v>83906.14</v>
      </c>
      <c r="X22" s="77">
        <v>54000</v>
      </c>
      <c r="Y22" s="568">
        <v>103917.32</v>
      </c>
      <c r="Z22" s="372">
        <v>80000</v>
      </c>
      <c r="AA22" s="372">
        <v>116909.12</v>
      </c>
      <c r="AB22" s="372">
        <v>84437</v>
      </c>
      <c r="AC22" s="372">
        <v>84437</v>
      </c>
      <c r="AD22" s="372">
        <v>84437</v>
      </c>
      <c r="AE22" s="372">
        <v>88880.51</v>
      </c>
      <c r="AF22" s="574">
        <v>82737</v>
      </c>
      <c r="AG22" s="582">
        <v>145073.35999999999</v>
      </c>
      <c r="AH22" s="574">
        <v>88000</v>
      </c>
      <c r="AI22" s="574">
        <f t="shared" si="1"/>
        <v>88000</v>
      </c>
      <c r="AJ22" s="574">
        <v>88000</v>
      </c>
      <c r="AK22" s="585">
        <v>130615.32</v>
      </c>
      <c r="AL22" s="574">
        <v>88000</v>
      </c>
      <c r="AM22" s="582"/>
      <c r="AN22" s="574">
        <v>88000</v>
      </c>
      <c r="AO22" s="574"/>
      <c r="AP22" s="574">
        <v>98000</v>
      </c>
      <c r="AQ22" s="585"/>
      <c r="AR22" s="574">
        <v>128000</v>
      </c>
      <c r="AT22" s="574">
        <v>101000</v>
      </c>
      <c r="AU22" s="77"/>
      <c r="AV22" s="574">
        <v>101000</v>
      </c>
      <c r="AW22" s="574"/>
      <c r="AX22" s="574">
        <f t="shared" si="3"/>
        <v>101000</v>
      </c>
      <c r="AY22" s="77"/>
      <c r="AZ22" s="77">
        <v>62000</v>
      </c>
      <c r="BA22" s="77"/>
    </row>
    <row r="23" spans="1:54" x14ac:dyDescent="0.3">
      <c r="A23" s="77" t="s">
        <v>525</v>
      </c>
      <c r="B23" s="355">
        <v>110000</v>
      </c>
      <c r="C23" s="352">
        <v>122396.32</v>
      </c>
      <c r="D23" s="355">
        <v>114500</v>
      </c>
      <c r="E23" s="352">
        <v>134345.12</v>
      </c>
      <c r="F23" s="355">
        <v>114500</v>
      </c>
      <c r="G23" s="353">
        <v>119888</v>
      </c>
      <c r="H23" s="75">
        <v>114500</v>
      </c>
      <c r="I23" s="353">
        <v>141767.96</v>
      </c>
      <c r="J23" s="75">
        <v>125000</v>
      </c>
      <c r="K23" s="353">
        <v>186808.5</v>
      </c>
      <c r="L23" s="352">
        <v>162000</v>
      </c>
      <c r="M23" s="352">
        <v>236292.26</v>
      </c>
      <c r="N23" s="353">
        <v>200000</v>
      </c>
      <c r="O23" s="454">
        <v>248987.63</v>
      </c>
      <c r="P23" s="421">
        <v>200000</v>
      </c>
      <c r="Q23" s="448"/>
      <c r="R23" s="76">
        <v>225000</v>
      </c>
      <c r="S23" s="355"/>
      <c r="T23" s="448">
        <v>190000</v>
      </c>
      <c r="U23" s="551">
        <v>203174.75</v>
      </c>
      <c r="V23" s="75">
        <v>185000</v>
      </c>
      <c r="W23" s="549">
        <v>276733.5</v>
      </c>
      <c r="X23" s="77">
        <v>185000</v>
      </c>
      <c r="Y23" s="568">
        <v>304901</v>
      </c>
      <c r="Z23" s="372">
        <v>185000</v>
      </c>
      <c r="AA23" s="372">
        <v>344596.55</v>
      </c>
      <c r="AB23" s="372">
        <v>190000</v>
      </c>
      <c r="AC23" s="372">
        <v>190000</v>
      </c>
      <c r="AD23" s="372">
        <v>190000</v>
      </c>
      <c r="AE23" s="372">
        <v>349447.99</v>
      </c>
      <c r="AF23" s="574">
        <v>185000</v>
      </c>
      <c r="AG23" s="582">
        <v>226749.54</v>
      </c>
      <c r="AH23" s="574">
        <v>190000</v>
      </c>
      <c r="AI23" s="574">
        <f t="shared" si="1"/>
        <v>190000</v>
      </c>
      <c r="AJ23" s="574">
        <v>190000</v>
      </c>
      <c r="AK23" s="585">
        <f>219662.1 +20882.5</f>
        <v>240544.6</v>
      </c>
      <c r="AL23" s="574">
        <v>190000</v>
      </c>
      <c r="AM23" s="582"/>
      <c r="AN23" s="574">
        <v>190000</v>
      </c>
      <c r="AO23" s="574"/>
      <c r="AP23" s="574">
        <v>190000</v>
      </c>
      <c r="AQ23" s="585"/>
      <c r="AR23" s="574">
        <v>202000</v>
      </c>
      <c r="AT23" s="574">
        <v>230000</v>
      </c>
      <c r="AU23" s="77"/>
      <c r="AV23" s="574">
        <v>230000</v>
      </c>
      <c r="AW23" s="574"/>
      <c r="AX23" s="574">
        <f t="shared" si="3"/>
        <v>230000</v>
      </c>
      <c r="AY23" s="77"/>
      <c r="AZ23" s="77">
        <v>273000</v>
      </c>
      <c r="BA23" s="77"/>
    </row>
    <row r="24" spans="1:54" x14ac:dyDescent="0.3">
      <c r="A24" s="77" t="s">
        <v>526</v>
      </c>
      <c r="B24" s="355">
        <v>0</v>
      </c>
      <c r="C24" s="352">
        <v>0</v>
      </c>
      <c r="D24" s="355">
        <v>0</v>
      </c>
      <c r="E24" s="352">
        <v>0</v>
      </c>
      <c r="F24" s="355">
        <v>0</v>
      </c>
      <c r="G24" s="353">
        <v>0</v>
      </c>
      <c r="H24" s="353">
        <v>0</v>
      </c>
      <c r="I24" s="353">
        <v>0</v>
      </c>
      <c r="J24" s="353">
        <v>0</v>
      </c>
      <c r="K24" s="353">
        <v>0</v>
      </c>
      <c r="L24" s="353">
        <v>0</v>
      </c>
      <c r="M24" s="353">
        <v>0</v>
      </c>
      <c r="N24" s="353">
        <v>0</v>
      </c>
      <c r="O24" s="454">
        <v>0</v>
      </c>
      <c r="P24" s="421">
        <v>0</v>
      </c>
      <c r="Q24" s="353"/>
      <c r="R24" s="469">
        <v>0</v>
      </c>
      <c r="S24" s="355">
        <v>0</v>
      </c>
      <c r="T24" s="353">
        <v>0</v>
      </c>
      <c r="U24" s="551">
        <v>0</v>
      </c>
      <c r="V24" s="75"/>
      <c r="W24" s="549">
        <v>0</v>
      </c>
      <c r="X24" s="77"/>
      <c r="Y24" s="568">
        <v>0</v>
      </c>
      <c r="Z24" s="372"/>
      <c r="AA24" s="372"/>
      <c r="AB24" s="372"/>
      <c r="AC24" s="372"/>
      <c r="AD24" s="372"/>
      <c r="AE24" s="372"/>
      <c r="AF24" s="574">
        <v>0</v>
      </c>
      <c r="AG24" s="372"/>
      <c r="AH24" s="574">
        <f t="shared" si="0"/>
        <v>0</v>
      </c>
      <c r="AI24" s="574">
        <f t="shared" si="1"/>
        <v>0</v>
      </c>
      <c r="AJ24" s="574">
        <f t="shared" si="0"/>
        <v>0</v>
      </c>
      <c r="AK24" s="585"/>
      <c r="AL24" s="574"/>
      <c r="AM24" s="372"/>
      <c r="AN24" s="574"/>
      <c r="AO24" s="574"/>
      <c r="AP24" s="574">
        <f t="shared" si="2"/>
        <v>0</v>
      </c>
      <c r="AQ24" s="585"/>
      <c r="AR24" s="574">
        <f t="shared" si="2"/>
        <v>0</v>
      </c>
      <c r="AT24" s="574">
        <f t="shared" ref="AT24:AV24" si="6">AR24</f>
        <v>0</v>
      </c>
      <c r="AU24" s="77"/>
      <c r="AV24" s="574">
        <f t="shared" si="6"/>
        <v>0</v>
      </c>
      <c r="AW24" s="574"/>
      <c r="AX24" s="574">
        <f t="shared" si="3"/>
        <v>0</v>
      </c>
      <c r="AY24" s="77"/>
      <c r="AZ24" s="77"/>
      <c r="BA24" s="77"/>
    </row>
    <row r="25" spans="1:54" x14ac:dyDescent="0.3">
      <c r="A25" s="77" t="s">
        <v>527</v>
      </c>
      <c r="B25" s="355">
        <v>44000</v>
      </c>
      <c r="C25" s="352">
        <v>47970</v>
      </c>
      <c r="D25" s="355">
        <v>47000</v>
      </c>
      <c r="E25" s="352">
        <v>48683</v>
      </c>
      <c r="F25" s="355">
        <v>48000</v>
      </c>
      <c r="G25" s="353">
        <v>72966.17</v>
      </c>
      <c r="H25" s="75">
        <v>48000</v>
      </c>
      <c r="I25" s="353">
        <v>57761</v>
      </c>
      <c r="J25" s="75">
        <v>52000</v>
      </c>
      <c r="K25" s="353">
        <v>51963.01</v>
      </c>
      <c r="L25" s="352">
        <v>52000</v>
      </c>
      <c r="M25" s="352">
        <v>47520</v>
      </c>
      <c r="N25" s="353">
        <v>47000</v>
      </c>
      <c r="O25" s="454">
        <v>79825</v>
      </c>
      <c r="P25" s="421">
        <v>47000</v>
      </c>
      <c r="Q25" s="448"/>
      <c r="R25" s="76">
        <v>55000</v>
      </c>
      <c r="S25" s="355"/>
      <c r="T25" s="448">
        <v>55000</v>
      </c>
      <c r="U25" s="551">
        <v>53822.5</v>
      </c>
      <c r="V25" s="75">
        <v>48400</v>
      </c>
      <c r="W25" s="549">
        <v>64957.5</v>
      </c>
      <c r="X25" s="77">
        <v>48400</v>
      </c>
      <c r="Y25" s="568">
        <v>45535</v>
      </c>
      <c r="Z25" s="372">
        <v>48400</v>
      </c>
      <c r="AA25" s="372">
        <v>50660</v>
      </c>
      <c r="AB25" s="372">
        <v>45000</v>
      </c>
      <c r="AC25" s="372">
        <v>45000</v>
      </c>
      <c r="AD25" s="372">
        <v>45000</v>
      </c>
      <c r="AE25" s="372">
        <v>68080.160000000003</v>
      </c>
      <c r="AF25" s="574">
        <v>48000</v>
      </c>
      <c r="AG25" s="582">
        <v>57472.12</v>
      </c>
      <c r="AH25" s="574">
        <v>49000</v>
      </c>
      <c r="AI25" s="574">
        <f t="shared" si="1"/>
        <v>49000</v>
      </c>
      <c r="AJ25" s="574">
        <v>49000</v>
      </c>
      <c r="AK25" s="585">
        <v>49215</v>
      </c>
      <c r="AL25" s="574">
        <v>49000</v>
      </c>
      <c r="AM25" s="582"/>
      <c r="AN25" s="574">
        <v>49000</v>
      </c>
      <c r="AO25" s="574"/>
      <c r="AP25" s="574">
        <v>40000</v>
      </c>
      <c r="AQ25" s="585"/>
      <c r="AR25" s="574">
        <v>30000</v>
      </c>
      <c r="AT25" s="574">
        <v>25000</v>
      </c>
      <c r="AU25" s="77"/>
      <c r="AV25" s="574">
        <v>25000</v>
      </c>
      <c r="AW25" s="574"/>
      <c r="AX25" s="574">
        <f t="shared" si="3"/>
        <v>25000</v>
      </c>
      <c r="AY25" s="77"/>
      <c r="AZ25" s="77">
        <v>18000</v>
      </c>
      <c r="BA25" s="77"/>
    </row>
    <row r="26" spans="1:54" x14ac:dyDescent="0.3">
      <c r="A26" s="77" t="s">
        <v>528</v>
      </c>
      <c r="B26" s="355">
        <v>70000</v>
      </c>
      <c r="C26" s="352">
        <v>79583.95</v>
      </c>
      <c r="D26" s="355">
        <v>70000</v>
      </c>
      <c r="E26" s="352">
        <v>139809.38</v>
      </c>
      <c r="F26" s="355">
        <v>80000</v>
      </c>
      <c r="G26" s="353">
        <v>65762.02</v>
      </c>
      <c r="H26" s="75">
        <v>55000</v>
      </c>
      <c r="I26" s="353">
        <v>28715.9</v>
      </c>
      <c r="J26" s="75">
        <v>28700</v>
      </c>
      <c r="K26" s="353">
        <v>19344.310000000001</v>
      </c>
      <c r="L26" s="352">
        <v>15000</v>
      </c>
      <c r="M26" s="352">
        <v>40793.17</v>
      </c>
      <c r="N26" s="353">
        <v>40000</v>
      </c>
      <c r="O26" s="454">
        <v>95187.77</v>
      </c>
      <c r="P26" s="421">
        <v>40000</v>
      </c>
      <c r="Q26" s="448"/>
      <c r="R26" s="76">
        <v>150000</v>
      </c>
      <c r="S26" s="355"/>
      <c r="T26" s="448">
        <v>150000</v>
      </c>
      <c r="U26" s="551">
        <v>56315.17</v>
      </c>
      <c r="V26" s="75">
        <v>18000</v>
      </c>
      <c r="W26" s="549">
        <v>22444</v>
      </c>
      <c r="X26" s="77">
        <v>18000</v>
      </c>
      <c r="Y26" s="568">
        <v>21732.31</v>
      </c>
      <c r="Z26" s="372">
        <v>18000</v>
      </c>
      <c r="AA26" s="372">
        <v>14180.02</v>
      </c>
      <c r="AB26" s="372">
        <v>13750</v>
      </c>
      <c r="AC26" s="372">
        <v>15000</v>
      </c>
      <c r="AD26" s="372">
        <v>15000</v>
      </c>
      <c r="AE26" s="372">
        <v>13422.73</v>
      </c>
      <c r="AF26" s="574">
        <v>13000</v>
      </c>
      <c r="AG26" s="582">
        <v>14768.03</v>
      </c>
      <c r="AH26" s="574">
        <v>13000</v>
      </c>
      <c r="AI26" s="574">
        <f t="shared" si="1"/>
        <v>13000</v>
      </c>
      <c r="AJ26" s="574">
        <v>13000</v>
      </c>
      <c r="AK26" s="585">
        <v>28068</v>
      </c>
      <c r="AL26" s="574">
        <v>14000</v>
      </c>
      <c r="AM26" s="582"/>
      <c r="AN26" s="574">
        <v>15000</v>
      </c>
      <c r="AO26" s="574"/>
      <c r="AP26" s="574">
        <f t="shared" si="2"/>
        <v>15000</v>
      </c>
      <c r="AQ26" s="585"/>
      <c r="AR26" s="574">
        <v>18000</v>
      </c>
      <c r="AT26" s="574">
        <v>20000</v>
      </c>
      <c r="AU26" s="77"/>
      <c r="AV26" s="574">
        <v>20000</v>
      </c>
      <c r="AW26" s="574"/>
      <c r="AX26" s="574">
        <f t="shared" si="3"/>
        <v>20000</v>
      </c>
      <c r="AY26" s="77"/>
      <c r="AZ26" s="77">
        <v>20000</v>
      </c>
      <c r="BA26" s="77"/>
    </row>
    <row r="27" spans="1:54" x14ac:dyDescent="0.3">
      <c r="A27" s="77" t="s">
        <v>836</v>
      </c>
      <c r="B27" s="355">
        <v>2900</v>
      </c>
      <c r="C27" s="352">
        <v>790.1</v>
      </c>
      <c r="D27" s="355">
        <v>800</v>
      </c>
      <c r="E27" s="352">
        <v>864.14</v>
      </c>
      <c r="F27" s="355">
        <v>800</v>
      </c>
      <c r="G27" s="353">
        <v>1087.6300000000001</v>
      </c>
      <c r="H27" s="75">
        <v>800</v>
      </c>
      <c r="I27" s="353">
        <v>747.46</v>
      </c>
      <c r="J27" s="75">
        <v>750</v>
      </c>
      <c r="K27" s="353">
        <v>475.5</v>
      </c>
      <c r="L27" s="352">
        <v>475</v>
      </c>
      <c r="M27" s="352">
        <v>525</v>
      </c>
      <c r="N27" s="353">
        <v>500</v>
      </c>
      <c r="O27" s="454">
        <v>550</v>
      </c>
      <c r="P27" s="421">
        <v>500</v>
      </c>
      <c r="Q27" s="448"/>
      <c r="R27" s="76">
        <v>500</v>
      </c>
      <c r="S27" s="355"/>
      <c r="T27" s="448">
        <v>500</v>
      </c>
      <c r="U27" s="551">
        <v>600</v>
      </c>
      <c r="V27" s="75">
        <v>500</v>
      </c>
      <c r="W27" s="549">
        <v>525</v>
      </c>
      <c r="X27" s="77">
        <v>500</v>
      </c>
      <c r="Y27" s="568">
        <v>575</v>
      </c>
      <c r="Z27" s="372">
        <v>500</v>
      </c>
      <c r="AA27" s="372">
        <v>825</v>
      </c>
      <c r="AB27" s="372">
        <v>500</v>
      </c>
      <c r="AC27" s="372">
        <v>500</v>
      </c>
      <c r="AD27" s="372">
        <v>500</v>
      </c>
      <c r="AE27" s="372">
        <v>10332.209999999999</v>
      </c>
      <c r="AF27" s="574">
        <v>10000</v>
      </c>
      <c r="AG27" s="582">
        <v>16854.060000000001</v>
      </c>
      <c r="AH27" s="574">
        <f t="shared" si="0"/>
        <v>10000</v>
      </c>
      <c r="AI27" s="574">
        <f t="shared" si="1"/>
        <v>10000</v>
      </c>
      <c r="AJ27" s="574">
        <f t="shared" si="0"/>
        <v>10000</v>
      </c>
      <c r="AK27" s="585">
        <v>26054</v>
      </c>
      <c r="AL27" s="574">
        <v>11000</v>
      </c>
      <c r="AM27" s="582"/>
      <c r="AN27" s="574">
        <v>11000</v>
      </c>
      <c r="AO27" s="574"/>
      <c r="AP27" s="574">
        <f t="shared" si="2"/>
        <v>11000</v>
      </c>
      <c r="AQ27" s="585"/>
      <c r="AR27" s="574">
        <v>12000</v>
      </c>
      <c r="AT27" s="574">
        <v>5000</v>
      </c>
      <c r="AU27" s="77"/>
      <c r="AV27" s="574">
        <v>5000</v>
      </c>
      <c r="AW27" s="574"/>
      <c r="AX27" s="574">
        <f t="shared" si="3"/>
        <v>5000</v>
      </c>
      <c r="AY27" s="77"/>
      <c r="AZ27" s="77">
        <v>9000</v>
      </c>
      <c r="BA27" s="77"/>
    </row>
    <row r="28" spans="1:54" x14ac:dyDescent="0.3">
      <c r="A28" s="77" t="s">
        <v>834</v>
      </c>
      <c r="B28" s="355">
        <v>48359</v>
      </c>
      <c r="C28" s="352">
        <v>475431.73</v>
      </c>
      <c r="D28" s="355">
        <v>87524.97</v>
      </c>
      <c r="E28" s="352">
        <v>348515.12</v>
      </c>
      <c r="F28" s="355"/>
      <c r="G28" s="353">
        <v>49306.76</v>
      </c>
      <c r="H28" s="75"/>
      <c r="I28" s="353">
        <v>12879.33</v>
      </c>
      <c r="J28" s="351"/>
      <c r="K28" s="353">
        <v>25337.9</v>
      </c>
      <c r="L28" s="352">
        <v>38428</v>
      </c>
      <c r="M28" s="352">
        <v>61897.55</v>
      </c>
      <c r="N28" s="77"/>
      <c r="O28" s="454">
        <v>33691.26</v>
      </c>
      <c r="P28" s="421"/>
      <c r="Q28" s="353"/>
      <c r="R28" s="469">
        <v>0</v>
      </c>
      <c r="S28" s="355"/>
      <c r="T28" s="353">
        <v>0</v>
      </c>
      <c r="U28" s="551">
        <v>34385.72</v>
      </c>
      <c r="V28" s="75"/>
      <c r="W28" s="549">
        <v>95526.42</v>
      </c>
      <c r="X28" s="541">
        <v>26400</v>
      </c>
      <c r="Y28" s="568">
        <v>62448.51</v>
      </c>
      <c r="Z28" s="372"/>
      <c r="AA28" s="77">
        <v>88261.72</v>
      </c>
      <c r="AB28" s="372"/>
      <c r="AC28" s="77">
        <v>10050</v>
      </c>
      <c r="AD28" s="372"/>
      <c r="AE28" s="372">
        <v>400</v>
      </c>
      <c r="AF28" s="574">
        <v>400</v>
      </c>
      <c r="AG28" s="372">
        <v>275</v>
      </c>
      <c r="AH28" s="574">
        <v>275</v>
      </c>
      <c r="AI28" s="574">
        <f t="shared" si="1"/>
        <v>275</v>
      </c>
      <c r="AJ28" s="574">
        <v>275</v>
      </c>
      <c r="AK28" s="585">
        <v>3808.8</v>
      </c>
      <c r="AL28" s="574"/>
      <c r="AM28" s="372"/>
      <c r="AN28" s="574">
        <v>0</v>
      </c>
      <c r="AO28" s="574"/>
      <c r="AP28" s="574">
        <f t="shared" si="2"/>
        <v>0</v>
      </c>
      <c r="AQ28" s="585"/>
      <c r="AR28" s="574">
        <f t="shared" si="2"/>
        <v>0</v>
      </c>
      <c r="AT28" s="574">
        <f t="shared" ref="AT28:AV28" si="7">AR28</f>
        <v>0</v>
      </c>
      <c r="AU28" s="77"/>
      <c r="AV28" s="574">
        <f t="shared" si="7"/>
        <v>0</v>
      </c>
      <c r="AW28" s="574"/>
      <c r="AX28" s="574">
        <f t="shared" si="3"/>
        <v>0</v>
      </c>
      <c r="AY28" s="77"/>
      <c r="AZ28" s="77"/>
      <c r="BA28" s="77"/>
    </row>
    <row r="29" spans="1:54" ht="10.5" thickBot="1" x14ac:dyDescent="0.35">
      <c r="A29" s="77" t="s">
        <v>835</v>
      </c>
      <c r="B29" s="356"/>
      <c r="C29" s="357"/>
      <c r="D29" s="356"/>
      <c r="E29" s="357"/>
      <c r="F29" s="356"/>
      <c r="G29" s="358"/>
      <c r="H29" s="79"/>
      <c r="I29" s="358"/>
      <c r="J29" s="79"/>
      <c r="K29" s="358"/>
      <c r="L29" s="357"/>
      <c r="M29" s="358"/>
      <c r="N29" s="78"/>
      <c r="O29" s="455"/>
      <c r="P29" s="420"/>
      <c r="Q29" s="358"/>
      <c r="R29" s="358"/>
      <c r="S29" s="356"/>
      <c r="T29" s="80"/>
      <c r="U29" s="484"/>
      <c r="V29" s="79"/>
      <c r="W29" s="550"/>
      <c r="X29" s="78"/>
      <c r="Y29" s="550">
        <v>0</v>
      </c>
      <c r="Z29" s="561"/>
      <c r="AA29" s="78"/>
      <c r="AB29" s="78"/>
      <c r="AC29" s="78"/>
      <c r="AD29" s="561"/>
      <c r="AE29" s="561">
        <v>31787.61</v>
      </c>
      <c r="AF29" s="77">
        <v>0</v>
      </c>
      <c r="AG29" s="561">
        <v>10716.97</v>
      </c>
      <c r="AH29" s="574">
        <f>AF29</f>
        <v>0</v>
      </c>
      <c r="AI29" s="574"/>
      <c r="AJ29" s="574">
        <f>AH29</f>
        <v>0</v>
      </c>
      <c r="AK29" s="585">
        <v>92891</v>
      </c>
      <c r="AL29" s="77"/>
      <c r="AM29" s="561"/>
      <c r="AN29" s="574">
        <v>0</v>
      </c>
      <c r="AO29" s="574"/>
      <c r="AP29" s="574">
        <f t="shared" si="2"/>
        <v>0</v>
      </c>
      <c r="AQ29" s="585"/>
      <c r="AR29" s="574"/>
      <c r="AT29" s="574"/>
      <c r="AU29" s="77"/>
      <c r="AV29" s="574">
        <v>143887</v>
      </c>
      <c r="AW29" s="574"/>
      <c r="AX29" s="574"/>
      <c r="AY29" s="77"/>
      <c r="AZ29" s="77"/>
      <c r="BA29" s="77"/>
    </row>
    <row r="30" spans="1:54" ht="10.9" thickTop="1" thickBot="1" x14ac:dyDescent="0.35">
      <c r="A30" s="77" t="s">
        <v>1051</v>
      </c>
      <c r="B30" s="355"/>
      <c r="C30" s="352"/>
      <c r="D30" s="355"/>
      <c r="E30" s="352"/>
      <c r="F30" s="355"/>
      <c r="G30" s="353"/>
      <c r="H30" s="75"/>
      <c r="I30" s="353"/>
      <c r="J30" s="75"/>
      <c r="K30" s="353"/>
      <c r="L30" s="352"/>
      <c r="M30" s="352"/>
      <c r="N30" s="351"/>
      <c r="O30" s="1595"/>
      <c r="P30" s="365"/>
      <c r="Q30" s="353"/>
      <c r="R30" s="353"/>
      <c r="S30" s="355"/>
      <c r="T30" s="80"/>
      <c r="U30" s="350"/>
      <c r="V30" s="75"/>
      <c r="W30" s="549"/>
      <c r="X30" s="77"/>
      <c r="Y30" s="549"/>
      <c r="Z30" s="372"/>
      <c r="AA30" s="77"/>
      <c r="AB30" s="77"/>
      <c r="AC30" s="77"/>
      <c r="AD30" s="372"/>
      <c r="AE30" s="372"/>
      <c r="AF30" s="77"/>
      <c r="AG30" s="372"/>
      <c r="AH30" s="574"/>
      <c r="AI30" s="574"/>
      <c r="AJ30" s="574"/>
      <c r="AK30" s="585"/>
      <c r="AL30" s="77"/>
      <c r="AM30" s="372"/>
      <c r="AN30" s="574"/>
      <c r="AO30" s="574"/>
      <c r="AP30" s="574"/>
      <c r="AQ30" s="585"/>
      <c r="AT30" s="574">
        <v>20000</v>
      </c>
      <c r="AU30" s="77"/>
      <c r="AV30" s="574">
        <v>20000</v>
      </c>
      <c r="AW30" s="574"/>
      <c r="AX30" s="574">
        <f t="shared" si="3"/>
        <v>20000</v>
      </c>
      <c r="AY30" s="77"/>
      <c r="AZ30" s="77"/>
      <c r="BA30" s="77"/>
    </row>
    <row r="31" spans="1:54" ht="10.5" thickBot="1" x14ac:dyDescent="0.35">
      <c r="A31" s="77" t="str">
        <f xml:space="preserve"> UPPER("25 Ambulance Insurance collections")</f>
        <v>25 AMBULANCE INSURANCE COLLECTIONS</v>
      </c>
      <c r="B31" s="355"/>
      <c r="C31" s="352"/>
      <c r="D31" s="355"/>
      <c r="E31" s="352"/>
      <c r="F31" s="355"/>
      <c r="G31" s="353"/>
      <c r="H31" s="75"/>
      <c r="I31" s="353"/>
      <c r="J31" s="75"/>
      <c r="K31" s="353"/>
      <c r="L31" s="352"/>
      <c r="M31" s="352"/>
      <c r="N31" s="351"/>
      <c r="O31" s="1595"/>
      <c r="P31" s="365"/>
      <c r="Q31" s="353"/>
      <c r="R31" s="353"/>
      <c r="S31" s="355"/>
      <c r="T31" s="80"/>
      <c r="U31" s="350"/>
      <c r="V31" s="75"/>
      <c r="W31" s="549"/>
      <c r="X31" s="77"/>
      <c r="Y31" s="549"/>
      <c r="Z31" s="372"/>
      <c r="AA31" s="77"/>
      <c r="AB31" s="77"/>
      <c r="AC31" s="77"/>
      <c r="AD31" s="372"/>
      <c r="AE31" s="372"/>
      <c r="AF31" s="77"/>
      <c r="AG31" s="372"/>
      <c r="AH31" s="574"/>
      <c r="AI31" s="574"/>
      <c r="AJ31" s="574"/>
      <c r="AK31" s="585"/>
      <c r="AL31" s="77"/>
      <c r="AM31" s="372"/>
      <c r="AN31" s="574"/>
      <c r="AO31" s="574"/>
      <c r="AP31" s="574"/>
      <c r="AQ31" s="585"/>
      <c r="AT31" s="2362"/>
      <c r="AU31" s="80"/>
      <c r="AV31" s="2362">
        <v>120000</v>
      </c>
      <c r="AW31" s="2362"/>
      <c r="AX31" s="2365">
        <f>AV31+140000</f>
        <v>260000</v>
      </c>
      <c r="AY31" s="80"/>
      <c r="AZ31" s="2362">
        <v>330000</v>
      </c>
      <c r="BA31" s="80"/>
      <c r="BB31" s="585"/>
    </row>
    <row r="32" spans="1:54" ht="10.9" thickTop="1" thickBot="1" x14ac:dyDescent="0.35">
      <c r="A32" s="359" t="s">
        <v>401</v>
      </c>
      <c r="B32" s="360">
        <f>SUM(B7:B29)</f>
        <v>1165859</v>
      </c>
      <c r="C32" s="361">
        <f>SUM(C7:C28)</f>
        <v>1729048.95</v>
      </c>
      <c r="D32" s="362">
        <f>SUM(D7:D28)</f>
        <v>1219824.97</v>
      </c>
      <c r="E32" s="361">
        <f>SUM(E7:E28)</f>
        <v>1711969.6799999997</v>
      </c>
      <c r="F32" s="362">
        <f>SUM(F7:F28)</f>
        <v>1212300</v>
      </c>
      <c r="G32" s="360">
        <f>SUM(G7:G29)</f>
        <v>1474633.0299999998</v>
      </c>
      <c r="H32" s="363">
        <f>SUM(H6:H29)</f>
        <v>1208300</v>
      </c>
      <c r="I32" s="360">
        <f>SUM(I6:I28)</f>
        <v>1376305.9299999997</v>
      </c>
      <c r="J32" s="363">
        <f>SUM(J7:J29)</f>
        <v>1240450</v>
      </c>
      <c r="K32" s="360">
        <f>SUM(K6:K29)</f>
        <v>1447788.36</v>
      </c>
      <c r="L32" s="361">
        <f>SUM(L7:L29)</f>
        <v>1320403</v>
      </c>
      <c r="M32" s="361">
        <f>SUM(M7:M29)</f>
        <v>1647246.6600000001</v>
      </c>
      <c r="N32" s="361">
        <f>SUM(N7:N29)</f>
        <v>1344000</v>
      </c>
      <c r="O32" s="456">
        <f>SUM(O7:O29)</f>
        <v>1736218.2</v>
      </c>
      <c r="P32" s="419">
        <f>SUM(P7:P29)</f>
        <v>1344000</v>
      </c>
      <c r="Q32" s="80">
        <f t="shared" ref="Q32:AC32" si="8">SUM(Q6:Q29)</f>
        <v>0</v>
      </c>
      <c r="R32" s="363">
        <f t="shared" si="8"/>
        <v>1457500</v>
      </c>
      <c r="S32" s="468">
        <f t="shared" si="8"/>
        <v>0</v>
      </c>
      <c r="T32" s="363">
        <f t="shared" si="8"/>
        <v>1398400</v>
      </c>
      <c r="U32" s="363">
        <f t="shared" si="8"/>
        <v>1457339.3800000001</v>
      </c>
      <c r="V32" s="363">
        <f t="shared" si="8"/>
        <v>1214700</v>
      </c>
      <c r="W32" s="363">
        <f t="shared" si="8"/>
        <v>1601130.1199999999</v>
      </c>
      <c r="X32" s="363">
        <f t="shared" si="8"/>
        <v>1241100</v>
      </c>
      <c r="Y32" s="363">
        <f t="shared" si="8"/>
        <v>1600116.36</v>
      </c>
      <c r="Z32" s="373">
        <f t="shared" si="8"/>
        <v>1241100</v>
      </c>
      <c r="AA32" s="363">
        <f>SUM(AA6:AA29)</f>
        <v>1728210.33</v>
      </c>
      <c r="AB32" s="373">
        <f t="shared" si="8"/>
        <v>1268487</v>
      </c>
      <c r="AC32" s="373">
        <f t="shared" si="8"/>
        <v>1268487</v>
      </c>
      <c r="AD32" s="373">
        <f>SUM(AD6:AD29)</f>
        <v>1258437</v>
      </c>
      <c r="AE32" s="373">
        <f>SUM(AE6:AE29)</f>
        <v>1788538.96</v>
      </c>
      <c r="AF32" s="575">
        <f>SUM(AF7:AF29)</f>
        <v>1311812</v>
      </c>
      <c r="AG32" s="373">
        <f>SUM(AG6:AG29)</f>
        <v>1782544.5500000003</v>
      </c>
      <c r="AH32" s="575">
        <f>SUM(AH7:AH28)</f>
        <v>1426975</v>
      </c>
      <c r="AI32" s="575">
        <f>SUM(AI7:AI28)</f>
        <v>1426975</v>
      </c>
      <c r="AJ32" s="575">
        <f>SUM(AJ7:AJ28)</f>
        <v>1426975</v>
      </c>
      <c r="AK32" s="575">
        <f>SUM(AK7:AK29)</f>
        <v>2091614.55</v>
      </c>
      <c r="AL32" s="575">
        <f>SUM(AL7:AL28)</f>
        <v>1505500</v>
      </c>
      <c r="AM32" s="575">
        <f t="shared" ref="AM32:AP32" si="9">SUM(AM7:AM28)</f>
        <v>1172609.78</v>
      </c>
      <c r="AN32" s="575">
        <f>SUM(AN7:AN28)</f>
        <v>1600000</v>
      </c>
      <c r="AO32" s="575"/>
      <c r="AP32" s="575">
        <f t="shared" si="9"/>
        <v>1600000</v>
      </c>
      <c r="AQ32" s="575"/>
      <c r="AR32" s="575">
        <f>SUM(AR7:AR30)</f>
        <v>1650000</v>
      </c>
      <c r="AT32" s="2362">
        <f>SUM(AT7:AT30)</f>
        <v>1670000</v>
      </c>
      <c r="AU32" s="2366"/>
      <c r="AV32" s="2362">
        <f>SUM(AV7:AV31)</f>
        <v>1933887</v>
      </c>
      <c r="AW32" s="2362"/>
      <c r="AX32" s="2362">
        <f>SUM(AX7:AX31)+101000</f>
        <v>2031000</v>
      </c>
      <c r="AY32" s="2362"/>
      <c r="AZ32" s="2362">
        <f>SUM(AZ7:AZ31)+BB31</f>
        <v>2088500</v>
      </c>
      <c r="BA32" s="2362"/>
    </row>
    <row r="34" spans="1:50" x14ac:dyDescent="0.3">
      <c r="A34" s="366" t="s">
        <v>388</v>
      </c>
      <c r="AC34" s="81" t="s">
        <v>262</v>
      </c>
      <c r="AX34" s="81">
        <v>2031000</v>
      </c>
    </row>
    <row r="36" spans="1:50" x14ac:dyDescent="0.3">
      <c r="U36" s="480"/>
      <c r="V36" s="530"/>
      <c r="W36" s="480"/>
      <c r="X36" s="530"/>
      <c r="AX36" s="585">
        <f>AX34-AX32</f>
        <v>0</v>
      </c>
    </row>
    <row r="44" spans="1:50" x14ac:dyDescent="0.3">
      <c r="C44" s="81">
        <v>225000</v>
      </c>
    </row>
  </sheetData>
  <phoneticPr fontId="39" type="noConversion"/>
  <printOptions gridLines="1"/>
  <pageMargins left="0.23622047244094491" right="0.23622047244094491" top="0.70866141732283472" bottom="0" header="0.19685039370078741" footer="0"/>
  <pageSetup fitToWidth="0" orientation="landscape" horizontalDpi="300" verticalDpi="300" r:id="rId1"/>
  <headerFooter alignWithMargins="0">
    <oddHeader xml:space="preserve">&amp;L30-Mar-2023
&amp;A
&amp;CTOWN OF TOPSFIELD FINANCE COMMITTEE
BUDGET WORKSHEETS
&amp;R&amp;"Arial,Bold"&amp;12VERSION 2.0
FY 2024
</oddHeader>
    <oddFooter xml:space="preserve">&amp;R
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0 E A A B Q S w M E F A A C A A g A t J 0 p T P V Z J D 6 n A A A A + A A A A B I A H A B D b 2 5 m a W c v U G F j a 2 F n Z S 5 4 b W w g o h g A K K A U A A A A A A A A A A A A A A A A A A A A A A A A A A A A h Y + x D o I w G I R f h X S n L V U T J D 9 l c J X E h G h c m 1 K h E Y q h x f J u D j 6 S r y C J o m 6 O d / d d c v e 4 3 S E b 2 y a 4 q t 7 q z q Q o w h Q F y s i u 1 K Z K 0 e B O Y Y w y D j s h z 6 J S w Q Q b m 4 x W p 6 h 2 7 p I Q 4 r 3 H f o G 7 v i K M 0 o g c 8 2 0 h a 9 W K U B v r h J E K f V r l / x b i c H i N 4 Q y v G F 6 u W Y S j m A G Z b c i 1 + S J T S j E F 8 m P C Z m j c 0 C u u T L g v g M w S y P s F f w J Q S w M E F A A C A A g A t J 0 p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S d K U y V i q w h p A E A A N M J A A A T A B w A R m 9 y b X V s Y X M v U 2 V j d G l v b j E u b S C i G A A o o B Q A A A A A A A A A A A A A A A A A A A A A A A A A A A D t l F 1 r w j A U h u 8 F / 0 P o b h Q 6 M Y m f G 1 7 M t o 4 y d Y P W j W F F q m Z a b J P R R F D E / 7 5 I 5 3 D Q w 3 a x 3 d m b w H t y P p 4 k f S W b q 0 h w 5 G U r v i 0 W i g W 5 C l O 2 Q F e G 7 f h 3 b h 9 1 R / a 9 4 6 O + O 3 S Q 6 z s D z 0 A d F D N V L C D 9 e W K T z p l W n O 2 c x Z U X k a 5 n Q q x L v S h m F U t w x b i S J c O 6 C U a S p T J I l r p 8 Y D O 5 V u I 9 6 E X c E k n Q e y V V 3 E a P g 6 H b H X m f H a 9 t 5 0 m 3 d Z 6 d P t L h V h V X a W U b y 6 1 R N h H f x L G J V L p h Z T M b B J 5 3 6 q 0 Y U 8 e p s 2 H 3 Y 1 e x p A P z m Q 8 R X 3 S M L G 1 y G N u h C i d f b a x V y J f 6 g P z d O z s W 9 c O Z R v X T k M s 3 k S a W i D c J P w Z l 6 c e Z z P 3 e y B K w o X F 0 E g r 5 7 m C i k 0 z y Z a p l l 6 t G r X J s d B a o Q Y H 6 q Z B i W 3 W m N / I b N I H t r f z t 7 X w Z V w E d o M U A L q a A D u L i O p A B 8 O I m o A P A G C A m A D G B 7 h c g J g A x q Q E 6 w E s a 0 A k R g J g A x A Q g p g A x B Y g p 9 K Q B Y g o Q U + h F 0 2 9 X f C g X C x H P / X d / 5 3 a o R M r / 5 X h T k f D o 4 m k X T 7 t 4 2 s X T / s b T P g B Q S w E C L Q A U A A I A C A C 0 n S l M 9 V k k P q c A A A D 4 A A A A E g A A A A A A A A A A A A A A A A A A A A A A Q 2 9 u Z m l n L 1 B h Y 2 t h Z 2 U u e G 1 s U E s B A i 0 A F A A C A A g A t J 0 p T A / K 6 a u k A A A A 6 Q A A A B M A A A A A A A A A A A A A A A A A 8 w A A A F t D b 2 5 0 Z W 5 0 X 1 R 5 c G V z X S 5 4 b W x Q S w E C L Q A U A A I A C A C 0 n S l M l Y q s I a Q B A A D T C Q A A E w A A A A A A A A A A A A A A A A D k A Q A A R m 9 y b X V s Y X M v U 2 V j d G l v b j E u b V B L B Q Y A A A A A A w A D A M I A A A D V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X P w A A A A A A A P U +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R V R B S U w l M j B C V U R H R V Q l M j B M S U 5 F J T I w S V R F T V M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E x h c 3 R V c G R h d G V k I i B W Y W x 1 Z T 0 i Z D I w M T g t M D E t M T B U M D A 6 M D c 6 M j I u O T g y M T U w M 1 o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t d I i A v P j x F b n R y e S B U e X B l P S J G a W x s R X J y b 3 J D b 2 R l I i B W Y W x 1 Z T 0 i c 1 V u a 2 5 v d 2 4 i I C 8 + P E V u d H J 5 I F R 5 c G U 9 I k Z p b G x D b 2 x 1 b W 5 U e X B l c y I g V m F s d W U 9 I n N B Q U F E Q X d Z Q U J n Q U F B Q U F B Q U F N Q U F B Q U F B Q U F B Q U F B Q U F B T U F B Q U F B Q U F B Q U F B W U E i I C 8 + P E V u d H J 5 I F R 5 c G U 9 I k Z p b G x F c n J v c k N v d W 5 0 I i B W Y W x 1 Z T 0 i b D A i I C 8 + P E V u d H J 5 I F R 5 c G U 9 I k Z p b G x D b 3 V u d C I g V m F s d W U 9 I m w 4 N z g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z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E V U Q U l M I E J V R E d F V C B M S U 5 F I E l U R U 1 T L 0 N o Y W 5 n Z W Q g V H l w Z S 5 7 Q 2 9 s d W 1 u M S w w f S Z x d W 9 0 O y w m c X V v d D t T Z W N 0 a W 9 u M S 9 E R V R B S U w g Q l V E R 0 V U I E x J T k U g S V R F T V M v Q 2 h h b m d l Z C B U e X B l L n t D b 2 x 1 b W 4 y L D F 9 J n F 1 b 3 Q 7 L C Z x d W 9 0 O 1 N l Y 3 R p b 2 4 x L 0 R F V E F J T C B C V U R H R V Q g T E l O R S B J V E V N U y 9 D a G F u Z 2 V k I F R 5 c G U u e 0 N v b H V t b j M s M n 0 m c X V v d D s s J n F 1 b 3 Q 7 U 2 V j d G l v b j E v R E V U Q U l M I E J V R E d F V C B M S U 5 F I E l U R U 1 T L 0 N o Y W 5 n Z W Q g V H l w Z S 5 7 Q 2 9 s d W 1 u N C w z f S Z x d W 9 0 O y w m c X V v d D t T Z W N 0 a W 9 u M S 9 E R V R B S U w g Q l V E R 0 V U I E x J T k U g S V R F T V M v Q 2 h h b m d l Z C B U e X B l L n t D b 2 x 1 b W 4 1 L D R 9 J n F 1 b 3 Q 7 L C Z x d W 9 0 O 1 N l Y 3 R p b 2 4 x L 0 R F V E F J T C B C V U R H R V Q g T E l O R S B J V E V N U y 9 D a G F u Z 2 V k I F R 5 c G U u e 0 N v b H V t b j Y s N X 0 m c X V v d D s s J n F 1 b 3 Q 7 U 2 V j d G l v b j E v R E V U Q U l M I E J V R E d F V C B M S U 5 F I E l U R U 1 T L 0 N o Y W 5 n Z W Q g V H l w Z S 5 7 Q 2 9 s d W 1 u N y w 2 f S Z x d W 9 0 O y w m c X V v d D t T Z W N 0 a W 9 u M S 9 E R V R B S U w g Q l V E R 0 V U I E x J T k U g S V R F T V M v Q 2 h h b m d l Z C B U e X B l L n t D b 2 x 1 b W 4 4 L D d 9 J n F 1 b 3 Q 7 L C Z x d W 9 0 O 1 N l Y 3 R p b 2 4 x L 0 R F V E F J T C B C V U R H R V Q g T E l O R S B J V E V N U y 9 D a G F u Z 2 V k I F R 5 c G U u e 0 N v b H V t b j k s O H 0 m c X V v d D s s J n F 1 b 3 Q 7 U 2 V j d G l v b j E v R E V U Q U l M I E J V R E d F V C B M S U 5 F I E l U R U 1 T L 0 N o Y W 5 n Z W Q g V H l w Z S 5 7 Q 2 9 s d W 1 u M T A s O X 0 m c X V v d D s s J n F 1 b 3 Q 7 U 2 V j d G l v b j E v R E V U Q U l M I E J V R E d F V C B M S U 5 F I E l U R U 1 T L 0 N o Y W 5 n Z W Q g V H l w Z S 5 7 Q 2 9 s d W 1 u M T E s M T B 9 J n F 1 b 3 Q 7 L C Z x d W 9 0 O 1 N l Y 3 R p b 2 4 x L 0 R F V E F J T C B C V U R H R V Q g T E l O R S B J V E V N U y 9 D a G F u Z 2 V k I F R 5 c G U u e 0 N v b H V t b j E y L D E x f S Z x d W 9 0 O y w m c X V v d D t T Z W N 0 a W 9 u M S 9 E R V R B S U w g Q l V E R 0 V U I E x J T k U g S V R F T V M v Q 2 h h b m d l Z C B U e X B l L n t D b 2 x 1 b W 4 x M y w x M n 0 m c X V v d D s s J n F 1 b 3 Q 7 U 2 V j d G l v b j E v R E V U Q U l M I E J V R E d F V C B M S U 5 F I E l U R U 1 T L 0 N o Y W 5 n Z W Q g V H l w Z S 5 7 Q 2 9 s d W 1 u M T Q s M T N 9 J n F 1 b 3 Q 7 L C Z x d W 9 0 O 1 N l Y 3 R p b 2 4 x L 0 R F V E F J T C B C V U R H R V Q g T E l O R S B J V E V N U y 9 D a G F u Z 2 V k I F R 5 c G U u e 0 N v b H V t b j E 1 L D E 0 f S Z x d W 9 0 O y w m c X V v d D t T Z W N 0 a W 9 u M S 9 E R V R B S U w g Q l V E R 0 V U I E x J T k U g S V R F T V M v Q 2 h h b m d l Z C B U e X B l L n t D b 2 x 1 b W 4 x N i w x N X 0 m c X V v d D s s J n F 1 b 3 Q 7 U 2 V j d G l v b j E v R E V U Q U l M I E J V R E d F V C B M S U 5 F I E l U R U 1 T L 0 N o Y W 5 n Z W Q g V H l w Z S 5 7 Q 2 9 s d W 1 u M T c s M T Z 9 J n F 1 b 3 Q 7 L C Z x d W 9 0 O 1 N l Y 3 R p b 2 4 x L 0 R F V E F J T C B C V U R H R V Q g T E l O R S B J V E V N U y 9 D a G F u Z 2 V k I F R 5 c G U u e 0 N v b H V t b j E 4 L D E 3 f S Z x d W 9 0 O y w m c X V v d D t T Z W N 0 a W 9 u M S 9 E R V R B S U w g Q l V E R 0 V U I E x J T k U g S V R F T V M v Q 2 h h b m d l Z C B U e X B l L n t D b 2 x 1 b W 4 x O S w x O H 0 m c X V v d D s s J n F 1 b 3 Q 7 U 2 V j d G l v b j E v R E V U Q U l M I E J V R E d F V C B M S U 5 F I E l U R U 1 T L 0 N o Y W 5 n Z W Q g V H l w Z S 5 7 Q 2 9 s d W 1 u M j A s M T l 9 J n F 1 b 3 Q 7 L C Z x d W 9 0 O 1 N l Y 3 R p b 2 4 x L 0 R F V E F J T C B C V U R H R V Q g T E l O R S B J V E V N U y 9 D a G F u Z 2 V k I F R 5 c G U u e 0 N v b H V t b j I x L D I w f S Z x d W 9 0 O y w m c X V v d D t T Z W N 0 a W 9 u M S 9 E R V R B S U w g Q l V E R 0 V U I E x J T k U g S V R F T V M v Q 2 h h b m d l Z C B U e X B l L n t D b 2 x 1 b W 4 y M i w y M X 0 m c X V v d D s s J n F 1 b 3 Q 7 U 2 V j d G l v b j E v R E V U Q U l M I E J V R E d F V C B M S U 5 F I E l U R U 1 T L 0 N o Y W 5 n Z W Q g V H l w Z S 5 7 Q 2 9 s d W 1 u M j M s M j J 9 J n F 1 b 3 Q 7 L C Z x d W 9 0 O 1 N l Y 3 R p b 2 4 x L 0 R F V E F J T C B C V U R H R V Q g T E l O R S B J V E V N U y 9 D a G F u Z 2 V k I F R 5 c G U u e 0 N v b H V t b j I 0 L D I z f S Z x d W 9 0 O y w m c X V v d D t T Z W N 0 a W 9 u M S 9 E R V R B S U w g Q l V E R 0 V U I E x J T k U g S V R F T V M v Q 2 h h b m d l Z C B U e X B l L n t D b 2 x 1 b W 4 y N S w y N H 0 m c X V v d D s s J n F 1 b 3 Q 7 U 2 V j d G l v b j E v R E V U Q U l M I E J V R E d F V C B M S U 5 F I E l U R U 1 T L 0 N o Y W 5 n Z W Q g V H l w Z S 5 7 Q 2 9 s d W 1 u M j Y s M j V 9 J n F 1 b 3 Q 7 L C Z x d W 9 0 O 1 N l Y 3 R p b 2 4 x L 0 R F V E F J T C B C V U R H R V Q g T E l O R S B J V E V N U y 9 D a G F u Z 2 V k I F R 5 c G U u e 0 N v b H V t b j I 3 L D I 2 f S Z x d W 9 0 O y w m c X V v d D t T Z W N 0 a W 9 u M S 9 E R V R B S U w g Q l V E R 0 V U I E x J T k U g S V R F T V M v Q 2 h h b m d l Z C B U e X B l L n t D b 2 x 1 b W 4 y O C w y N 3 0 m c X V v d D s s J n F 1 b 3 Q 7 U 2 V j d G l v b j E v R E V U Q U l M I E J V R E d F V C B M S U 5 F I E l U R U 1 T L 0 N o Y W 5 n Z W Q g V H l w Z S 5 7 Q 2 9 s d W 1 u M j k s M j h 9 J n F 1 b 3 Q 7 L C Z x d W 9 0 O 1 N l Y 3 R p b 2 4 x L 0 R F V E F J T C B C V U R H R V Q g T E l O R S B J V E V N U y 9 D a G F u Z 2 V k I F R 5 c G U u e 0 N v b H V t b j M w L D I 5 f S Z x d W 9 0 O y w m c X V v d D t T Z W N 0 a W 9 u M S 9 E R V R B S U w g Q l V E R 0 V U I E x J T k U g S V R F T V M v Q 2 h h b m d l Z C B U e X B l L n t D b 2 x 1 b W 4 z M S w z M H 0 m c X V v d D s s J n F 1 b 3 Q 7 U 2 V j d G l v b j E v R E V U Q U l M I E J V R E d F V C B M S U 5 F I E l U R U 1 T L 0 N o Y W 5 n Z W Q g V H l w Z S 5 7 Q 2 9 s d W 1 u M z I s M z F 9 J n F 1 b 3 Q 7 L C Z x d W 9 0 O 1 N l Y 3 R p b 2 4 x L 0 R F V E F J T C B C V U R H R V Q g T E l O R S B J V E V N U y 9 D a G F u Z 2 V k I F R 5 c G U u e 0 N v b H V t b j M z L D M y f S Z x d W 9 0 O y w m c X V v d D t T Z W N 0 a W 9 u M S 9 E R V R B S U w g Q l V E R 0 V U I E x J T k U g S V R F T V M v Q 2 h h b m d l Z C B U e X B l L n t D b 2 x 1 b W 4 z N C w z M 3 0 m c X V v d D s s J n F 1 b 3 Q 7 U 2 V j d G l v b j E v R E V U Q U l M I E J V R E d F V C B M S U 5 F I E l U R U 1 T L 0 N o Y W 5 n Z W Q g V H l w Z S 5 7 Q 2 9 s d W 1 u M z U s M z R 9 J n F 1 b 3 Q 7 L C Z x d W 9 0 O 1 N l Y 3 R p b 2 4 x L 0 R F V E F J T C B C V U R H R V Q g T E l O R S B J V E V N U y 9 D a G F u Z 2 V k I F R 5 c G U u e 0 N v b H V t b j M 2 L D M 1 f S Z x d W 9 0 O 1 0 s J n F 1 b 3 Q 7 Q 2 9 s d W 1 u Q 2 9 1 b n Q m c X V v d D s 6 M z Y s J n F 1 b 3 Q 7 S 2 V 5 Q 2 9 s d W 1 u T m F t Z X M m c X V v d D s 6 W 1 0 s J n F 1 b 3 Q 7 Q 2 9 s d W 1 u S W R l b n R p d G l l c y Z x d W 9 0 O z p b J n F 1 b 3 Q 7 U 2 V j d G l v b j E v R E V U Q U l M I E J V R E d F V C B M S U 5 F I E l U R U 1 T L 0 N o Y W 5 n Z W Q g V H l w Z S 5 7 Q 2 9 s d W 1 u M S w w f S Z x d W 9 0 O y w m c X V v d D t T Z W N 0 a W 9 u M S 9 E R V R B S U w g Q l V E R 0 V U I E x J T k U g S V R F T V M v Q 2 h h b m d l Z C B U e X B l L n t D b 2 x 1 b W 4 y L D F 9 J n F 1 b 3 Q 7 L C Z x d W 9 0 O 1 N l Y 3 R p b 2 4 x L 0 R F V E F J T C B C V U R H R V Q g T E l O R S B J V E V N U y 9 D a G F u Z 2 V k I F R 5 c G U u e 0 N v b H V t b j M s M n 0 m c X V v d D s s J n F 1 b 3 Q 7 U 2 V j d G l v b j E v R E V U Q U l M I E J V R E d F V C B M S U 5 F I E l U R U 1 T L 0 N o Y W 5 n Z W Q g V H l w Z S 5 7 Q 2 9 s d W 1 u N C w z f S Z x d W 9 0 O y w m c X V v d D t T Z W N 0 a W 9 u M S 9 E R V R B S U w g Q l V E R 0 V U I E x J T k U g S V R F T V M v Q 2 h h b m d l Z C B U e X B l L n t D b 2 x 1 b W 4 1 L D R 9 J n F 1 b 3 Q 7 L C Z x d W 9 0 O 1 N l Y 3 R p b 2 4 x L 0 R F V E F J T C B C V U R H R V Q g T E l O R S B J V E V N U y 9 D a G F u Z 2 V k I F R 5 c G U u e 0 N v b H V t b j Y s N X 0 m c X V v d D s s J n F 1 b 3 Q 7 U 2 V j d G l v b j E v R E V U Q U l M I E J V R E d F V C B M S U 5 F I E l U R U 1 T L 0 N o Y W 5 n Z W Q g V H l w Z S 5 7 Q 2 9 s d W 1 u N y w 2 f S Z x d W 9 0 O y w m c X V v d D t T Z W N 0 a W 9 u M S 9 E R V R B S U w g Q l V E R 0 V U I E x J T k U g S V R F T V M v Q 2 h h b m d l Z C B U e X B l L n t D b 2 x 1 b W 4 4 L D d 9 J n F 1 b 3 Q 7 L C Z x d W 9 0 O 1 N l Y 3 R p b 2 4 x L 0 R F V E F J T C B C V U R H R V Q g T E l O R S B J V E V N U y 9 D a G F u Z 2 V k I F R 5 c G U u e 0 N v b H V t b j k s O H 0 m c X V v d D s s J n F 1 b 3 Q 7 U 2 V j d G l v b j E v R E V U Q U l M I E J V R E d F V C B M S U 5 F I E l U R U 1 T L 0 N o Y W 5 n Z W Q g V H l w Z S 5 7 Q 2 9 s d W 1 u M T A s O X 0 m c X V v d D s s J n F 1 b 3 Q 7 U 2 V j d G l v b j E v R E V U Q U l M I E J V R E d F V C B M S U 5 F I E l U R U 1 T L 0 N o Y W 5 n Z W Q g V H l w Z S 5 7 Q 2 9 s d W 1 u M T E s M T B 9 J n F 1 b 3 Q 7 L C Z x d W 9 0 O 1 N l Y 3 R p b 2 4 x L 0 R F V E F J T C B C V U R H R V Q g T E l O R S B J V E V N U y 9 D a G F u Z 2 V k I F R 5 c G U u e 0 N v b H V t b j E y L D E x f S Z x d W 9 0 O y w m c X V v d D t T Z W N 0 a W 9 u M S 9 E R V R B S U w g Q l V E R 0 V U I E x J T k U g S V R F T V M v Q 2 h h b m d l Z C B U e X B l L n t D b 2 x 1 b W 4 x M y w x M n 0 m c X V v d D s s J n F 1 b 3 Q 7 U 2 V j d G l v b j E v R E V U Q U l M I E J V R E d F V C B M S U 5 F I E l U R U 1 T L 0 N o Y W 5 n Z W Q g V H l w Z S 5 7 Q 2 9 s d W 1 u M T Q s M T N 9 J n F 1 b 3 Q 7 L C Z x d W 9 0 O 1 N l Y 3 R p b 2 4 x L 0 R F V E F J T C B C V U R H R V Q g T E l O R S B J V E V N U y 9 D a G F u Z 2 V k I F R 5 c G U u e 0 N v b H V t b j E 1 L D E 0 f S Z x d W 9 0 O y w m c X V v d D t T Z W N 0 a W 9 u M S 9 E R V R B S U w g Q l V E R 0 V U I E x J T k U g S V R F T V M v Q 2 h h b m d l Z C B U e X B l L n t D b 2 x 1 b W 4 x N i w x N X 0 m c X V v d D s s J n F 1 b 3 Q 7 U 2 V j d G l v b j E v R E V U Q U l M I E J V R E d F V C B M S U 5 F I E l U R U 1 T L 0 N o Y W 5 n Z W Q g V H l w Z S 5 7 Q 2 9 s d W 1 u M T c s M T Z 9 J n F 1 b 3 Q 7 L C Z x d W 9 0 O 1 N l Y 3 R p b 2 4 x L 0 R F V E F J T C B C V U R H R V Q g T E l O R S B J V E V N U y 9 D a G F u Z 2 V k I F R 5 c G U u e 0 N v b H V t b j E 4 L D E 3 f S Z x d W 9 0 O y w m c X V v d D t T Z W N 0 a W 9 u M S 9 E R V R B S U w g Q l V E R 0 V U I E x J T k U g S V R F T V M v Q 2 h h b m d l Z C B U e X B l L n t D b 2 x 1 b W 4 x O S w x O H 0 m c X V v d D s s J n F 1 b 3 Q 7 U 2 V j d G l v b j E v R E V U Q U l M I E J V R E d F V C B M S U 5 F I E l U R U 1 T L 0 N o Y W 5 n Z W Q g V H l w Z S 5 7 Q 2 9 s d W 1 u M j A s M T l 9 J n F 1 b 3 Q 7 L C Z x d W 9 0 O 1 N l Y 3 R p b 2 4 x L 0 R F V E F J T C B C V U R H R V Q g T E l O R S B J V E V N U y 9 D a G F u Z 2 V k I F R 5 c G U u e 0 N v b H V t b j I x L D I w f S Z x d W 9 0 O y w m c X V v d D t T Z W N 0 a W 9 u M S 9 E R V R B S U w g Q l V E R 0 V U I E x J T k U g S V R F T V M v Q 2 h h b m d l Z C B U e X B l L n t D b 2 x 1 b W 4 y M i w y M X 0 m c X V v d D s s J n F 1 b 3 Q 7 U 2 V j d G l v b j E v R E V U Q U l M I E J V R E d F V C B M S U 5 F I E l U R U 1 T L 0 N o Y W 5 n Z W Q g V H l w Z S 5 7 Q 2 9 s d W 1 u M j M s M j J 9 J n F 1 b 3 Q 7 L C Z x d W 9 0 O 1 N l Y 3 R p b 2 4 x L 0 R F V E F J T C B C V U R H R V Q g T E l O R S B J V E V N U y 9 D a G F u Z 2 V k I F R 5 c G U u e 0 N v b H V t b j I 0 L D I z f S Z x d W 9 0 O y w m c X V v d D t T Z W N 0 a W 9 u M S 9 E R V R B S U w g Q l V E R 0 V U I E x J T k U g S V R F T V M v Q 2 h h b m d l Z C B U e X B l L n t D b 2 x 1 b W 4 y N S w y N H 0 m c X V v d D s s J n F 1 b 3 Q 7 U 2 V j d G l v b j E v R E V U Q U l M I E J V R E d F V C B M S U 5 F I E l U R U 1 T L 0 N o Y W 5 n Z W Q g V H l w Z S 5 7 Q 2 9 s d W 1 u M j Y s M j V 9 J n F 1 b 3 Q 7 L C Z x d W 9 0 O 1 N l Y 3 R p b 2 4 x L 0 R F V E F J T C B C V U R H R V Q g T E l O R S B J V E V N U y 9 D a G F u Z 2 V k I F R 5 c G U u e 0 N v b H V t b j I 3 L D I 2 f S Z x d W 9 0 O y w m c X V v d D t T Z W N 0 a W 9 u M S 9 E R V R B S U w g Q l V E R 0 V U I E x J T k U g S V R F T V M v Q 2 h h b m d l Z C B U e X B l L n t D b 2 x 1 b W 4 y O C w y N 3 0 m c X V v d D s s J n F 1 b 3 Q 7 U 2 V j d G l v b j E v R E V U Q U l M I E J V R E d F V C B M S U 5 F I E l U R U 1 T L 0 N o Y W 5 n Z W Q g V H l w Z S 5 7 Q 2 9 s d W 1 u M j k s M j h 9 J n F 1 b 3 Q 7 L C Z x d W 9 0 O 1 N l Y 3 R p b 2 4 x L 0 R F V E F J T C B C V U R H R V Q g T E l O R S B J V E V N U y 9 D a G F u Z 2 V k I F R 5 c G U u e 0 N v b H V t b j M w L D I 5 f S Z x d W 9 0 O y w m c X V v d D t T Z W N 0 a W 9 u M S 9 E R V R B S U w g Q l V E R 0 V U I E x J T k U g S V R F T V M v Q 2 h h b m d l Z C B U e X B l L n t D b 2 x 1 b W 4 z M S w z M H 0 m c X V v d D s s J n F 1 b 3 Q 7 U 2 V j d G l v b j E v R E V U Q U l M I E J V R E d F V C B M S U 5 F I E l U R U 1 T L 0 N o Y W 5 n Z W Q g V H l w Z S 5 7 Q 2 9 s d W 1 u M z I s M z F 9 J n F 1 b 3 Q 7 L C Z x d W 9 0 O 1 N l Y 3 R p b 2 4 x L 0 R F V E F J T C B C V U R H R V Q g T E l O R S B J V E V N U y 9 D a G F u Z 2 V k I F R 5 c G U u e 0 N v b H V t b j M z L D M y f S Z x d W 9 0 O y w m c X V v d D t T Z W N 0 a W 9 u M S 9 E R V R B S U w g Q l V E R 0 V U I E x J T k U g S V R F T V M v Q 2 h h b m d l Z C B U e X B l L n t D b 2 x 1 b W 4 z N C w z M 3 0 m c X V v d D s s J n F 1 b 3 Q 7 U 2 V j d G l v b j E v R E V U Q U l M I E J V R E d F V C B M S U 5 F I E l U R U 1 T L 0 N o Y W 5 n Z W Q g V H l w Z S 5 7 Q 2 9 s d W 1 u M z U s M z R 9 J n F 1 b 3 Q 7 L C Z x d W 9 0 O 1 N l Y 3 R p b 2 4 x L 0 R F V E F J T C B C V U R H R V Q g T E l O R S B J V E V N U y 9 D a G F u Z 2 V k I F R 5 c G U u e 0 N v b H V t b j M 2 L D M 1 f S Z x d W 9 0 O 1 0 s J n F 1 b 3 Q 7 U m V s Y X R p b 2 5 z a G l w S W 5 m b y Z x d W 9 0 O z p b X X 0 i I C 8 + P E V u d H J 5 I F R 5 c G U 9 I k J 1 Z m Z l c k 5 l e H R S Z W Z y Z X N o I i B W Y W x 1 Z T 0 i b D E i I C 8 + P E V u d H J 5 I F R 5 c G U 9 I l J l c 3 V s d F R 5 c G U i I F Z h b H V l P S J z V G F i b G U i I C 8 + P C 9 T d G F i b G V F b n R y a W V z P j w v S X R l b T 4 8 S X R l b T 4 8 S X R l b U x v Y 2 F 0 a W 9 u P j x J d G V t V H l w Z T 5 G b 3 J t d W x h P C 9 J d G V t V H l w Z T 4 8 S X R l b V B h d G g + U 2 V j d G l v b j E v R E V U Q U l M J T I w Q l V E R 0 V U J T I w T E l O R S U y M E l U R U 1 T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V E F J T C U y M E J V R E d F V C U y M E x J T k U l M j B J V E V N U y 9 E R V R B S U w l M j B C V U R H R V Q l M j B M S U 5 F J T I w S V R F T V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V R B S U w l M j B C V U R H R V Q l M j B M S U 5 F J T I w S V R F T V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V R B S U w l M j B C V U R H R V Q l M j B M S U 5 F J T I w S V R F T V M l M j A o M i k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E t M T B U M D A 6 N D Q 6 M z k u N T E 2 M z g 5 M V o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t d I i A v P j x F b n R y e S B U e X B l P S J G a W x s R X J y b 3 J D b 2 R l I i B W Y W x 1 Z T 0 i c 1 V u a 2 5 v d 2 4 i I C 8 + P E V u d H J 5 I F R 5 c G U 9 I k Z p b G x D b 2 x 1 b W 5 U e X B l c y I g V m F s d W U 9 I n N B Q U F E Q X d Z Q U J n Q U F B Q U F B Q U F N Q U F B Q U F B Q U F B Q U F B Q U F B T U F B Q U F B Q U F B Q U F B W U E i I C 8 + P E V u d H J 5 I F R 5 c G U 9 I k Z p b G x F c n J v c k N v d W 5 0 I i B W Y W x 1 Z T 0 i b D A i I C 8 + P E V u d H J 5 I F R 5 c G U 9 I k Z p b G x D b 3 V u d C I g V m F s d W U 9 I m w 4 N z g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z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E V U Q U l M I E J V R E d F V C B M S U 5 F I E l U R U 1 T I C g y K S 9 D a G F u Z 2 V k I F R 5 c G U u e 0 N v b H V t b j E s M H 0 m c X V v d D s s J n F 1 b 3 Q 7 U 2 V j d G l v b j E v R E V U Q U l M I E J V R E d F V C B M S U 5 F I E l U R U 1 T I C g y K S 9 D a G F u Z 2 V k I F R 5 c G U u e 0 N v b H V t b j I s M X 0 m c X V v d D s s J n F 1 b 3 Q 7 U 2 V j d G l v b j E v R E V U Q U l M I E J V R E d F V C B M S U 5 F I E l U R U 1 T I C g y K S 9 D a G F u Z 2 V k I F R 5 c G U u e 0 N v b H V t b j M s M n 0 m c X V v d D s s J n F 1 b 3 Q 7 U 2 V j d G l v b j E v R E V U Q U l M I E J V R E d F V C B M S U 5 F I E l U R U 1 T I C g y K S 9 D a G F u Z 2 V k I F R 5 c G U u e 0 N v b H V t b j Q s M 3 0 m c X V v d D s s J n F 1 b 3 Q 7 U 2 V j d G l v b j E v R E V U Q U l M I E J V R E d F V C B M S U 5 F I E l U R U 1 T I C g y K S 9 D a G F u Z 2 V k I F R 5 c G U u e 0 N v b H V t b j U s N H 0 m c X V v d D s s J n F 1 b 3 Q 7 U 2 V j d G l v b j E v R E V U Q U l M I E J V R E d F V C B M S U 5 F I E l U R U 1 T I C g y K S 9 D a G F u Z 2 V k I F R 5 c G U u e 0 N v b H V t b j Y s N X 0 m c X V v d D s s J n F 1 b 3 Q 7 U 2 V j d G l v b j E v R E V U Q U l M I E J V R E d F V C B M S U 5 F I E l U R U 1 T I C g y K S 9 D a G F u Z 2 V k I F R 5 c G U u e 0 N v b H V t b j c s N n 0 m c X V v d D s s J n F 1 b 3 Q 7 U 2 V j d G l v b j E v R E V U Q U l M I E J V R E d F V C B M S U 5 F I E l U R U 1 T I C g y K S 9 D a G F u Z 2 V k I F R 5 c G U u e 0 N v b H V t b j g s N 3 0 m c X V v d D s s J n F 1 b 3 Q 7 U 2 V j d G l v b j E v R E V U Q U l M I E J V R E d F V C B M S U 5 F I E l U R U 1 T I C g y K S 9 D a G F u Z 2 V k I F R 5 c G U u e 0 N v b H V t b j k s O H 0 m c X V v d D s s J n F 1 b 3 Q 7 U 2 V j d G l v b j E v R E V U Q U l M I E J V R E d F V C B M S U 5 F I E l U R U 1 T I C g y K S 9 D a G F u Z 2 V k I F R 5 c G U u e 0 N v b H V t b j E w L D l 9 J n F 1 b 3 Q 7 L C Z x d W 9 0 O 1 N l Y 3 R p b 2 4 x L 0 R F V E F J T C B C V U R H R V Q g T E l O R S B J V E V N U y A o M i k v Q 2 h h b m d l Z C B U e X B l L n t D b 2 x 1 b W 4 x M S w x M H 0 m c X V v d D s s J n F 1 b 3 Q 7 U 2 V j d G l v b j E v R E V U Q U l M I E J V R E d F V C B M S U 5 F I E l U R U 1 T I C g y K S 9 D a G F u Z 2 V k I F R 5 c G U u e 0 N v b H V t b j E y L D E x f S Z x d W 9 0 O y w m c X V v d D t T Z W N 0 a W 9 u M S 9 E R V R B S U w g Q l V E R 0 V U I E x J T k U g S V R F T V M g K D I p L 0 N o Y W 5 n Z W Q g V H l w Z S 5 7 Q 2 9 s d W 1 u M T M s M T J 9 J n F 1 b 3 Q 7 L C Z x d W 9 0 O 1 N l Y 3 R p b 2 4 x L 0 R F V E F J T C B C V U R H R V Q g T E l O R S B J V E V N U y A o M i k v Q 2 h h b m d l Z C B U e X B l L n t D b 2 x 1 b W 4 x N C w x M 3 0 m c X V v d D s s J n F 1 b 3 Q 7 U 2 V j d G l v b j E v R E V U Q U l M I E J V R E d F V C B M S U 5 F I E l U R U 1 T I C g y K S 9 D a G F u Z 2 V k I F R 5 c G U u e 0 N v b H V t b j E 1 L D E 0 f S Z x d W 9 0 O y w m c X V v d D t T Z W N 0 a W 9 u M S 9 E R V R B S U w g Q l V E R 0 V U I E x J T k U g S V R F T V M g K D I p L 0 N o Y W 5 n Z W Q g V H l w Z S 5 7 Q 2 9 s d W 1 u M T Y s M T V 9 J n F 1 b 3 Q 7 L C Z x d W 9 0 O 1 N l Y 3 R p b 2 4 x L 0 R F V E F J T C B C V U R H R V Q g T E l O R S B J V E V N U y A o M i k v Q 2 h h b m d l Z C B U e X B l L n t D b 2 x 1 b W 4 x N y w x N n 0 m c X V v d D s s J n F 1 b 3 Q 7 U 2 V j d G l v b j E v R E V U Q U l M I E J V R E d F V C B M S U 5 F I E l U R U 1 T I C g y K S 9 D a G F u Z 2 V k I F R 5 c G U u e 0 N v b H V t b j E 4 L D E 3 f S Z x d W 9 0 O y w m c X V v d D t T Z W N 0 a W 9 u M S 9 E R V R B S U w g Q l V E R 0 V U I E x J T k U g S V R F T V M g K D I p L 0 N o Y W 5 n Z W Q g V H l w Z S 5 7 Q 2 9 s d W 1 u M T k s M T h 9 J n F 1 b 3 Q 7 L C Z x d W 9 0 O 1 N l Y 3 R p b 2 4 x L 0 R F V E F J T C B C V U R H R V Q g T E l O R S B J V E V N U y A o M i k v Q 2 h h b m d l Z C B U e X B l L n t D b 2 x 1 b W 4 y M C w x O X 0 m c X V v d D s s J n F 1 b 3 Q 7 U 2 V j d G l v b j E v R E V U Q U l M I E J V R E d F V C B M S U 5 F I E l U R U 1 T I C g y K S 9 D a G F u Z 2 V k I F R 5 c G U u e 0 N v b H V t b j I x L D I w f S Z x d W 9 0 O y w m c X V v d D t T Z W N 0 a W 9 u M S 9 E R V R B S U w g Q l V E R 0 V U I E x J T k U g S V R F T V M g K D I p L 0 N o Y W 5 n Z W Q g V H l w Z S 5 7 Q 2 9 s d W 1 u M j I s M j F 9 J n F 1 b 3 Q 7 L C Z x d W 9 0 O 1 N l Y 3 R p b 2 4 x L 0 R F V E F J T C B C V U R H R V Q g T E l O R S B J V E V N U y A o M i k v Q 2 h h b m d l Z C B U e X B l L n t D b 2 x 1 b W 4 y M y w y M n 0 m c X V v d D s s J n F 1 b 3 Q 7 U 2 V j d G l v b j E v R E V U Q U l M I E J V R E d F V C B M S U 5 F I E l U R U 1 T I C g y K S 9 D a G F u Z 2 V k I F R 5 c G U u e 0 N v b H V t b j I 0 L D I z f S Z x d W 9 0 O y w m c X V v d D t T Z W N 0 a W 9 u M S 9 E R V R B S U w g Q l V E R 0 V U I E x J T k U g S V R F T V M g K D I p L 0 N o Y W 5 n Z W Q g V H l w Z S 5 7 Q 2 9 s d W 1 u M j U s M j R 9 J n F 1 b 3 Q 7 L C Z x d W 9 0 O 1 N l Y 3 R p b 2 4 x L 0 R F V E F J T C B C V U R H R V Q g T E l O R S B J V E V N U y A o M i k v Q 2 h h b m d l Z C B U e X B l L n t D b 2 x 1 b W 4 y N i w y N X 0 m c X V v d D s s J n F 1 b 3 Q 7 U 2 V j d G l v b j E v R E V U Q U l M I E J V R E d F V C B M S U 5 F I E l U R U 1 T I C g y K S 9 D a G F u Z 2 V k I F R 5 c G U u e 0 N v b H V t b j I 3 L D I 2 f S Z x d W 9 0 O y w m c X V v d D t T Z W N 0 a W 9 u M S 9 E R V R B S U w g Q l V E R 0 V U I E x J T k U g S V R F T V M g K D I p L 0 N o Y W 5 n Z W Q g V H l w Z S 5 7 Q 2 9 s d W 1 u M j g s M j d 9 J n F 1 b 3 Q 7 L C Z x d W 9 0 O 1 N l Y 3 R p b 2 4 x L 0 R F V E F J T C B C V U R H R V Q g T E l O R S B J V E V N U y A o M i k v Q 2 h h b m d l Z C B U e X B l L n t D b 2 x 1 b W 4 y O S w y O H 0 m c X V v d D s s J n F 1 b 3 Q 7 U 2 V j d G l v b j E v R E V U Q U l M I E J V R E d F V C B M S U 5 F I E l U R U 1 T I C g y K S 9 D a G F u Z 2 V k I F R 5 c G U u e 0 N v b H V t b j M w L D I 5 f S Z x d W 9 0 O y w m c X V v d D t T Z W N 0 a W 9 u M S 9 E R V R B S U w g Q l V E R 0 V U I E x J T k U g S V R F T V M g K D I p L 0 N o Y W 5 n Z W Q g V H l w Z S 5 7 Q 2 9 s d W 1 u M z E s M z B 9 J n F 1 b 3 Q 7 L C Z x d W 9 0 O 1 N l Y 3 R p b 2 4 x L 0 R F V E F J T C B C V U R H R V Q g T E l O R S B J V E V N U y A o M i k v Q 2 h h b m d l Z C B U e X B l L n t D b 2 x 1 b W 4 z M i w z M X 0 m c X V v d D s s J n F 1 b 3 Q 7 U 2 V j d G l v b j E v R E V U Q U l M I E J V R E d F V C B M S U 5 F I E l U R U 1 T I C g y K S 9 D a G F u Z 2 V k I F R 5 c G U u e 0 N v b H V t b j M z L D M y f S Z x d W 9 0 O y w m c X V v d D t T Z W N 0 a W 9 u M S 9 E R V R B S U w g Q l V E R 0 V U I E x J T k U g S V R F T V M g K D I p L 0 N o Y W 5 n Z W Q g V H l w Z S 5 7 Q 2 9 s d W 1 u M z Q s M z N 9 J n F 1 b 3 Q 7 L C Z x d W 9 0 O 1 N l Y 3 R p b 2 4 x L 0 R F V E F J T C B C V U R H R V Q g T E l O R S B J V E V N U y A o M i k v Q 2 h h b m d l Z C B U e X B l L n t D b 2 x 1 b W 4 z N S w z N H 0 m c X V v d D s s J n F 1 b 3 Q 7 U 2 V j d G l v b j E v R E V U Q U l M I E J V R E d F V C B M S U 5 F I E l U R U 1 T I C g y K S 9 D a G F u Z 2 V k I F R 5 c G U u e 0 N v b H V t b j M 2 L D M 1 f S Z x d W 9 0 O 1 0 s J n F 1 b 3 Q 7 Q 2 9 s d W 1 u Q 2 9 1 b n Q m c X V v d D s 6 M z Y s J n F 1 b 3 Q 7 S 2 V 5 Q 2 9 s d W 1 u T m F t Z X M m c X V v d D s 6 W 1 0 s J n F 1 b 3 Q 7 Q 2 9 s d W 1 u S W R l b n R p d G l l c y Z x d W 9 0 O z p b J n F 1 b 3 Q 7 U 2 V j d G l v b j E v R E V U Q U l M I E J V R E d F V C B M S U 5 F I E l U R U 1 T I C g y K S 9 D a G F u Z 2 V k I F R 5 c G U u e 0 N v b H V t b j E s M H 0 m c X V v d D s s J n F 1 b 3 Q 7 U 2 V j d G l v b j E v R E V U Q U l M I E J V R E d F V C B M S U 5 F I E l U R U 1 T I C g y K S 9 D a G F u Z 2 V k I F R 5 c G U u e 0 N v b H V t b j I s M X 0 m c X V v d D s s J n F 1 b 3 Q 7 U 2 V j d G l v b j E v R E V U Q U l M I E J V R E d F V C B M S U 5 F I E l U R U 1 T I C g y K S 9 D a G F u Z 2 V k I F R 5 c G U u e 0 N v b H V t b j M s M n 0 m c X V v d D s s J n F 1 b 3 Q 7 U 2 V j d G l v b j E v R E V U Q U l M I E J V R E d F V C B M S U 5 F I E l U R U 1 T I C g y K S 9 D a G F u Z 2 V k I F R 5 c G U u e 0 N v b H V t b j Q s M 3 0 m c X V v d D s s J n F 1 b 3 Q 7 U 2 V j d G l v b j E v R E V U Q U l M I E J V R E d F V C B M S U 5 F I E l U R U 1 T I C g y K S 9 D a G F u Z 2 V k I F R 5 c G U u e 0 N v b H V t b j U s N H 0 m c X V v d D s s J n F 1 b 3 Q 7 U 2 V j d G l v b j E v R E V U Q U l M I E J V R E d F V C B M S U 5 F I E l U R U 1 T I C g y K S 9 D a G F u Z 2 V k I F R 5 c G U u e 0 N v b H V t b j Y s N X 0 m c X V v d D s s J n F 1 b 3 Q 7 U 2 V j d G l v b j E v R E V U Q U l M I E J V R E d F V C B M S U 5 F I E l U R U 1 T I C g y K S 9 D a G F u Z 2 V k I F R 5 c G U u e 0 N v b H V t b j c s N n 0 m c X V v d D s s J n F 1 b 3 Q 7 U 2 V j d G l v b j E v R E V U Q U l M I E J V R E d F V C B M S U 5 F I E l U R U 1 T I C g y K S 9 D a G F u Z 2 V k I F R 5 c G U u e 0 N v b H V t b j g s N 3 0 m c X V v d D s s J n F 1 b 3 Q 7 U 2 V j d G l v b j E v R E V U Q U l M I E J V R E d F V C B M S U 5 F I E l U R U 1 T I C g y K S 9 D a G F u Z 2 V k I F R 5 c G U u e 0 N v b H V t b j k s O H 0 m c X V v d D s s J n F 1 b 3 Q 7 U 2 V j d G l v b j E v R E V U Q U l M I E J V R E d F V C B M S U 5 F I E l U R U 1 T I C g y K S 9 D a G F u Z 2 V k I F R 5 c G U u e 0 N v b H V t b j E w L D l 9 J n F 1 b 3 Q 7 L C Z x d W 9 0 O 1 N l Y 3 R p b 2 4 x L 0 R F V E F J T C B C V U R H R V Q g T E l O R S B J V E V N U y A o M i k v Q 2 h h b m d l Z C B U e X B l L n t D b 2 x 1 b W 4 x M S w x M H 0 m c X V v d D s s J n F 1 b 3 Q 7 U 2 V j d G l v b j E v R E V U Q U l M I E J V R E d F V C B M S U 5 F I E l U R U 1 T I C g y K S 9 D a G F u Z 2 V k I F R 5 c G U u e 0 N v b H V t b j E y L D E x f S Z x d W 9 0 O y w m c X V v d D t T Z W N 0 a W 9 u M S 9 E R V R B S U w g Q l V E R 0 V U I E x J T k U g S V R F T V M g K D I p L 0 N o Y W 5 n Z W Q g V H l w Z S 5 7 Q 2 9 s d W 1 u M T M s M T J 9 J n F 1 b 3 Q 7 L C Z x d W 9 0 O 1 N l Y 3 R p b 2 4 x L 0 R F V E F J T C B C V U R H R V Q g T E l O R S B J V E V N U y A o M i k v Q 2 h h b m d l Z C B U e X B l L n t D b 2 x 1 b W 4 x N C w x M 3 0 m c X V v d D s s J n F 1 b 3 Q 7 U 2 V j d G l v b j E v R E V U Q U l M I E J V R E d F V C B M S U 5 F I E l U R U 1 T I C g y K S 9 D a G F u Z 2 V k I F R 5 c G U u e 0 N v b H V t b j E 1 L D E 0 f S Z x d W 9 0 O y w m c X V v d D t T Z W N 0 a W 9 u M S 9 E R V R B S U w g Q l V E R 0 V U I E x J T k U g S V R F T V M g K D I p L 0 N o Y W 5 n Z W Q g V H l w Z S 5 7 Q 2 9 s d W 1 u M T Y s M T V 9 J n F 1 b 3 Q 7 L C Z x d W 9 0 O 1 N l Y 3 R p b 2 4 x L 0 R F V E F J T C B C V U R H R V Q g T E l O R S B J V E V N U y A o M i k v Q 2 h h b m d l Z C B U e X B l L n t D b 2 x 1 b W 4 x N y w x N n 0 m c X V v d D s s J n F 1 b 3 Q 7 U 2 V j d G l v b j E v R E V U Q U l M I E J V R E d F V C B M S U 5 F I E l U R U 1 T I C g y K S 9 D a G F u Z 2 V k I F R 5 c G U u e 0 N v b H V t b j E 4 L D E 3 f S Z x d W 9 0 O y w m c X V v d D t T Z W N 0 a W 9 u M S 9 E R V R B S U w g Q l V E R 0 V U I E x J T k U g S V R F T V M g K D I p L 0 N o Y W 5 n Z W Q g V H l w Z S 5 7 Q 2 9 s d W 1 u M T k s M T h 9 J n F 1 b 3 Q 7 L C Z x d W 9 0 O 1 N l Y 3 R p b 2 4 x L 0 R F V E F J T C B C V U R H R V Q g T E l O R S B J V E V N U y A o M i k v Q 2 h h b m d l Z C B U e X B l L n t D b 2 x 1 b W 4 y M C w x O X 0 m c X V v d D s s J n F 1 b 3 Q 7 U 2 V j d G l v b j E v R E V U Q U l M I E J V R E d F V C B M S U 5 F I E l U R U 1 T I C g y K S 9 D a G F u Z 2 V k I F R 5 c G U u e 0 N v b H V t b j I x L D I w f S Z x d W 9 0 O y w m c X V v d D t T Z W N 0 a W 9 u M S 9 E R V R B S U w g Q l V E R 0 V U I E x J T k U g S V R F T V M g K D I p L 0 N o Y W 5 n Z W Q g V H l w Z S 5 7 Q 2 9 s d W 1 u M j I s M j F 9 J n F 1 b 3 Q 7 L C Z x d W 9 0 O 1 N l Y 3 R p b 2 4 x L 0 R F V E F J T C B C V U R H R V Q g T E l O R S B J V E V N U y A o M i k v Q 2 h h b m d l Z C B U e X B l L n t D b 2 x 1 b W 4 y M y w y M n 0 m c X V v d D s s J n F 1 b 3 Q 7 U 2 V j d G l v b j E v R E V U Q U l M I E J V R E d F V C B M S U 5 F I E l U R U 1 T I C g y K S 9 D a G F u Z 2 V k I F R 5 c G U u e 0 N v b H V t b j I 0 L D I z f S Z x d W 9 0 O y w m c X V v d D t T Z W N 0 a W 9 u M S 9 E R V R B S U w g Q l V E R 0 V U I E x J T k U g S V R F T V M g K D I p L 0 N o Y W 5 n Z W Q g V H l w Z S 5 7 Q 2 9 s d W 1 u M j U s M j R 9 J n F 1 b 3 Q 7 L C Z x d W 9 0 O 1 N l Y 3 R p b 2 4 x L 0 R F V E F J T C B C V U R H R V Q g T E l O R S B J V E V N U y A o M i k v Q 2 h h b m d l Z C B U e X B l L n t D b 2 x 1 b W 4 y N i w y N X 0 m c X V v d D s s J n F 1 b 3 Q 7 U 2 V j d G l v b j E v R E V U Q U l M I E J V R E d F V C B M S U 5 F I E l U R U 1 T I C g y K S 9 D a G F u Z 2 V k I F R 5 c G U u e 0 N v b H V t b j I 3 L D I 2 f S Z x d W 9 0 O y w m c X V v d D t T Z W N 0 a W 9 u M S 9 E R V R B S U w g Q l V E R 0 V U I E x J T k U g S V R F T V M g K D I p L 0 N o Y W 5 n Z W Q g V H l w Z S 5 7 Q 2 9 s d W 1 u M j g s M j d 9 J n F 1 b 3 Q 7 L C Z x d W 9 0 O 1 N l Y 3 R p b 2 4 x L 0 R F V E F J T C B C V U R H R V Q g T E l O R S B J V E V N U y A o M i k v Q 2 h h b m d l Z C B U e X B l L n t D b 2 x 1 b W 4 y O S w y O H 0 m c X V v d D s s J n F 1 b 3 Q 7 U 2 V j d G l v b j E v R E V U Q U l M I E J V R E d F V C B M S U 5 F I E l U R U 1 T I C g y K S 9 D a G F u Z 2 V k I F R 5 c G U u e 0 N v b H V t b j M w L D I 5 f S Z x d W 9 0 O y w m c X V v d D t T Z W N 0 a W 9 u M S 9 E R V R B S U w g Q l V E R 0 V U I E x J T k U g S V R F T V M g K D I p L 0 N o Y W 5 n Z W Q g V H l w Z S 5 7 Q 2 9 s d W 1 u M z E s M z B 9 J n F 1 b 3 Q 7 L C Z x d W 9 0 O 1 N l Y 3 R p b 2 4 x L 0 R F V E F J T C B C V U R H R V Q g T E l O R S B J V E V N U y A o M i k v Q 2 h h b m d l Z C B U e X B l L n t D b 2 x 1 b W 4 z M i w z M X 0 m c X V v d D s s J n F 1 b 3 Q 7 U 2 V j d G l v b j E v R E V U Q U l M I E J V R E d F V C B M S U 5 F I E l U R U 1 T I C g y K S 9 D a G F u Z 2 V k I F R 5 c G U u e 0 N v b H V t b j M z L D M y f S Z x d W 9 0 O y w m c X V v d D t T Z W N 0 a W 9 u M S 9 E R V R B S U w g Q l V E R 0 V U I E x J T k U g S V R F T V M g K D I p L 0 N o Y W 5 n Z W Q g V H l w Z S 5 7 Q 2 9 s d W 1 u M z Q s M z N 9 J n F 1 b 3 Q 7 L C Z x d W 9 0 O 1 N l Y 3 R p b 2 4 x L 0 R F V E F J T C B C V U R H R V Q g T E l O R S B J V E V N U y A o M i k v Q 2 h h b m d l Z C B U e X B l L n t D b 2 x 1 b W 4 z N S w z N H 0 m c X V v d D s s J n F 1 b 3 Q 7 U 2 V j d G l v b j E v R E V U Q U l M I E J V R E d F V C B M S U 5 F I E l U R U 1 T I C g y K S 9 D a G F u Z 2 V k I F R 5 c G U u e 0 N v b H V t b j M 2 L D M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E V U Q U l M J T I w Q l V E R 0 V U J T I w T E l O R S U y M E l U R U 1 T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V E F J T C U y M E J V R E d F V C U y M E x J T k U l M j B J V E V N U y U y M C g y K S 9 E R V R B S U w l M j B C V U R H R V Q l M j B M S U 5 F J T I w S V R F T V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V R B S U w l M j B C V U R H R V Q l M j B M S U 5 F J T I w S V R F T V M l M j A o M i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M D L u 5 t R u t 0 G 6 a h 6 v G Q c t M w A A A A A C A A A A A A A Q Z g A A A A E A A C A A A A B N Z 2 S e N 2 k B Y e Y Y 8 f O O D Z y C c y K 2 o t G Z u 0 K D z o Y l c o H 9 S g A A A A A O g A A A A A I A A C A A A A B C K h w h I W 9 g N 9 o u 8 L a E x k c F B u Q n I Z j H 6 U R u R m A 3 o z u n 0 l A A A A D U X C q y Z G S O l n 3 W e Z + N 4 Y G n c J 0 0 j O N T A + O L I 1 4 R / U H i P S N N A y E e j n u a + z H o a 1 b j o c m e U n e G l H + F L 4 Z g / 2 6 w T x d S L Q M w 2 U n t O I f 8 / T z g I B x b P 0 A A A A A Y 0 w C u V q G B J 4 T Y 7 i w 5 n C W 2 T w g g c Z h A F Q r C r N b G H 6 g M T e v N + b 2 H O q 0 F p 3 R X W d 3 Q s B w 0 U 8 P 2 i / t T 3 P i m c + C 5 k w N f < / D a t a M a s h u p > 
</file>

<file path=customXml/itemProps1.xml><?xml version="1.0" encoding="utf-8"?>
<ds:datastoreItem xmlns:ds="http://schemas.openxmlformats.org/officeDocument/2006/customXml" ds:itemID="{E47BB615-8183-4EF3-9B3C-D90885EDCC6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32</vt:i4>
      </vt:variant>
    </vt:vector>
  </HeadingPairs>
  <TitlesOfParts>
    <vt:vector size="56" baseType="lpstr">
      <vt:lpstr>Model Assumptions</vt:lpstr>
      <vt:lpstr>RECAP SUMMARY</vt:lpstr>
      <vt:lpstr>LEVY LIMIT</vt:lpstr>
      <vt:lpstr>DE 1</vt:lpstr>
      <vt:lpstr>BUDGET</vt:lpstr>
      <vt:lpstr>PROJECTED SCH. B</vt:lpstr>
      <vt:lpstr>PROJECTED SCH. A2 WATER</vt:lpstr>
      <vt:lpstr>LONG-TERM DEBT</vt:lpstr>
      <vt:lpstr>SCH. A LOCAL RECEIPTS</vt:lpstr>
      <vt:lpstr>STATE RECEIPTS</vt:lpstr>
      <vt:lpstr>Masco Calculation</vt:lpstr>
      <vt:lpstr>Vote track budget</vt:lpstr>
      <vt:lpstr>Vote track warrant</vt:lpstr>
      <vt:lpstr>Track budget template</vt:lpstr>
      <vt:lpstr>Track warrant template</vt:lpstr>
      <vt:lpstr>PROJECTED SCH. A2 SOLID WASTE</vt:lpstr>
      <vt:lpstr>PROJECTED SCH. A3</vt:lpstr>
      <vt:lpstr>PROJECTED SCH. B1</vt:lpstr>
      <vt:lpstr>SCH. B</vt:lpstr>
      <vt:lpstr>SCH. A2 WATER</vt:lpstr>
      <vt:lpstr>SCH. A2 SOLID WASTE</vt:lpstr>
      <vt:lpstr>SCH. A3</vt:lpstr>
      <vt:lpstr>SCH. B1</vt:lpstr>
      <vt:lpstr>Assumptions</vt:lpstr>
      <vt:lpstr>BUDGET!_Print_Area</vt:lpstr>
      <vt:lpstr>'PROJECTED SCH. A2 WATER'!_Print_Area</vt:lpstr>
      <vt:lpstr>'PROJECTED SCH. B'!_Print_Area</vt:lpstr>
      <vt:lpstr>'RECAP SUMMARY'!_Print_Area</vt:lpstr>
      <vt:lpstr>'SCH. A2 WATER'!_Print_Area</vt:lpstr>
      <vt:lpstr>BUDGET!_Print_Titles</vt:lpstr>
      <vt:lpstr>'LONG-TERM DEBT'!_Print_Titles</vt:lpstr>
      <vt:lpstr>Assumptions!Print_Area</vt:lpstr>
      <vt:lpstr>BUDGET!Print_Area</vt:lpstr>
      <vt:lpstr>'DE 1'!Print_Area</vt:lpstr>
      <vt:lpstr>'LEVY LIMIT'!Print_Area</vt:lpstr>
      <vt:lpstr>'LONG-TERM DEBT'!Print_Area</vt:lpstr>
      <vt:lpstr>'PROJECTED SCH. A2 WATER'!Print_Area</vt:lpstr>
      <vt:lpstr>'PROJECTED SCH. B'!Print_Area</vt:lpstr>
      <vt:lpstr>'RECAP SUMMARY'!Print_Area</vt:lpstr>
      <vt:lpstr>'SCH. A LOCAL RECEIPTS'!Print_Area</vt:lpstr>
      <vt:lpstr>'STATE RECEIPTS'!Print_Area</vt:lpstr>
      <vt:lpstr>'Track budget template'!Print_Area</vt:lpstr>
      <vt:lpstr>'Track warrant template'!Print_Area</vt:lpstr>
      <vt:lpstr>'Vote track budget'!Print_Area</vt:lpstr>
      <vt:lpstr>'Vote track warrant'!Print_Area</vt:lpstr>
      <vt:lpstr>BUDGET!Print_Titles</vt:lpstr>
      <vt:lpstr>'LEVY LIMIT'!Print_Titles</vt:lpstr>
      <vt:lpstr>'LONG-TERM DEBT'!Print_Titles</vt:lpstr>
      <vt:lpstr>'PROJECTED SCH. B'!Print_Titles</vt:lpstr>
      <vt:lpstr>'RECAP SUMMARY'!Print_Titles</vt:lpstr>
      <vt:lpstr>'SCH. A LOCAL RECEIPTS'!Print_Titles</vt:lpstr>
      <vt:lpstr>'STATE RECEIPTS'!Print_Titles</vt:lpstr>
      <vt:lpstr>'Track budget template'!Print_Titles</vt:lpstr>
      <vt:lpstr>'Track warrant template'!Print_Titles</vt:lpstr>
      <vt:lpstr>'Vote track budget'!Print_Titles</vt:lpstr>
      <vt:lpstr>'Vote track warrant'!Print_Titles</vt:lpstr>
    </vt:vector>
  </TitlesOfParts>
  <Company>Assessor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Che Elwell</cp:lastModifiedBy>
  <cp:lastPrinted>2024-03-03T23:10:50Z</cp:lastPrinted>
  <dcterms:created xsi:type="dcterms:W3CDTF">2005-04-08T19:25:00Z</dcterms:created>
  <dcterms:modified xsi:type="dcterms:W3CDTF">2024-04-30T13:45:21Z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